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15195" windowHeight="6945"/>
  </bookViews>
  <sheets>
    <sheet name="Whitefish " sheetId="168" r:id="rId1"/>
    <sheet name="Sectoral" sheetId="169" r:id="rId2"/>
    <sheet name="Whit Non PO " sheetId="170" r:id="rId3"/>
    <sheet name="Ang Flex" sheetId="171" r:id="rId4"/>
    <sheet name="Had Flex" sheetId="172" r:id="rId5"/>
    <sheet name="NS Skr Flex " sheetId="173" r:id="rId6"/>
  </sheets>
  <externalReferences>
    <externalReference r:id="rId7"/>
    <externalReference r:id="rId8"/>
  </externalReference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 '!$1:$2</definedName>
  </definedNames>
  <calcPr calcId="145621" iterate="1"/>
</workbook>
</file>

<file path=xl/calcChain.xml><?xml version="1.0" encoding="utf-8"?>
<calcChain xmlns="http://schemas.openxmlformats.org/spreadsheetml/2006/main">
  <c r="F48" i="173" l="1"/>
  <c r="E48" i="173"/>
  <c r="F47" i="173"/>
  <c r="E47" i="173"/>
  <c r="F46" i="173"/>
  <c r="E46" i="173"/>
  <c r="F45" i="173"/>
  <c r="E45" i="173"/>
  <c r="F44" i="173"/>
  <c r="E44" i="173"/>
  <c r="F43" i="173"/>
  <c r="E43" i="173"/>
  <c r="F41" i="173"/>
  <c r="E41" i="173"/>
  <c r="F40" i="173"/>
  <c r="E40" i="173"/>
  <c r="F39" i="173"/>
  <c r="E39" i="173"/>
  <c r="F38" i="173"/>
  <c r="E38" i="173"/>
  <c r="F37" i="173"/>
  <c r="E37" i="173"/>
  <c r="F32" i="173"/>
  <c r="E32" i="173"/>
  <c r="F31" i="173"/>
  <c r="E31" i="173"/>
  <c r="F30" i="173"/>
  <c r="E30" i="173"/>
  <c r="F29" i="173"/>
  <c r="E29" i="173"/>
  <c r="F28" i="173"/>
  <c r="E28" i="173"/>
  <c r="F27" i="173"/>
  <c r="E27" i="173"/>
  <c r="F26" i="173"/>
  <c r="E26" i="173"/>
  <c r="F25" i="173"/>
  <c r="E25" i="173"/>
  <c r="F24" i="173"/>
  <c r="E24" i="173"/>
  <c r="F23" i="173"/>
  <c r="E23" i="173"/>
  <c r="F21" i="173"/>
  <c r="E21" i="173"/>
  <c r="F20" i="173"/>
  <c r="E20" i="173"/>
  <c r="F16" i="173"/>
  <c r="E16" i="173"/>
  <c r="F15" i="173"/>
  <c r="E15" i="173"/>
  <c r="F14" i="173"/>
  <c r="E14" i="173"/>
  <c r="F13" i="173"/>
  <c r="E13" i="173"/>
  <c r="F12" i="173"/>
  <c r="E12" i="173"/>
  <c r="F11" i="173"/>
  <c r="E11" i="173"/>
  <c r="F10" i="173"/>
  <c r="E10" i="173"/>
  <c r="F9" i="173"/>
  <c r="E9" i="173"/>
  <c r="F8" i="173"/>
  <c r="E8" i="173"/>
  <c r="F7" i="173"/>
  <c r="E7" i="173"/>
  <c r="D44" i="172"/>
  <c r="D43" i="172"/>
  <c r="D42" i="172"/>
  <c r="D41" i="172"/>
  <c r="D40" i="172"/>
  <c r="D39" i="172"/>
  <c r="D37" i="172"/>
  <c r="C37" i="172"/>
  <c r="D36" i="172"/>
  <c r="D35" i="172"/>
  <c r="D34" i="172"/>
  <c r="D33" i="172"/>
  <c r="D32" i="172"/>
  <c r="D31" i="172"/>
  <c r="D28" i="172"/>
  <c r="D27" i="172"/>
  <c r="D26" i="172"/>
  <c r="D25" i="172"/>
  <c r="D24" i="172"/>
  <c r="D23" i="172"/>
  <c r="D22" i="172"/>
  <c r="D21" i="172"/>
  <c r="D20" i="172"/>
  <c r="D19" i="172"/>
  <c r="D18" i="172"/>
  <c r="D17" i="172"/>
  <c r="D16" i="172"/>
  <c r="D12" i="172"/>
  <c r="D11" i="172"/>
  <c r="D10" i="172"/>
  <c r="D9" i="172"/>
  <c r="D8" i="172"/>
  <c r="D7" i="172"/>
  <c r="D6" i="172"/>
  <c r="D5" i="172"/>
  <c r="D4" i="172"/>
  <c r="D3" i="172"/>
  <c r="F49" i="171"/>
  <c r="F47" i="171"/>
  <c r="E47" i="171"/>
  <c r="F46" i="171"/>
  <c r="E46" i="171"/>
  <c r="F45" i="171"/>
  <c r="E45" i="171"/>
  <c r="F44" i="171"/>
  <c r="E44" i="171"/>
  <c r="F43" i="171"/>
  <c r="E43" i="171"/>
  <c r="F42" i="171"/>
  <c r="E42" i="171"/>
  <c r="F40" i="171"/>
  <c r="E40" i="171"/>
  <c r="F39" i="171"/>
  <c r="E39" i="171"/>
  <c r="F38" i="171"/>
  <c r="E38" i="171"/>
  <c r="F37" i="171"/>
  <c r="E37" i="171"/>
  <c r="F36" i="171"/>
  <c r="E36" i="171"/>
  <c r="F32" i="171"/>
  <c r="E32" i="171"/>
  <c r="F31" i="171"/>
  <c r="E31" i="171"/>
  <c r="F30" i="171"/>
  <c r="E30" i="171"/>
  <c r="F29" i="171"/>
  <c r="E29" i="171"/>
  <c r="F28" i="171"/>
  <c r="E28" i="171"/>
  <c r="N27" i="171"/>
  <c r="M27" i="171"/>
  <c r="L27" i="171"/>
  <c r="K27" i="171"/>
  <c r="O27" i="171" s="1"/>
  <c r="F27" i="171"/>
  <c r="E27" i="171"/>
  <c r="O26" i="171"/>
  <c r="F26" i="171"/>
  <c r="E26" i="171"/>
  <c r="O25" i="171"/>
  <c r="F25" i="171"/>
  <c r="E25" i="171"/>
  <c r="O24" i="171"/>
  <c r="F24" i="171"/>
  <c r="E24" i="171"/>
  <c r="O23" i="171"/>
  <c r="F23" i="171"/>
  <c r="E23" i="171"/>
  <c r="O22" i="171"/>
  <c r="F22" i="171"/>
  <c r="E22" i="171"/>
  <c r="O21" i="171"/>
  <c r="F21" i="171"/>
  <c r="E21" i="171"/>
  <c r="O20" i="171"/>
  <c r="F20" i="171"/>
  <c r="E20" i="171"/>
  <c r="O19" i="171"/>
  <c r="F19" i="171"/>
  <c r="E19" i="171"/>
  <c r="O18" i="171"/>
  <c r="F18" i="171"/>
  <c r="E18" i="171"/>
  <c r="O17" i="171"/>
  <c r="F17" i="171"/>
  <c r="E17" i="171"/>
  <c r="O16" i="171"/>
  <c r="F16" i="171"/>
  <c r="E16" i="171"/>
  <c r="O15" i="171"/>
  <c r="F15" i="171"/>
  <c r="E15" i="171"/>
  <c r="O14" i="171"/>
  <c r="F14" i="171"/>
  <c r="E14" i="171"/>
  <c r="O13" i="171"/>
  <c r="F13" i="171"/>
  <c r="E13" i="171"/>
  <c r="O12" i="171"/>
  <c r="F12" i="171"/>
  <c r="E12" i="171"/>
  <c r="O11" i="171"/>
  <c r="F11" i="171"/>
  <c r="E11" i="171"/>
  <c r="O10" i="171"/>
  <c r="F10" i="171"/>
  <c r="E10" i="171"/>
  <c r="O9" i="171"/>
  <c r="F9" i="171"/>
  <c r="E9" i="171"/>
  <c r="O8" i="171"/>
  <c r="F8" i="171"/>
  <c r="E8" i="171"/>
  <c r="F7" i="171"/>
  <c r="E7" i="171"/>
  <c r="E747" i="170"/>
  <c r="H746" i="170"/>
  <c r="F746" i="170"/>
  <c r="D746" i="170" s="1"/>
  <c r="M745" i="170"/>
  <c r="L745" i="170"/>
  <c r="K745" i="170"/>
  <c r="O745" i="170" s="1"/>
  <c r="J745" i="170"/>
  <c r="G745" i="170"/>
  <c r="F745" i="170"/>
  <c r="N745" i="170" s="1"/>
  <c r="C745" i="170"/>
  <c r="P745" i="170" s="1"/>
  <c r="P744" i="170"/>
  <c r="M744" i="170"/>
  <c r="L744" i="170"/>
  <c r="K744" i="170"/>
  <c r="J744" i="170"/>
  <c r="I744" i="170"/>
  <c r="H744" i="170"/>
  <c r="G744" i="170"/>
  <c r="F744" i="170"/>
  <c r="N744" i="170" s="1"/>
  <c r="E744" i="170"/>
  <c r="D744" i="170"/>
  <c r="C744" i="170"/>
  <c r="M743" i="170"/>
  <c r="L743" i="170"/>
  <c r="K743" i="170"/>
  <c r="O743" i="170" s="1"/>
  <c r="J743" i="170"/>
  <c r="G743" i="170"/>
  <c r="F743" i="170"/>
  <c r="N743" i="170" s="1"/>
  <c r="C743" i="170"/>
  <c r="P743" i="170" s="1"/>
  <c r="P742" i="170"/>
  <c r="M742" i="170"/>
  <c r="L742" i="170"/>
  <c r="L747" i="170" s="1"/>
  <c r="K742" i="170"/>
  <c r="K747" i="170" s="1"/>
  <c r="K749" i="170" s="1"/>
  <c r="J742" i="170"/>
  <c r="I742" i="170"/>
  <c r="H742" i="170"/>
  <c r="G742" i="170"/>
  <c r="F742" i="170"/>
  <c r="F747" i="170" s="1"/>
  <c r="E742" i="170"/>
  <c r="D742" i="170"/>
  <c r="C742" i="170"/>
  <c r="C747" i="170" s="1"/>
  <c r="P747" i="170" s="1"/>
  <c r="N741" i="170"/>
  <c r="P740" i="170"/>
  <c r="N738" i="170"/>
  <c r="M738" i="170"/>
  <c r="L738" i="170"/>
  <c r="K738" i="170"/>
  <c r="J738" i="170"/>
  <c r="O738" i="170" s="1"/>
  <c r="G738" i="170"/>
  <c r="F738" i="170"/>
  <c r="C738" i="170"/>
  <c r="P738" i="170" s="1"/>
  <c r="P737" i="170"/>
  <c r="M737" i="170"/>
  <c r="L737" i="170"/>
  <c r="K737" i="170"/>
  <c r="J737" i="170"/>
  <c r="H737" i="170"/>
  <c r="G737" i="170"/>
  <c r="I737" i="170" s="1"/>
  <c r="F737" i="170"/>
  <c r="N737" i="170" s="1"/>
  <c r="D737" i="170"/>
  <c r="C737" i="170"/>
  <c r="E737" i="170" s="1"/>
  <c r="M736" i="170"/>
  <c r="L736" i="170"/>
  <c r="K736" i="170"/>
  <c r="J736" i="170"/>
  <c r="O736" i="170" s="1"/>
  <c r="G736" i="170"/>
  <c r="F736" i="170"/>
  <c r="C736" i="170"/>
  <c r="P736" i="170" s="1"/>
  <c r="P735" i="170"/>
  <c r="M735" i="170"/>
  <c r="M740" i="170" s="1"/>
  <c r="L735" i="170"/>
  <c r="L740" i="170" s="1"/>
  <c r="L749" i="170" s="1"/>
  <c r="K735" i="170"/>
  <c r="K740" i="170" s="1"/>
  <c r="J735" i="170"/>
  <c r="H735" i="170"/>
  <c r="G735" i="170"/>
  <c r="G740" i="170" s="1"/>
  <c r="F735" i="170"/>
  <c r="D735" i="170"/>
  <c r="C735" i="170"/>
  <c r="C740" i="170" s="1"/>
  <c r="L732" i="170"/>
  <c r="K732" i="170"/>
  <c r="J732" i="170"/>
  <c r="C731" i="170"/>
  <c r="L725" i="170"/>
  <c r="F724" i="170"/>
  <c r="N723" i="170"/>
  <c r="M723" i="170"/>
  <c r="L723" i="170"/>
  <c r="K723" i="170"/>
  <c r="J723" i="170"/>
  <c r="O723" i="170" s="1"/>
  <c r="G723" i="170"/>
  <c r="F723" i="170"/>
  <c r="C723" i="170"/>
  <c r="P723" i="170" s="1"/>
  <c r="P722" i="170"/>
  <c r="M722" i="170"/>
  <c r="L722" i="170"/>
  <c r="K722" i="170"/>
  <c r="J722" i="170"/>
  <c r="H722" i="170"/>
  <c r="G722" i="170"/>
  <c r="I722" i="170" s="1"/>
  <c r="F722" i="170"/>
  <c r="N722" i="170" s="1"/>
  <c r="D722" i="170"/>
  <c r="C722" i="170"/>
  <c r="E722" i="170" s="1"/>
  <c r="M721" i="170"/>
  <c r="L721" i="170"/>
  <c r="K721" i="170"/>
  <c r="J721" i="170"/>
  <c r="O721" i="170" s="1"/>
  <c r="G721" i="170"/>
  <c r="F721" i="170"/>
  <c r="C721" i="170"/>
  <c r="P721" i="170" s="1"/>
  <c r="P720" i="170"/>
  <c r="M720" i="170"/>
  <c r="M725" i="170" s="1"/>
  <c r="L720" i="170"/>
  <c r="K720" i="170"/>
  <c r="K725" i="170" s="1"/>
  <c r="J720" i="170"/>
  <c r="H720" i="170"/>
  <c r="G720" i="170"/>
  <c r="G725" i="170" s="1"/>
  <c r="F720" i="170"/>
  <c r="D720" i="170"/>
  <c r="C720" i="170"/>
  <c r="C725" i="170" s="1"/>
  <c r="N719" i="170"/>
  <c r="C718" i="170"/>
  <c r="P718" i="170" s="1"/>
  <c r="P716" i="170"/>
  <c r="M716" i="170"/>
  <c r="L716" i="170"/>
  <c r="K716" i="170"/>
  <c r="J716" i="170"/>
  <c r="I716" i="170"/>
  <c r="H716" i="170"/>
  <c r="G716" i="170"/>
  <c r="F716" i="170"/>
  <c r="N716" i="170" s="1"/>
  <c r="E716" i="170"/>
  <c r="D716" i="170"/>
  <c r="C716" i="170"/>
  <c r="M715" i="170"/>
  <c r="L715" i="170"/>
  <c r="K715" i="170"/>
  <c r="O715" i="170" s="1"/>
  <c r="J715" i="170"/>
  <c r="G715" i="170"/>
  <c r="F715" i="170"/>
  <c r="N715" i="170" s="1"/>
  <c r="C715" i="170"/>
  <c r="P715" i="170" s="1"/>
  <c r="P714" i="170"/>
  <c r="M714" i="170"/>
  <c r="L714" i="170"/>
  <c r="K714" i="170"/>
  <c r="J714" i="170"/>
  <c r="I714" i="170"/>
  <c r="H714" i="170"/>
  <c r="G714" i="170"/>
  <c r="F714" i="170"/>
  <c r="N714" i="170" s="1"/>
  <c r="E714" i="170"/>
  <c r="D714" i="170"/>
  <c r="C714" i="170"/>
  <c r="M713" i="170"/>
  <c r="M718" i="170" s="1"/>
  <c r="M727" i="170" s="1"/>
  <c r="L713" i="170"/>
  <c r="L718" i="170" s="1"/>
  <c r="K713" i="170"/>
  <c r="J713" i="170"/>
  <c r="J718" i="170" s="1"/>
  <c r="G713" i="170"/>
  <c r="G718" i="170" s="1"/>
  <c r="F713" i="170"/>
  <c r="F718" i="170" s="1"/>
  <c r="C713" i="170"/>
  <c r="P713" i="170" s="1"/>
  <c r="L710" i="170"/>
  <c r="K710" i="170"/>
  <c r="J710" i="170"/>
  <c r="C709" i="170"/>
  <c r="N703" i="170"/>
  <c r="F703" i="170"/>
  <c r="I702" i="170"/>
  <c r="F702" i="170"/>
  <c r="H702" i="170" s="1"/>
  <c r="D702" i="170"/>
  <c r="P701" i="170"/>
  <c r="M701" i="170"/>
  <c r="L701" i="170"/>
  <c r="K701" i="170"/>
  <c r="J701" i="170"/>
  <c r="I701" i="170"/>
  <c r="H701" i="170"/>
  <c r="G701" i="170"/>
  <c r="F701" i="170"/>
  <c r="N701" i="170" s="1"/>
  <c r="E701" i="170"/>
  <c r="D701" i="170"/>
  <c r="C701" i="170"/>
  <c r="N700" i="170"/>
  <c r="M700" i="170"/>
  <c r="L700" i="170"/>
  <c r="K700" i="170"/>
  <c r="J700" i="170"/>
  <c r="H700" i="170"/>
  <c r="G700" i="170"/>
  <c r="G703" i="170" s="1"/>
  <c r="F700" i="170"/>
  <c r="D700" i="170"/>
  <c r="C700" i="170"/>
  <c r="P700" i="170" s="1"/>
  <c r="P699" i="170"/>
  <c r="M699" i="170"/>
  <c r="L699" i="170"/>
  <c r="K699" i="170"/>
  <c r="J699" i="170"/>
  <c r="I699" i="170"/>
  <c r="H699" i="170"/>
  <c r="G699" i="170"/>
  <c r="F699" i="170"/>
  <c r="N699" i="170" s="1"/>
  <c r="E699" i="170"/>
  <c r="D699" i="170"/>
  <c r="C699" i="170"/>
  <c r="M698" i="170"/>
  <c r="M703" i="170" s="1"/>
  <c r="L698" i="170"/>
  <c r="K698" i="170"/>
  <c r="K703" i="170" s="1"/>
  <c r="J698" i="170"/>
  <c r="H698" i="170"/>
  <c r="G698" i="170"/>
  <c r="F698" i="170"/>
  <c r="N698" i="170" s="1"/>
  <c r="C698" i="170"/>
  <c r="N697" i="170"/>
  <c r="M696" i="170"/>
  <c r="M705" i="170" s="1"/>
  <c r="M694" i="170"/>
  <c r="L694" i="170"/>
  <c r="K694" i="170"/>
  <c r="O694" i="170" s="1"/>
  <c r="J694" i="170"/>
  <c r="H694" i="170"/>
  <c r="G694" i="170"/>
  <c r="I694" i="170" s="1"/>
  <c r="F694" i="170"/>
  <c r="N694" i="170" s="1"/>
  <c r="D694" i="170"/>
  <c r="C694" i="170"/>
  <c r="E694" i="170" s="1"/>
  <c r="N693" i="170"/>
  <c r="M693" i="170"/>
  <c r="L693" i="170"/>
  <c r="K693" i="170"/>
  <c r="J693" i="170"/>
  <c r="O693" i="170" s="1"/>
  <c r="G693" i="170"/>
  <c r="I693" i="170" s="1"/>
  <c r="F693" i="170"/>
  <c r="E693" i="170"/>
  <c r="C693" i="170"/>
  <c r="P693" i="170" s="1"/>
  <c r="M692" i="170"/>
  <c r="L692" i="170"/>
  <c r="K692" i="170"/>
  <c r="O692" i="170" s="1"/>
  <c r="J692" i="170"/>
  <c r="H692" i="170"/>
  <c r="G692" i="170"/>
  <c r="I692" i="170" s="1"/>
  <c r="F692" i="170"/>
  <c r="N692" i="170" s="1"/>
  <c r="D692" i="170"/>
  <c r="C692" i="170"/>
  <c r="N691" i="170"/>
  <c r="M691" i="170"/>
  <c r="L691" i="170"/>
  <c r="L696" i="170" s="1"/>
  <c r="K691" i="170"/>
  <c r="K696" i="170" s="1"/>
  <c r="J691" i="170"/>
  <c r="G691" i="170"/>
  <c r="I691" i="170" s="1"/>
  <c r="F691" i="170"/>
  <c r="E691" i="170"/>
  <c r="C691" i="170"/>
  <c r="P691" i="170" s="1"/>
  <c r="L688" i="170"/>
  <c r="K688" i="170"/>
  <c r="J688" i="170"/>
  <c r="C687" i="170"/>
  <c r="C681" i="170"/>
  <c r="I680" i="170"/>
  <c r="H680" i="170"/>
  <c r="F680" i="170"/>
  <c r="D680" i="170"/>
  <c r="M679" i="170"/>
  <c r="L679" i="170"/>
  <c r="O679" i="170" s="1"/>
  <c r="K679" i="170"/>
  <c r="J679" i="170"/>
  <c r="I679" i="170"/>
  <c r="H679" i="170"/>
  <c r="G679" i="170"/>
  <c r="F679" i="170"/>
  <c r="N679" i="170" s="1"/>
  <c r="E679" i="170"/>
  <c r="D679" i="170"/>
  <c r="C679" i="170"/>
  <c r="P679" i="170" s="1"/>
  <c r="M678" i="170"/>
  <c r="L678" i="170"/>
  <c r="K678" i="170"/>
  <c r="O678" i="170" s="1"/>
  <c r="J678" i="170"/>
  <c r="I678" i="170"/>
  <c r="G678" i="170"/>
  <c r="F678" i="170"/>
  <c r="H678" i="170" s="1"/>
  <c r="C678" i="170"/>
  <c r="P678" i="170" s="1"/>
  <c r="M677" i="170"/>
  <c r="L677" i="170"/>
  <c r="K677" i="170"/>
  <c r="J677" i="170"/>
  <c r="I677" i="170"/>
  <c r="H677" i="170"/>
  <c r="G677" i="170"/>
  <c r="F677" i="170"/>
  <c r="N677" i="170" s="1"/>
  <c r="E677" i="170"/>
  <c r="D677" i="170"/>
  <c r="C677" i="170"/>
  <c r="P677" i="170" s="1"/>
  <c r="N676" i="170"/>
  <c r="M676" i="170"/>
  <c r="L676" i="170"/>
  <c r="K676" i="170"/>
  <c r="K681" i="170" s="1"/>
  <c r="K683" i="170" s="1"/>
  <c r="J676" i="170"/>
  <c r="G676" i="170"/>
  <c r="G681" i="170" s="1"/>
  <c r="F676" i="170"/>
  <c r="E676" i="170"/>
  <c r="C676" i="170"/>
  <c r="P676" i="170" s="1"/>
  <c r="N675" i="170"/>
  <c r="M672" i="170"/>
  <c r="L672" i="170"/>
  <c r="K672" i="170"/>
  <c r="O672" i="170" s="1"/>
  <c r="J672" i="170"/>
  <c r="H672" i="170"/>
  <c r="G672" i="170"/>
  <c r="F672" i="170"/>
  <c r="N672" i="170" s="1"/>
  <c r="C672" i="170"/>
  <c r="P672" i="170" s="1"/>
  <c r="P671" i="170"/>
  <c r="M671" i="170"/>
  <c r="L671" i="170"/>
  <c r="K671" i="170"/>
  <c r="J671" i="170"/>
  <c r="H671" i="170"/>
  <c r="G671" i="170"/>
  <c r="F671" i="170"/>
  <c r="N671" i="170" s="1"/>
  <c r="D671" i="170"/>
  <c r="C671" i="170"/>
  <c r="P670" i="170"/>
  <c r="N670" i="170"/>
  <c r="M670" i="170"/>
  <c r="L670" i="170"/>
  <c r="K670" i="170"/>
  <c r="J670" i="170"/>
  <c r="O670" i="170" s="1"/>
  <c r="G670" i="170"/>
  <c r="F670" i="170"/>
  <c r="D670" i="170"/>
  <c r="C670" i="170"/>
  <c r="P669" i="170"/>
  <c r="M669" i="170"/>
  <c r="M674" i="170" s="1"/>
  <c r="L669" i="170"/>
  <c r="K669" i="170"/>
  <c r="K674" i="170" s="1"/>
  <c r="J669" i="170"/>
  <c r="I669" i="170"/>
  <c r="G669" i="170"/>
  <c r="G674" i="170" s="1"/>
  <c r="F669" i="170"/>
  <c r="H669" i="170" s="1"/>
  <c r="E669" i="170"/>
  <c r="C669" i="170"/>
  <c r="L666" i="170"/>
  <c r="K666" i="170"/>
  <c r="J666" i="170"/>
  <c r="C665" i="170"/>
  <c r="M659" i="170"/>
  <c r="I658" i="170"/>
  <c r="F658" i="170"/>
  <c r="D658" i="170" s="1"/>
  <c r="M657" i="170"/>
  <c r="L657" i="170"/>
  <c r="K657" i="170"/>
  <c r="O657" i="170" s="1"/>
  <c r="J657" i="170"/>
  <c r="G657" i="170"/>
  <c r="F657" i="170"/>
  <c r="C657" i="170"/>
  <c r="P657" i="170" s="1"/>
  <c r="P656" i="170"/>
  <c r="M656" i="170"/>
  <c r="L656" i="170"/>
  <c r="K656" i="170"/>
  <c r="J656" i="170"/>
  <c r="O656" i="170" s="1"/>
  <c r="G656" i="170"/>
  <c r="F656" i="170"/>
  <c r="C656" i="170"/>
  <c r="P655" i="170"/>
  <c r="N655" i="170"/>
  <c r="M655" i="170"/>
  <c r="L655" i="170"/>
  <c r="K655" i="170"/>
  <c r="J655" i="170"/>
  <c r="O655" i="170" s="1"/>
  <c r="H655" i="170"/>
  <c r="G655" i="170"/>
  <c r="F655" i="170"/>
  <c r="D655" i="170"/>
  <c r="C655" i="170"/>
  <c r="P654" i="170"/>
  <c r="M654" i="170"/>
  <c r="L654" i="170"/>
  <c r="L659" i="170" s="1"/>
  <c r="K654" i="170"/>
  <c r="K659" i="170" s="1"/>
  <c r="J654" i="170"/>
  <c r="I654" i="170"/>
  <c r="H654" i="170"/>
  <c r="G654" i="170"/>
  <c r="G659" i="170" s="1"/>
  <c r="G661" i="170" s="1"/>
  <c r="F654" i="170"/>
  <c r="E654" i="170"/>
  <c r="D654" i="170"/>
  <c r="C654" i="170"/>
  <c r="C659" i="170" s="1"/>
  <c r="N653" i="170"/>
  <c r="M652" i="170"/>
  <c r="M661" i="170" s="1"/>
  <c r="C652" i="170"/>
  <c r="P652" i="170" s="1"/>
  <c r="F651" i="170"/>
  <c r="I651" i="170" s="1"/>
  <c r="O650" i="170"/>
  <c r="M650" i="170"/>
  <c r="L650" i="170"/>
  <c r="K650" i="170"/>
  <c r="J650" i="170"/>
  <c r="G650" i="170"/>
  <c r="F650" i="170"/>
  <c r="C650" i="170"/>
  <c r="P650" i="170" s="1"/>
  <c r="O649" i="170"/>
  <c r="M649" i="170"/>
  <c r="L649" i="170"/>
  <c r="K649" i="170"/>
  <c r="J649" i="170"/>
  <c r="H649" i="170"/>
  <c r="G649" i="170"/>
  <c r="I649" i="170" s="1"/>
  <c r="F649" i="170"/>
  <c r="N649" i="170" s="1"/>
  <c r="D649" i="170"/>
  <c r="C649" i="170"/>
  <c r="E649" i="170" s="1"/>
  <c r="O648" i="170"/>
  <c r="M648" i="170"/>
  <c r="L648" i="170"/>
  <c r="K648" i="170"/>
  <c r="J648" i="170"/>
  <c r="G648" i="170"/>
  <c r="F648" i="170"/>
  <c r="C648" i="170"/>
  <c r="P648" i="170" s="1"/>
  <c r="O647" i="170"/>
  <c r="M647" i="170"/>
  <c r="L647" i="170"/>
  <c r="L652" i="170" s="1"/>
  <c r="L661" i="170" s="1"/>
  <c r="K647" i="170"/>
  <c r="K652" i="170" s="1"/>
  <c r="J647" i="170"/>
  <c r="J652" i="170" s="1"/>
  <c r="H647" i="170"/>
  <c r="G647" i="170"/>
  <c r="G652" i="170" s="1"/>
  <c r="F647" i="170"/>
  <c r="D647" i="170"/>
  <c r="C647" i="170"/>
  <c r="E647" i="170" s="1"/>
  <c r="L644" i="170"/>
  <c r="K644" i="170"/>
  <c r="J644" i="170"/>
  <c r="C643" i="170"/>
  <c r="H636" i="170"/>
  <c r="F636" i="170"/>
  <c r="I636" i="170" s="1"/>
  <c r="D636" i="170"/>
  <c r="M635" i="170"/>
  <c r="L635" i="170"/>
  <c r="K635" i="170"/>
  <c r="J635" i="170"/>
  <c r="I635" i="170"/>
  <c r="G635" i="170"/>
  <c r="F635" i="170"/>
  <c r="H635" i="170" s="1"/>
  <c r="E635" i="170"/>
  <c r="C635" i="170"/>
  <c r="O634" i="170"/>
  <c r="M634" i="170"/>
  <c r="L634" i="170"/>
  <c r="K634" i="170"/>
  <c r="J634" i="170"/>
  <c r="G634" i="170"/>
  <c r="F634" i="170"/>
  <c r="N634" i="170" s="1"/>
  <c r="D634" i="170"/>
  <c r="C634" i="170"/>
  <c r="M633" i="170"/>
  <c r="M637" i="170" s="1"/>
  <c r="L633" i="170"/>
  <c r="K633" i="170"/>
  <c r="O633" i="170" s="1"/>
  <c r="J633" i="170"/>
  <c r="I633" i="170"/>
  <c r="G633" i="170"/>
  <c r="F633" i="170"/>
  <c r="H633" i="170" s="1"/>
  <c r="E633" i="170"/>
  <c r="C633" i="170"/>
  <c r="P633" i="170" s="1"/>
  <c r="O632" i="170"/>
  <c r="M632" i="170"/>
  <c r="L632" i="170"/>
  <c r="L637" i="170" s="1"/>
  <c r="K632" i="170"/>
  <c r="J632" i="170"/>
  <c r="H632" i="170"/>
  <c r="G632" i="170"/>
  <c r="F632" i="170"/>
  <c r="D632" i="170"/>
  <c r="C632" i="170"/>
  <c r="N631" i="170"/>
  <c r="I629" i="170"/>
  <c r="F629" i="170"/>
  <c r="H629" i="170" s="1"/>
  <c r="P628" i="170"/>
  <c r="M628" i="170"/>
  <c r="L628" i="170"/>
  <c r="K628" i="170"/>
  <c r="J628" i="170"/>
  <c r="H628" i="170"/>
  <c r="G628" i="170"/>
  <c r="F628" i="170"/>
  <c r="N628" i="170" s="1"/>
  <c r="D628" i="170"/>
  <c r="C628" i="170"/>
  <c r="P627" i="170"/>
  <c r="M627" i="170"/>
  <c r="L627" i="170"/>
  <c r="K627" i="170"/>
  <c r="J627" i="170"/>
  <c r="O627" i="170" s="1"/>
  <c r="G627" i="170"/>
  <c r="F627" i="170"/>
  <c r="C627" i="170"/>
  <c r="M626" i="170"/>
  <c r="L626" i="170"/>
  <c r="K626" i="170"/>
  <c r="J626" i="170"/>
  <c r="H626" i="170"/>
  <c r="G626" i="170"/>
  <c r="F626" i="170"/>
  <c r="N626" i="170" s="1"/>
  <c r="D626" i="170"/>
  <c r="C626" i="170"/>
  <c r="N625" i="170"/>
  <c r="M625" i="170"/>
  <c r="M630" i="170" s="1"/>
  <c r="M639" i="170" s="1"/>
  <c r="L625" i="170"/>
  <c r="K625" i="170"/>
  <c r="K630" i="170" s="1"/>
  <c r="J625" i="170"/>
  <c r="O625" i="170" s="1"/>
  <c r="G625" i="170"/>
  <c r="G630" i="170" s="1"/>
  <c r="F625" i="170"/>
  <c r="C625" i="170"/>
  <c r="C630" i="170" s="1"/>
  <c r="L622" i="170"/>
  <c r="K622" i="170"/>
  <c r="J622" i="170"/>
  <c r="C621" i="170"/>
  <c r="I614" i="170"/>
  <c r="F614" i="170"/>
  <c r="H614" i="170" s="1"/>
  <c r="P613" i="170"/>
  <c r="M613" i="170"/>
  <c r="L613" i="170"/>
  <c r="K613" i="170"/>
  <c r="J613" i="170"/>
  <c r="O613" i="170" s="1"/>
  <c r="H613" i="170"/>
  <c r="G613" i="170"/>
  <c r="F613" i="170"/>
  <c r="N613" i="170" s="1"/>
  <c r="D613" i="170"/>
  <c r="C613" i="170"/>
  <c r="M612" i="170"/>
  <c r="L612" i="170"/>
  <c r="K612" i="170"/>
  <c r="J612" i="170"/>
  <c r="O612" i="170" s="1"/>
  <c r="G612" i="170"/>
  <c r="F612" i="170"/>
  <c r="C612" i="170"/>
  <c r="P611" i="170"/>
  <c r="M611" i="170"/>
  <c r="L611" i="170"/>
  <c r="K611" i="170"/>
  <c r="J611" i="170"/>
  <c r="H611" i="170"/>
  <c r="G611" i="170"/>
  <c r="F611" i="170"/>
  <c r="N611" i="170" s="1"/>
  <c r="D611" i="170"/>
  <c r="C611" i="170"/>
  <c r="N610" i="170"/>
  <c r="M610" i="170"/>
  <c r="M615" i="170" s="1"/>
  <c r="L610" i="170"/>
  <c r="K610" i="170"/>
  <c r="K615" i="170" s="1"/>
  <c r="J610" i="170"/>
  <c r="O610" i="170" s="1"/>
  <c r="G610" i="170"/>
  <c r="G615" i="170" s="1"/>
  <c r="F610" i="170"/>
  <c r="C610" i="170"/>
  <c r="C615" i="170" s="1"/>
  <c r="N609" i="170"/>
  <c r="I607" i="170"/>
  <c r="H607" i="170"/>
  <c r="F607" i="170"/>
  <c r="D607" i="170"/>
  <c r="O606" i="170"/>
  <c r="M606" i="170"/>
  <c r="L606" i="170"/>
  <c r="K606" i="170"/>
  <c r="J606" i="170"/>
  <c r="H606" i="170"/>
  <c r="G606" i="170"/>
  <c r="I606" i="170" s="1"/>
  <c r="F606" i="170"/>
  <c r="N606" i="170" s="1"/>
  <c r="D606" i="170"/>
  <c r="C606" i="170"/>
  <c r="P606" i="170" s="1"/>
  <c r="O605" i="170"/>
  <c r="M605" i="170"/>
  <c r="L605" i="170"/>
  <c r="K605" i="170"/>
  <c r="J605" i="170"/>
  <c r="G605" i="170"/>
  <c r="I605" i="170" s="1"/>
  <c r="F605" i="170"/>
  <c r="E605" i="170"/>
  <c r="C605" i="170"/>
  <c r="M604" i="170"/>
  <c r="O604" i="170" s="1"/>
  <c r="L604" i="170"/>
  <c r="K604" i="170"/>
  <c r="J604" i="170"/>
  <c r="I604" i="170"/>
  <c r="H604" i="170"/>
  <c r="G604" i="170"/>
  <c r="F604" i="170"/>
  <c r="N604" i="170" s="1"/>
  <c r="E604" i="170"/>
  <c r="D604" i="170"/>
  <c r="C604" i="170"/>
  <c r="P604" i="170" s="1"/>
  <c r="M603" i="170"/>
  <c r="M608" i="170" s="1"/>
  <c r="L603" i="170"/>
  <c r="L608" i="170" s="1"/>
  <c r="K603" i="170"/>
  <c r="J603" i="170"/>
  <c r="J608" i="170" s="1"/>
  <c r="G603" i="170"/>
  <c r="F603" i="170"/>
  <c r="C603" i="170"/>
  <c r="L600" i="170"/>
  <c r="K600" i="170"/>
  <c r="J600" i="170"/>
  <c r="C599" i="170"/>
  <c r="G593" i="170"/>
  <c r="I592" i="170"/>
  <c r="H592" i="170"/>
  <c r="F592" i="170"/>
  <c r="D592" i="170"/>
  <c r="M591" i="170"/>
  <c r="L591" i="170"/>
  <c r="O591" i="170" s="1"/>
  <c r="K591" i="170"/>
  <c r="J591" i="170"/>
  <c r="I591" i="170"/>
  <c r="H591" i="170"/>
  <c r="G591" i="170"/>
  <c r="F591" i="170"/>
  <c r="E591" i="170"/>
  <c r="D591" i="170"/>
  <c r="C591" i="170"/>
  <c r="M590" i="170"/>
  <c r="N590" i="170" s="1"/>
  <c r="L590" i="170"/>
  <c r="K590" i="170"/>
  <c r="J590" i="170"/>
  <c r="O590" i="170" s="1"/>
  <c r="I590" i="170"/>
  <c r="G590" i="170"/>
  <c r="F590" i="170"/>
  <c r="C590" i="170"/>
  <c r="M589" i="170"/>
  <c r="L589" i="170"/>
  <c r="O589" i="170" s="1"/>
  <c r="K589" i="170"/>
  <c r="J589" i="170"/>
  <c r="I589" i="170"/>
  <c r="H589" i="170"/>
  <c r="G589" i="170"/>
  <c r="F589" i="170"/>
  <c r="E589" i="170"/>
  <c r="D589" i="170"/>
  <c r="C589" i="170"/>
  <c r="N588" i="170"/>
  <c r="M588" i="170"/>
  <c r="M593" i="170" s="1"/>
  <c r="L588" i="170"/>
  <c r="K588" i="170"/>
  <c r="K593" i="170" s="1"/>
  <c r="J588" i="170"/>
  <c r="J593" i="170" s="1"/>
  <c r="I588" i="170"/>
  <c r="G588" i="170"/>
  <c r="F588" i="170"/>
  <c r="C588" i="170"/>
  <c r="N587" i="170"/>
  <c r="M586" i="170"/>
  <c r="I585" i="170"/>
  <c r="F585" i="170"/>
  <c r="D585" i="170" s="1"/>
  <c r="O584" i="170"/>
  <c r="M584" i="170"/>
  <c r="L584" i="170"/>
  <c r="K584" i="170"/>
  <c r="J584" i="170"/>
  <c r="G584" i="170"/>
  <c r="F584" i="170"/>
  <c r="C584" i="170"/>
  <c r="N583" i="170"/>
  <c r="M583" i="170"/>
  <c r="L583" i="170"/>
  <c r="K583" i="170"/>
  <c r="J583" i="170"/>
  <c r="O583" i="170" s="1"/>
  <c r="G583" i="170"/>
  <c r="F583" i="170"/>
  <c r="C583" i="170"/>
  <c r="P582" i="170"/>
  <c r="N582" i="170"/>
  <c r="M582" i="170"/>
  <c r="L582" i="170"/>
  <c r="K582" i="170"/>
  <c r="J582" i="170"/>
  <c r="H582" i="170"/>
  <c r="G582" i="170"/>
  <c r="F582" i="170"/>
  <c r="D582" i="170"/>
  <c r="C582" i="170"/>
  <c r="M581" i="170"/>
  <c r="L581" i="170"/>
  <c r="K581" i="170"/>
  <c r="J581" i="170"/>
  <c r="I581" i="170"/>
  <c r="H581" i="170"/>
  <c r="G581" i="170"/>
  <c r="F581" i="170"/>
  <c r="F586" i="170" s="1"/>
  <c r="E581" i="170"/>
  <c r="D581" i="170"/>
  <c r="C581" i="170"/>
  <c r="C586" i="170" s="1"/>
  <c r="L578" i="170"/>
  <c r="K578" i="170"/>
  <c r="J578" i="170"/>
  <c r="C577" i="170"/>
  <c r="G573" i="170"/>
  <c r="F570" i="170"/>
  <c r="M569" i="170"/>
  <c r="L569" i="170"/>
  <c r="K569" i="170"/>
  <c r="J569" i="170"/>
  <c r="O569" i="170" s="1"/>
  <c r="H569" i="170"/>
  <c r="G569" i="170"/>
  <c r="F569" i="170"/>
  <c r="N569" i="170" s="1"/>
  <c r="D569" i="170"/>
  <c r="C569" i="170"/>
  <c r="M568" i="170"/>
  <c r="L568" i="170"/>
  <c r="K568" i="170"/>
  <c r="J568" i="170"/>
  <c r="I568" i="170"/>
  <c r="H568" i="170"/>
  <c r="G568" i="170"/>
  <c r="F568" i="170"/>
  <c r="N568" i="170" s="1"/>
  <c r="E568" i="170"/>
  <c r="D568" i="170"/>
  <c r="C568" i="170"/>
  <c r="N567" i="170"/>
  <c r="M567" i="170"/>
  <c r="L567" i="170"/>
  <c r="L571" i="170" s="1"/>
  <c r="K567" i="170"/>
  <c r="J567" i="170"/>
  <c r="O567" i="170" s="1"/>
  <c r="G567" i="170"/>
  <c r="F567" i="170"/>
  <c r="D567" i="170"/>
  <c r="C567" i="170"/>
  <c r="M566" i="170"/>
  <c r="M571" i="170" s="1"/>
  <c r="L566" i="170"/>
  <c r="K566" i="170"/>
  <c r="K571" i="170" s="1"/>
  <c r="J566" i="170"/>
  <c r="I566" i="170"/>
  <c r="G566" i="170"/>
  <c r="G571" i="170" s="1"/>
  <c r="F566" i="170"/>
  <c r="H566" i="170" s="1"/>
  <c r="E566" i="170"/>
  <c r="C566" i="170"/>
  <c r="N565" i="170"/>
  <c r="K564" i="170"/>
  <c r="K573" i="170" s="1"/>
  <c r="G564" i="170"/>
  <c r="F563" i="170"/>
  <c r="M562" i="170"/>
  <c r="N562" i="170" s="1"/>
  <c r="L562" i="170"/>
  <c r="K562" i="170"/>
  <c r="J562" i="170"/>
  <c r="O562" i="170" s="1"/>
  <c r="I562" i="170"/>
  <c r="G562" i="170"/>
  <c r="F562" i="170"/>
  <c r="C562" i="170"/>
  <c r="M561" i="170"/>
  <c r="L561" i="170"/>
  <c r="O561" i="170" s="1"/>
  <c r="K561" i="170"/>
  <c r="J561" i="170"/>
  <c r="I561" i="170"/>
  <c r="H561" i="170"/>
  <c r="G561" i="170"/>
  <c r="F561" i="170"/>
  <c r="E561" i="170"/>
  <c r="D561" i="170"/>
  <c r="C561" i="170"/>
  <c r="P561" i="170" s="1"/>
  <c r="M560" i="170"/>
  <c r="N560" i="170" s="1"/>
  <c r="L560" i="170"/>
  <c r="K560" i="170"/>
  <c r="J560" i="170"/>
  <c r="I560" i="170"/>
  <c r="G560" i="170"/>
  <c r="F560" i="170"/>
  <c r="C560" i="170"/>
  <c r="M559" i="170"/>
  <c r="M564" i="170" s="1"/>
  <c r="M573" i="170" s="1"/>
  <c r="L559" i="170"/>
  <c r="K559" i="170"/>
  <c r="J559" i="170"/>
  <c r="I559" i="170"/>
  <c r="I564" i="170" s="1"/>
  <c r="H559" i="170"/>
  <c r="G559" i="170"/>
  <c r="F559" i="170"/>
  <c r="F564" i="170" s="1"/>
  <c r="E559" i="170"/>
  <c r="D559" i="170"/>
  <c r="C559" i="170"/>
  <c r="L556" i="170"/>
  <c r="K556" i="170"/>
  <c r="J556" i="170"/>
  <c r="C555" i="170"/>
  <c r="K549" i="170"/>
  <c r="F548" i="170"/>
  <c r="P547" i="170"/>
  <c r="M547" i="170"/>
  <c r="L547" i="170"/>
  <c r="K547" i="170"/>
  <c r="J547" i="170"/>
  <c r="O547" i="170" s="1"/>
  <c r="G547" i="170"/>
  <c r="F547" i="170"/>
  <c r="C547" i="170"/>
  <c r="P546" i="170"/>
  <c r="M546" i="170"/>
  <c r="L546" i="170"/>
  <c r="K546" i="170"/>
  <c r="J546" i="170"/>
  <c r="I546" i="170"/>
  <c r="H546" i="170"/>
  <c r="G546" i="170"/>
  <c r="F546" i="170"/>
  <c r="N546" i="170" s="1"/>
  <c r="E546" i="170"/>
  <c r="D546" i="170"/>
  <c r="C546" i="170"/>
  <c r="P545" i="170"/>
  <c r="N545" i="170"/>
  <c r="M545" i="170"/>
  <c r="L545" i="170"/>
  <c r="K545" i="170"/>
  <c r="J545" i="170"/>
  <c r="O545" i="170" s="1"/>
  <c r="G545" i="170"/>
  <c r="G549" i="170" s="1"/>
  <c r="G551" i="170" s="1"/>
  <c r="F545" i="170"/>
  <c r="C545" i="170"/>
  <c r="C549" i="170" s="1"/>
  <c r="P544" i="170"/>
  <c r="M544" i="170"/>
  <c r="M549" i="170" s="1"/>
  <c r="L544" i="170"/>
  <c r="K544" i="170"/>
  <c r="J544" i="170"/>
  <c r="H544" i="170"/>
  <c r="G544" i="170"/>
  <c r="F544" i="170"/>
  <c r="I544" i="170" s="1"/>
  <c r="D544" i="170"/>
  <c r="C544" i="170"/>
  <c r="N543" i="170"/>
  <c r="G542" i="170"/>
  <c r="H541" i="170"/>
  <c r="F541" i="170"/>
  <c r="I541" i="170" s="1"/>
  <c r="D541" i="170"/>
  <c r="M540" i="170"/>
  <c r="L540" i="170"/>
  <c r="K540" i="170"/>
  <c r="O540" i="170" s="1"/>
  <c r="J540" i="170"/>
  <c r="I540" i="170"/>
  <c r="G540" i="170"/>
  <c r="F540" i="170"/>
  <c r="H540" i="170" s="1"/>
  <c r="E540" i="170"/>
  <c r="C540" i="170"/>
  <c r="P540" i="170" s="1"/>
  <c r="O539" i="170"/>
  <c r="M539" i="170"/>
  <c r="L539" i="170"/>
  <c r="K539" i="170"/>
  <c r="J539" i="170"/>
  <c r="H539" i="170"/>
  <c r="G539" i="170"/>
  <c r="I539" i="170" s="1"/>
  <c r="F539" i="170"/>
  <c r="N539" i="170" s="1"/>
  <c r="D539" i="170"/>
  <c r="C539" i="170"/>
  <c r="M538" i="170"/>
  <c r="L538" i="170"/>
  <c r="K538" i="170"/>
  <c r="J538" i="170"/>
  <c r="I538" i="170"/>
  <c r="G538" i="170"/>
  <c r="F538" i="170"/>
  <c r="H538" i="170" s="1"/>
  <c r="E538" i="170"/>
  <c r="C538" i="170"/>
  <c r="P538" i="170" s="1"/>
  <c r="M537" i="170"/>
  <c r="L537" i="170"/>
  <c r="L542" i="170" s="1"/>
  <c r="K537" i="170"/>
  <c r="J537" i="170"/>
  <c r="J542" i="170" s="1"/>
  <c r="H537" i="170"/>
  <c r="G537" i="170"/>
  <c r="I537" i="170" s="1"/>
  <c r="F537" i="170"/>
  <c r="F542" i="170" s="1"/>
  <c r="D537" i="170"/>
  <c r="C537" i="170"/>
  <c r="L534" i="170"/>
  <c r="K534" i="170"/>
  <c r="J534" i="170"/>
  <c r="C533" i="170"/>
  <c r="G527" i="170"/>
  <c r="F526" i="170"/>
  <c r="I526" i="170" s="1"/>
  <c r="D526" i="170"/>
  <c r="M525" i="170"/>
  <c r="L525" i="170"/>
  <c r="K525" i="170"/>
  <c r="J525" i="170"/>
  <c r="I525" i="170"/>
  <c r="G525" i="170"/>
  <c r="F525" i="170"/>
  <c r="H525" i="170" s="1"/>
  <c r="E525" i="170"/>
  <c r="C525" i="170"/>
  <c r="M524" i="170"/>
  <c r="L524" i="170"/>
  <c r="K524" i="170"/>
  <c r="O524" i="170" s="1"/>
  <c r="J524" i="170"/>
  <c r="G524" i="170"/>
  <c r="F524" i="170"/>
  <c r="N524" i="170" s="1"/>
  <c r="D524" i="170"/>
  <c r="C524" i="170"/>
  <c r="M523" i="170"/>
  <c r="L523" i="170"/>
  <c r="K523" i="170"/>
  <c r="J523" i="170"/>
  <c r="I523" i="170"/>
  <c r="G523" i="170"/>
  <c r="F523" i="170"/>
  <c r="H523" i="170" s="1"/>
  <c r="E523" i="170"/>
  <c r="C523" i="170"/>
  <c r="P523" i="170" s="1"/>
  <c r="M522" i="170"/>
  <c r="L522" i="170"/>
  <c r="L527" i="170" s="1"/>
  <c r="K522" i="170"/>
  <c r="J522" i="170"/>
  <c r="J527" i="170" s="1"/>
  <c r="H522" i="170"/>
  <c r="G522" i="170"/>
  <c r="I522" i="170" s="1"/>
  <c r="F522" i="170"/>
  <c r="F527" i="170" s="1"/>
  <c r="D522" i="170"/>
  <c r="C522" i="170"/>
  <c r="N521" i="170"/>
  <c r="D520" i="170"/>
  <c r="I519" i="170"/>
  <c r="F519" i="170"/>
  <c r="H519" i="170" s="1"/>
  <c r="D519" i="170"/>
  <c r="P518" i="170"/>
  <c r="M518" i="170"/>
  <c r="L518" i="170"/>
  <c r="K518" i="170"/>
  <c r="J518" i="170"/>
  <c r="H518" i="170"/>
  <c r="G518" i="170"/>
  <c r="F518" i="170"/>
  <c r="N518" i="170" s="1"/>
  <c r="D518" i="170"/>
  <c r="C518" i="170"/>
  <c r="P517" i="170"/>
  <c r="N517" i="170"/>
  <c r="M517" i="170"/>
  <c r="L517" i="170"/>
  <c r="K517" i="170"/>
  <c r="J517" i="170"/>
  <c r="O517" i="170" s="1"/>
  <c r="G517" i="170"/>
  <c r="F517" i="170"/>
  <c r="D517" i="170"/>
  <c r="C517" i="170"/>
  <c r="P516" i="170"/>
  <c r="M516" i="170"/>
  <c r="L516" i="170"/>
  <c r="K516" i="170"/>
  <c r="J516" i="170"/>
  <c r="I516" i="170"/>
  <c r="G516" i="170"/>
  <c r="F516" i="170"/>
  <c r="H516" i="170" s="1"/>
  <c r="E516" i="170"/>
  <c r="C516" i="170"/>
  <c r="O515" i="170"/>
  <c r="M515" i="170"/>
  <c r="L515" i="170"/>
  <c r="K515" i="170"/>
  <c r="K520" i="170" s="1"/>
  <c r="J515" i="170"/>
  <c r="J520" i="170" s="1"/>
  <c r="G515" i="170"/>
  <c r="G520" i="170" s="1"/>
  <c r="F515" i="170"/>
  <c r="C515" i="170"/>
  <c r="C520" i="170" s="1"/>
  <c r="L512" i="170"/>
  <c r="K512" i="170"/>
  <c r="J512" i="170"/>
  <c r="C511" i="170"/>
  <c r="G505" i="170"/>
  <c r="G507" i="170" s="1"/>
  <c r="I504" i="170"/>
  <c r="F504" i="170"/>
  <c r="H504" i="170" s="1"/>
  <c r="D504" i="170"/>
  <c r="N503" i="170"/>
  <c r="M503" i="170"/>
  <c r="L503" i="170"/>
  <c r="K503" i="170"/>
  <c r="J503" i="170"/>
  <c r="O503" i="170" s="1"/>
  <c r="G503" i="170"/>
  <c r="F503" i="170"/>
  <c r="C503" i="170"/>
  <c r="P502" i="170"/>
  <c r="N502" i="170"/>
  <c r="M502" i="170"/>
  <c r="L502" i="170"/>
  <c r="L505" i="170" s="1"/>
  <c r="K502" i="170"/>
  <c r="J502" i="170"/>
  <c r="O502" i="170" s="1"/>
  <c r="G502" i="170"/>
  <c r="H502" i="170" s="1"/>
  <c r="F502" i="170"/>
  <c r="D502" i="170"/>
  <c r="C502" i="170"/>
  <c r="M501" i="170"/>
  <c r="L501" i="170"/>
  <c r="K501" i="170"/>
  <c r="J501" i="170"/>
  <c r="I501" i="170"/>
  <c r="H501" i="170"/>
  <c r="G501" i="170"/>
  <c r="F501" i="170"/>
  <c r="N501" i="170" s="1"/>
  <c r="E501" i="170"/>
  <c r="D501" i="170"/>
  <c r="C501" i="170"/>
  <c r="M500" i="170"/>
  <c r="M505" i="170" s="1"/>
  <c r="L500" i="170"/>
  <c r="K500" i="170"/>
  <c r="K505" i="170" s="1"/>
  <c r="J500" i="170"/>
  <c r="H500" i="170"/>
  <c r="G500" i="170"/>
  <c r="F500" i="170"/>
  <c r="N500" i="170" s="1"/>
  <c r="C500" i="170"/>
  <c r="N499" i="170"/>
  <c r="M498" i="170"/>
  <c r="G498" i="170"/>
  <c r="I497" i="170"/>
  <c r="H497" i="170"/>
  <c r="F497" i="170"/>
  <c r="D497" i="170"/>
  <c r="M496" i="170"/>
  <c r="L496" i="170"/>
  <c r="K496" i="170"/>
  <c r="O496" i="170" s="1"/>
  <c r="J496" i="170"/>
  <c r="H496" i="170"/>
  <c r="G496" i="170"/>
  <c r="I496" i="170" s="1"/>
  <c r="F496" i="170"/>
  <c r="N496" i="170" s="1"/>
  <c r="D496" i="170"/>
  <c r="C496" i="170"/>
  <c r="E496" i="170" s="1"/>
  <c r="N495" i="170"/>
  <c r="M495" i="170"/>
  <c r="L495" i="170"/>
  <c r="K495" i="170"/>
  <c r="J495" i="170"/>
  <c r="O495" i="170" s="1"/>
  <c r="G495" i="170"/>
  <c r="I495" i="170" s="1"/>
  <c r="F495" i="170"/>
  <c r="E495" i="170"/>
  <c r="C495" i="170"/>
  <c r="P494" i="170"/>
  <c r="M494" i="170"/>
  <c r="L494" i="170"/>
  <c r="K494" i="170"/>
  <c r="O494" i="170" s="1"/>
  <c r="J494" i="170"/>
  <c r="H494" i="170"/>
  <c r="G494" i="170"/>
  <c r="I494" i="170" s="1"/>
  <c r="F494" i="170"/>
  <c r="N494" i="170" s="1"/>
  <c r="D494" i="170"/>
  <c r="C494" i="170"/>
  <c r="E494" i="170" s="1"/>
  <c r="M493" i="170"/>
  <c r="N493" i="170" s="1"/>
  <c r="L493" i="170"/>
  <c r="L498" i="170" s="1"/>
  <c r="K493" i="170"/>
  <c r="K498" i="170" s="1"/>
  <c r="J493" i="170"/>
  <c r="O493" i="170" s="1"/>
  <c r="G493" i="170"/>
  <c r="I493" i="170" s="1"/>
  <c r="F493" i="170"/>
  <c r="C493" i="170"/>
  <c r="L490" i="170"/>
  <c r="K490" i="170"/>
  <c r="J490" i="170"/>
  <c r="C489" i="170"/>
  <c r="I482" i="170"/>
  <c r="H482" i="170"/>
  <c r="F482" i="170"/>
  <c r="D482" i="170"/>
  <c r="M481" i="170"/>
  <c r="L481" i="170"/>
  <c r="O481" i="170" s="1"/>
  <c r="K481" i="170"/>
  <c r="J481" i="170"/>
  <c r="I481" i="170"/>
  <c r="H481" i="170"/>
  <c r="G481" i="170"/>
  <c r="F481" i="170"/>
  <c r="N481" i="170" s="1"/>
  <c r="E481" i="170"/>
  <c r="D481" i="170"/>
  <c r="C481" i="170"/>
  <c r="P481" i="170" s="1"/>
  <c r="M480" i="170"/>
  <c r="L480" i="170"/>
  <c r="K480" i="170"/>
  <c r="J480" i="170"/>
  <c r="I480" i="170"/>
  <c r="G480" i="170"/>
  <c r="F480" i="170"/>
  <c r="N480" i="170" s="1"/>
  <c r="C480" i="170"/>
  <c r="M479" i="170"/>
  <c r="L479" i="170"/>
  <c r="O479" i="170" s="1"/>
  <c r="K479" i="170"/>
  <c r="J479" i="170"/>
  <c r="I479" i="170"/>
  <c r="H479" i="170"/>
  <c r="G479" i="170"/>
  <c r="F479" i="170"/>
  <c r="N479" i="170" s="1"/>
  <c r="E479" i="170"/>
  <c r="D479" i="170"/>
  <c r="C479" i="170"/>
  <c r="P479" i="170" s="1"/>
  <c r="N478" i="170"/>
  <c r="M478" i="170"/>
  <c r="M483" i="170" s="1"/>
  <c r="L478" i="170"/>
  <c r="K478" i="170"/>
  <c r="K483" i="170" s="1"/>
  <c r="J478" i="170"/>
  <c r="I478" i="170"/>
  <c r="G478" i="170"/>
  <c r="G483" i="170" s="1"/>
  <c r="F478" i="170"/>
  <c r="C478" i="170"/>
  <c r="C483" i="170" s="1"/>
  <c r="N477" i="170"/>
  <c r="M476" i="170"/>
  <c r="I475" i="170"/>
  <c r="F475" i="170"/>
  <c r="D475" i="170" s="1"/>
  <c r="P474" i="170"/>
  <c r="O474" i="170"/>
  <c r="M474" i="170"/>
  <c r="L474" i="170"/>
  <c r="K474" i="170"/>
  <c r="J474" i="170"/>
  <c r="G474" i="170"/>
  <c r="F474" i="170"/>
  <c r="C474" i="170"/>
  <c r="P473" i="170"/>
  <c r="N473" i="170"/>
  <c r="M473" i="170"/>
  <c r="L473" i="170"/>
  <c r="K473" i="170"/>
  <c r="J473" i="170"/>
  <c r="O473" i="170" s="1"/>
  <c r="G473" i="170"/>
  <c r="F473" i="170"/>
  <c r="C473" i="170"/>
  <c r="P472" i="170"/>
  <c r="N472" i="170"/>
  <c r="M472" i="170"/>
  <c r="L472" i="170"/>
  <c r="K472" i="170"/>
  <c r="J472" i="170"/>
  <c r="H472" i="170"/>
  <c r="G472" i="170"/>
  <c r="G476" i="170" s="1"/>
  <c r="F472" i="170"/>
  <c r="D472" i="170"/>
  <c r="C472" i="170"/>
  <c r="P471" i="170"/>
  <c r="M471" i="170"/>
  <c r="L471" i="170"/>
  <c r="K471" i="170"/>
  <c r="K476" i="170" s="1"/>
  <c r="K485" i="170" s="1"/>
  <c r="J471" i="170"/>
  <c r="I471" i="170"/>
  <c r="H471" i="170"/>
  <c r="G471" i="170"/>
  <c r="F471" i="170"/>
  <c r="F476" i="170" s="1"/>
  <c r="E471" i="170"/>
  <c r="D471" i="170"/>
  <c r="C471" i="170"/>
  <c r="C476" i="170" s="1"/>
  <c r="P476" i="170" s="1"/>
  <c r="L468" i="170"/>
  <c r="K468" i="170"/>
  <c r="J468" i="170"/>
  <c r="C467" i="170"/>
  <c r="D460" i="170"/>
  <c r="O459" i="170"/>
  <c r="M459" i="170"/>
  <c r="L459" i="170"/>
  <c r="K459" i="170"/>
  <c r="J459" i="170"/>
  <c r="G459" i="170"/>
  <c r="I459" i="170" s="1"/>
  <c r="F459" i="170"/>
  <c r="N459" i="170" s="1"/>
  <c r="D459" i="170"/>
  <c r="C459" i="170"/>
  <c r="E459" i="170" s="1"/>
  <c r="M458" i="170"/>
  <c r="L458" i="170"/>
  <c r="K458" i="170"/>
  <c r="O458" i="170" s="1"/>
  <c r="J458" i="170"/>
  <c r="G458" i="170"/>
  <c r="F458" i="170"/>
  <c r="C458" i="170"/>
  <c r="P457" i="170"/>
  <c r="M457" i="170"/>
  <c r="M461" i="170" s="1"/>
  <c r="L457" i="170"/>
  <c r="K457" i="170"/>
  <c r="J457" i="170"/>
  <c r="H457" i="170"/>
  <c r="G457" i="170"/>
  <c r="F457" i="170"/>
  <c r="N457" i="170" s="1"/>
  <c r="D457" i="170"/>
  <c r="C457" i="170"/>
  <c r="P456" i="170"/>
  <c r="M456" i="170"/>
  <c r="L456" i="170"/>
  <c r="L461" i="170" s="1"/>
  <c r="L463" i="170" s="1"/>
  <c r="K456" i="170"/>
  <c r="J456" i="170"/>
  <c r="O456" i="170" s="1"/>
  <c r="G456" i="170"/>
  <c r="G461" i="170" s="1"/>
  <c r="F456" i="170"/>
  <c r="C456" i="170"/>
  <c r="C461" i="170" s="1"/>
  <c r="N455" i="170"/>
  <c r="M454" i="170"/>
  <c r="D453" i="170"/>
  <c r="P452" i="170"/>
  <c r="M452" i="170"/>
  <c r="M408" i="170" s="1"/>
  <c r="L452" i="170"/>
  <c r="K452" i="170"/>
  <c r="J452" i="170"/>
  <c r="H452" i="170"/>
  <c r="G452" i="170"/>
  <c r="F452" i="170"/>
  <c r="N452" i="170" s="1"/>
  <c r="D452" i="170"/>
  <c r="C452" i="170"/>
  <c r="N451" i="170"/>
  <c r="M451" i="170"/>
  <c r="L451" i="170"/>
  <c r="K451" i="170"/>
  <c r="J451" i="170"/>
  <c r="O451" i="170" s="1"/>
  <c r="G451" i="170"/>
  <c r="F451" i="170"/>
  <c r="C451" i="170"/>
  <c r="P450" i="170"/>
  <c r="M450" i="170"/>
  <c r="M406" i="170" s="1"/>
  <c r="L450" i="170"/>
  <c r="K450" i="170"/>
  <c r="J450" i="170"/>
  <c r="O450" i="170" s="1"/>
  <c r="H450" i="170"/>
  <c r="G450" i="170"/>
  <c r="F450" i="170"/>
  <c r="N450" i="170" s="1"/>
  <c r="D450" i="170"/>
  <c r="C450" i="170"/>
  <c r="M449" i="170"/>
  <c r="L449" i="170"/>
  <c r="L454" i="170" s="1"/>
  <c r="K449" i="170"/>
  <c r="K454" i="170" s="1"/>
  <c r="J449" i="170"/>
  <c r="G449" i="170"/>
  <c r="G454" i="170" s="1"/>
  <c r="G463" i="170" s="1"/>
  <c r="F449" i="170"/>
  <c r="N449" i="170" s="1"/>
  <c r="C449" i="170"/>
  <c r="C454" i="170" s="1"/>
  <c r="L446" i="170"/>
  <c r="K446" i="170"/>
  <c r="J446" i="170"/>
  <c r="C445" i="170"/>
  <c r="I438" i="170"/>
  <c r="F438" i="170"/>
  <c r="H438" i="170" s="1"/>
  <c r="M437" i="170"/>
  <c r="L437" i="170"/>
  <c r="K437" i="170"/>
  <c r="J437" i="170"/>
  <c r="O437" i="170" s="1"/>
  <c r="H437" i="170"/>
  <c r="G437" i="170"/>
  <c r="F437" i="170"/>
  <c r="N437" i="170" s="1"/>
  <c r="D437" i="170"/>
  <c r="C437" i="170"/>
  <c r="M436" i="170"/>
  <c r="L436" i="170"/>
  <c r="K436" i="170"/>
  <c r="J436" i="170"/>
  <c r="O436" i="170" s="1"/>
  <c r="G436" i="170"/>
  <c r="F436" i="170"/>
  <c r="C436" i="170"/>
  <c r="P435" i="170"/>
  <c r="M435" i="170"/>
  <c r="L435" i="170"/>
  <c r="K435" i="170"/>
  <c r="J435" i="170"/>
  <c r="H435" i="170"/>
  <c r="G435" i="170"/>
  <c r="F435" i="170"/>
  <c r="N435" i="170" s="1"/>
  <c r="D435" i="170"/>
  <c r="C435" i="170"/>
  <c r="N434" i="170"/>
  <c r="M434" i="170"/>
  <c r="M439" i="170" s="1"/>
  <c r="L434" i="170"/>
  <c r="K434" i="170"/>
  <c r="K439" i="170" s="1"/>
  <c r="J434" i="170"/>
  <c r="G434" i="170"/>
  <c r="G439" i="170" s="1"/>
  <c r="F434" i="170"/>
  <c r="C434" i="170"/>
  <c r="C439" i="170" s="1"/>
  <c r="N433" i="170"/>
  <c r="I431" i="170"/>
  <c r="H431" i="170"/>
  <c r="F431" i="170"/>
  <c r="D431" i="170"/>
  <c r="O430" i="170"/>
  <c r="M430" i="170"/>
  <c r="L430" i="170"/>
  <c r="K430" i="170"/>
  <c r="J430" i="170"/>
  <c r="G430" i="170"/>
  <c r="F430" i="170"/>
  <c r="N430" i="170" s="1"/>
  <c r="D430" i="170"/>
  <c r="C430" i="170"/>
  <c r="M429" i="170"/>
  <c r="L429" i="170"/>
  <c r="K429" i="170"/>
  <c r="J429" i="170"/>
  <c r="I429" i="170"/>
  <c r="G429" i="170"/>
  <c r="F429" i="170"/>
  <c r="H429" i="170" s="1"/>
  <c r="E429" i="170"/>
  <c r="C429" i="170"/>
  <c r="O428" i="170"/>
  <c r="M428" i="170"/>
  <c r="L428" i="170"/>
  <c r="K428" i="170"/>
  <c r="J428" i="170"/>
  <c r="H428" i="170"/>
  <c r="G428" i="170"/>
  <c r="I428" i="170" s="1"/>
  <c r="F428" i="170"/>
  <c r="N428" i="170" s="1"/>
  <c r="D428" i="170"/>
  <c r="C428" i="170"/>
  <c r="M427" i="170"/>
  <c r="M432" i="170" s="1"/>
  <c r="M441" i="170" s="1"/>
  <c r="L427" i="170"/>
  <c r="L432" i="170" s="1"/>
  <c r="K427" i="170"/>
  <c r="K432" i="170" s="1"/>
  <c r="K441" i="170" s="1"/>
  <c r="J427" i="170"/>
  <c r="J432" i="170" s="1"/>
  <c r="I427" i="170"/>
  <c r="G427" i="170"/>
  <c r="F427" i="170"/>
  <c r="H427" i="170" s="1"/>
  <c r="E427" i="170"/>
  <c r="C427" i="170"/>
  <c r="L424" i="170"/>
  <c r="K424" i="170"/>
  <c r="J424" i="170"/>
  <c r="C423" i="170"/>
  <c r="I416" i="170"/>
  <c r="H416" i="170"/>
  <c r="F416" i="170"/>
  <c r="D416" i="170"/>
  <c r="O415" i="170"/>
  <c r="M415" i="170"/>
  <c r="L415" i="170"/>
  <c r="K415" i="170"/>
  <c r="J415" i="170"/>
  <c r="H415" i="170"/>
  <c r="G415" i="170"/>
  <c r="I415" i="170" s="1"/>
  <c r="F415" i="170"/>
  <c r="N415" i="170" s="1"/>
  <c r="D415" i="170"/>
  <c r="C415" i="170"/>
  <c r="M414" i="170"/>
  <c r="L414" i="170"/>
  <c r="K414" i="170"/>
  <c r="O414" i="170" s="1"/>
  <c r="J414" i="170"/>
  <c r="I414" i="170"/>
  <c r="G414" i="170"/>
  <c r="F414" i="170"/>
  <c r="H414" i="170" s="1"/>
  <c r="E414" i="170"/>
  <c r="C414" i="170"/>
  <c r="P414" i="170" s="1"/>
  <c r="M413" i="170"/>
  <c r="L413" i="170"/>
  <c r="K413" i="170"/>
  <c r="O413" i="170" s="1"/>
  <c r="J413" i="170"/>
  <c r="H413" i="170"/>
  <c r="G413" i="170"/>
  <c r="I413" i="170" s="1"/>
  <c r="F413" i="170"/>
  <c r="N413" i="170" s="1"/>
  <c r="D413" i="170"/>
  <c r="C413" i="170"/>
  <c r="M412" i="170"/>
  <c r="M417" i="170" s="1"/>
  <c r="L412" i="170"/>
  <c r="L417" i="170" s="1"/>
  <c r="K412" i="170"/>
  <c r="J412" i="170"/>
  <c r="O412" i="170" s="1"/>
  <c r="I412" i="170"/>
  <c r="G412" i="170"/>
  <c r="G417" i="170" s="1"/>
  <c r="G419" i="170" s="1"/>
  <c r="F412" i="170"/>
  <c r="H412" i="170" s="1"/>
  <c r="E412" i="170"/>
  <c r="C412" i="170"/>
  <c r="N411" i="170"/>
  <c r="F409" i="170"/>
  <c r="P408" i="170"/>
  <c r="L408" i="170"/>
  <c r="K408" i="170"/>
  <c r="J408" i="170"/>
  <c r="O408" i="170" s="1"/>
  <c r="G408" i="170"/>
  <c r="F408" i="170"/>
  <c r="C408" i="170"/>
  <c r="P407" i="170"/>
  <c r="M407" i="170"/>
  <c r="L407" i="170"/>
  <c r="K407" i="170"/>
  <c r="J407" i="170"/>
  <c r="O407" i="170" s="1"/>
  <c r="H407" i="170"/>
  <c r="G407" i="170"/>
  <c r="F407" i="170"/>
  <c r="N407" i="170" s="1"/>
  <c r="D407" i="170"/>
  <c r="C407" i="170"/>
  <c r="P406" i="170"/>
  <c r="L406" i="170"/>
  <c r="K406" i="170"/>
  <c r="J406" i="170"/>
  <c r="O406" i="170" s="1"/>
  <c r="G406" i="170"/>
  <c r="F406" i="170"/>
  <c r="C406" i="170"/>
  <c r="P405" i="170"/>
  <c r="M405" i="170"/>
  <c r="L405" i="170"/>
  <c r="L410" i="170" s="1"/>
  <c r="L419" i="170" s="1"/>
  <c r="K405" i="170"/>
  <c r="K410" i="170" s="1"/>
  <c r="J405" i="170"/>
  <c r="H405" i="170"/>
  <c r="G405" i="170"/>
  <c r="G410" i="170" s="1"/>
  <c r="F405" i="170"/>
  <c r="D405" i="170"/>
  <c r="C405" i="170"/>
  <c r="C410" i="170" s="1"/>
  <c r="L402" i="170"/>
  <c r="K402" i="170"/>
  <c r="J402" i="170"/>
  <c r="C401" i="170"/>
  <c r="L395" i="170"/>
  <c r="F394" i="170"/>
  <c r="P393" i="170"/>
  <c r="N393" i="170"/>
  <c r="M393" i="170"/>
  <c r="L393" i="170"/>
  <c r="K393" i="170"/>
  <c r="J393" i="170"/>
  <c r="O393" i="170" s="1"/>
  <c r="G393" i="170"/>
  <c r="F393" i="170"/>
  <c r="C393" i="170"/>
  <c r="P392" i="170"/>
  <c r="M392" i="170"/>
  <c r="L392" i="170"/>
  <c r="K392" i="170"/>
  <c r="J392" i="170"/>
  <c r="O392" i="170" s="1"/>
  <c r="H392" i="170"/>
  <c r="G392" i="170"/>
  <c r="F392" i="170"/>
  <c r="N392" i="170" s="1"/>
  <c r="D392" i="170"/>
  <c r="C392" i="170"/>
  <c r="P391" i="170"/>
  <c r="N391" i="170"/>
  <c r="M391" i="170"/>
  <c r="L391" i="170"/>
  <c r="K391" i="170"/>
  <c r="J391" i="170"/>
  <c r="O391" i="170" s="1"/>
  <c r="G391" i="170"/>
  <c r="F391" i="170"/>
  <c r="C391" i="170"/>
  <c r="P390" i="170"/>
  <c r="M390" i="170"/>
  <c r="M395" i="170" s="1"/>
  <c r="L390" i="170"/>
  <c r="K390" i="170"/>
  <c r="K395" i="170" s="1"/>
  <c r="J390" i="170"/>
  <c r="O390" i="170" s="1"/>
  <c r="H390" i="170"/>
  <c r="G390" i="170"/>
  <c r="G395" i="170" s="1"/>
  <c r="F390" i="170"/>
  <c r="D390" i="170"/>
  <c r="C390" i="170"/>
  <c r="C395" i="170" s="1"/>
  <c r="P395" i="170" s="1"/>
  <c r="N389" i="170"/>
  <c r="K388" i="170"/>
  <c r="K397" i="170" s="1"/>
  <c r="H387" i="170"/>
  <c r="F387" i="170"/>
  <c r="I387" i="170" s="1"/>
  <c r="D387" i="170"/>
  <c r="M386" i="170"/>
  <c r="L386" i="170"/>
  <c r="K386" i="170"/>
  <c r="O386" i="170" s="1"/>
  <c r="J386" i="170"/>
  <c r="I386" i="170"/>
  <c r="G386" i="170"/>
  <c r="F386" i="170"/>
  <c r="H386" i="170" s="1"/>
  <c r="E386" i="170"/>
  <c r="C386" i="170"/>
  <c r="P386" i="170" s="1"/>
  <c r="M385" i="170"/>
  <c r="L385" i="170"/>
  <c r="K385" i="170"/>
  <c r="O385" i="170" s="1"/>
  <c r="J385" i="170"/>
  <c r="H385" i="170"/>
  <c r="G385" i="170"/>
  <c r="I385" i="170" s="1"/>
  <c r="F385" i="170"/>
  <c r="N385" i="170" s="1"/>
  <c r="D385" i="170"/>
  <c r="C385" i="170"/>
  <c r="M384" i="170"/>
  <c r="L384" i="170"/>
  <c r="K384" i="170"/>
  <c r="J384" i="170"/>
  <c r="I384" i="170"/>
  <c r="G384" i="170"/>
  <c r="F384" i="170"/>
  <c r="H384" i="170" s="1"/>
  <c r="E384" i="170"/>
  <c r="C384" i="170"/>
  <c r="P384" i="170" s="1"/>
  <c r="O383" i="170"/>
  <c r="M383" i="170"/>
  <c r="L383" i="170"/>
  <c r="L388" i="170" s="1"/>
  <c r="L397" i="170" s="1"/>
  <c r="K383" i="170"/>
  <c r="J383" i="170"/>
  <c r="J388" i="170" s="1"/>
  <c r="H383" i="170"/>
  <c r="G383" i="170"/>
  <c r="F383" i="170"/>
  <c r="F388" i="170" s="1"/>
  <c r="D383" i="170"/>
  <c r="C383" i="170"/>
  <c r="L380" i="170"/>
  <c r="K380" i="170"/>
  <c r="J380" i="170"/>
  <c r="C379" i="170"/>
  <c r="K373" i="170"/>
  <c r="H372" i="170"/>
  <c r="F372" i="170"/>
  <c r="I372" i="170" s="1"/>
  <c r="D372" i="170"/>
  <c r="M371" i="170"/>
  <c r="L371" i="170"/>
  <c r="K371" i="170"/>
  <c r="O371" i="170" s="1"/>
  <c r="J371" i="170"/>
  <c r="I371" i="170"/>
  <c r="G371" i="170"/>
  <c r="F371" i="170"/>
  <c r="H371" i="170" s="1"/>
  <c r="E371" i="170"/>
  <c r="C371" i="170"/>
  <c r="P371" i="170" s="1"/>
  <c r="M370" i="170"/>
  <c r="L370" i="170"/>
  <c r="K370" i="170"/>
  <c r="O370" i="170" s="1"/>
  <c r="J370" i="170"/>
  <c r="H370" i="170"/>
  <c r="G370" i="170"/>
  <c r="I370" i="170" s="1"/>
  <c r="F370" i="170"/>
  <c r="N370" i="170" s="1"/>
  <c r="D370" i="170"/>
  <c r="C370" i="170"/>
  <c r="M369" i="170"/>
  <c r="L369" i="170"/>
  <c r="K369" i="170"/>
  <c r="J369" i="170"/>
  <c r="I369" i="170"/>
  <c r="G369" i="170"/>
  <c r="F369" i="170"/>
  <c r="H369" i="170" s="1"/>
  <c r="E369" i="170"/>
  <c r="C369" i="170"/>
  <c r="P369" i="170" s="1"/>
  <c r="O368" i="170"/>
  <c r="M368" i="170"/>
  <c r="L368" i="170"/>
  <c r="L373" i="170" s="1"/>
  <c r="K368" i="170"/>
  <c r="J368" i="170"/>
  <c r="J373" i="170" s="1"/>
  <c r="H368" i="170"/>
  <c r="G368" i="170"/>
  <c r="F368" i="170"/>
  <c r="F373" i="170" s="1"/>
  <c r="D368" i="170"/>
  <c r="C368" i="170"/>
  <c r="N367" i="170"/>
  <c r="I365" i="170"/>
  <c r="F365" i="170"/>
  <c r="H365" i="170" s="1"/>
  <c r="P364" i="170"/>
  <c r="M364" i="170"/>
  <c r="L364" i="170"/>
  <c r="K364" i="170"/>
  <c r="J364" i="170"/>
  <c r="G364" i="170"/>
  <c r="F364" i="170"/>
  <c r="H364" i="170" s="1"/>
  <c r="D364" i="170"/>
  <c r="C364" i="170"/>
  <c r="P363" i="170"/>
  <c r="M363" i="170"/>
  <c r="L363" i="170"/>
  <c r="K363" i="170"/>
  <c r="J363" i="170"/>
  <c r="O363" i="170" s="1"/>
  <c r="G363" i="170"/>
  <c r="F363" i="170"/>
  <c r="C363" i="170"/>
  <c r="P362" i="170"/>
  <c r="M362" i="170"/>
  <c r="L362" i="170"/>
  <c r="K362" i="170"/>
  <c r="J362" i="170"/>
  <c r="O362" i="170" s="1"/>
  <c r="G362" i="170"/>
  <c r="F362" i="170"/>
  <c r="N362" i="170" s="1"/>
  <c r="C362" i="170"/>
  <c r="P361" i="170"/>
  <c r="N361" i="170"/>
  <c r="M361" i="170"/>
  <c r="M366" i="170" s="1"/>
  <c r="L361" i="170"/>
  <c r="L366" i="170" s="1"/>
  <c r="L375" i="170" s="1"/>
  <c r="K361" i="170"/>
  <c r="K366" i="170" s="1"/>
  <c r="J361" i="170"/>
  <c r="O361" i="170" s="1"/>
  <c r="G361" i="170"/>
  <c r="G366" i="170" s="1"/>
  <c r="F361" i="170"/>
  <c r="D361" i="170"/>
  <c r="C361" i="170"/>
  <c r="C366" i="170" s="1"/>
  <c r="P366" i="170" s="1"/>
  <c r="L358" i="170"/>
  <c r="K358" i="170"/>
  <c r="J358" i="170"/>
  <c r="C357" i="170"/>
  <c r="C351" i="170"/>
  <c r="D350" i="170"/>
  <c r="P349" i="170"/>
  <c r="N349" i="170"/>
  <c r="M349" i="170"/>
  <c r="L349" i="170"/>
  <c r="K349" i="170"/>
  <c r="J349" i="170"/>
  <c r="O349" i="170" s="1"/>
  <c r="G349" i="170"/>
  <c r="I349" i="170" s="1"/>
  <c r="F349" i="170"/>
  <c r="E349" i="170"/>
  <c r="C349" i="170"/>
  <c r="P348" i="170"/>
  <c r="M348" i="170"/>
  <c r="L348" i="170"/>
  <c r="K348" i="170"/>
  <c r="O348" i="170" s="1"/>
  <c r="J348" i="170"/>
  <c r="I348" i="170"/>
  <c r="H348" i="170"/>
  <c r="G348" i="170"/>
  <c r="G351" i="170" s="1"/>
  <c r="G353" i="170" s="1"/>
  <c r="F348" i="170"/>
  <c r="N348" i="170" s="1"/>
  <c r="E348" i="170"/>
  <c r="D348" i="170"/>
  <c r="C348" i="170"/>
  <c r="P347" i="170"/>
  <c r="M347" i="170"/>
  <c r="L347" i="170"/>
  <c r="K347" i="170"/>
  <c r="K351" i="170" s="1"/>
  <c r="J347" i="170"/>
  <c r="G347" i="170"/>
  <c r="F347" i="170"/>
  <c r="C347" i="170"/>
  <c r="P346" i="170"/>
  <c r="O346" i="170"/>
  <c r="M346" i="170"/>
  <c r="L346" i="170"/>
  <c r="L351" i="170" s="1"/>
  <c r="K346" i="170"/>
  <c r="J346" i="170"/>
  <c r="I346" i="170"/>
  <c r="H346" i="170"/>
  <c r="G346" i="170"/>
  <c r="F346" i="170"/>
  <c r="N346" i="170" s="1"/>
  <c r="E346" i="170"/>
  <c r="D346" i="170"/>
  <c r="C346" i="170"/>
  <c r="N345" i="170"/>
  <c r="L344" i="170"/>
  <c r="L353" i="170" s="1"/>
  <c r="G344" i="170"/>
  <c r="D343" i="170"/>
  <c r="P342" i="170"/>
  <c r="M342" i="170"/>
  <c r="L342" i="170"/>
  <c r="K342" i="170"/>
  <c r="J342" i="170"/>
  <c r="I342" i="170"/>
  <c r="G342" i="170"/>
  <c r="F342" i="170"/>
  <c r="N342" i="170" s="1"/>
  <c r="C342" i="170"/>
  <c r="P341" i="170"/>
  <c r="M341" i="170"/>
  <c r="L341" i="170"/>
  <c r="O341" i="170" s="1"/>
  <c r="K341" i="170"/>
  <c r="J341" i="170"/>
  <c r="H341" i="170"/>
  <c r="G341" i="170"/>
  <c r="I341" i="170" s="1"/>
  <c r="F341" i="170"/>
  <c r="N341" i="170" s="1"/>
  <c r="D341" i="170"/>
  <c r="C341" i="170"/>
  <c r="E341" i="170" s="1"/>
  <c r="P340" i="170"/>
  <c r="N340" i="170"/>
  <c r="M340" i="170"/>
  <c r="L340" i="170"/>
  <c r="K340" i="170"/>
  <c r="J340" i="170"/>
  <c r="G340" i="170"/>
  <c r="I340" i="170" s="1"/>
  <c r="F340" i="170"/>
  <c r="E340" i="170"/>
  <c r="C340" i="170"/>
  <c r="P339" i="170"/>
  <c r="M339" i="170"/>
  <c r="L339" i="170"/>
  <c r="K339" i="170"/>
  <c r="K344" i="170" s="1"/>
  <c r="K353" i="170" s="1"/>
  <c r="J339" i="170"/>
  <c r="I339" i="170"/>
  <c r="G339" i="170"/>
  <c r="H339" i="170" s="1"/>
  <c r="F339" i="170"/>
  <c r="E339" i="170"/>
  <c r="D339" i="170"/>
  <c r="C339" i="170"/>
  <c r="L336" i="170"/>
  <c r="K336" i="170"/>
  <c r="J336" i="170"/>
  <c r="C335" i="170"/>
  <c r="G329" i="170"/>
  <c r="H328" i="170"/>
  <c r="G328" i="170"/>
  <c r="F328" i="170"/>
  <c r="O327" i="170"/>
  <c r="M327" i="170"/>
  <c r="L327" i="170"/>
  <c r="K327" i="170"/>
  <c r="J327" i="170"/>
  <c r="G327" i="170"/>
  <c r="F327" i="170"/>
  <c r="C327" i="170"/>
  <c r="P327" i="170" s="1"/>
  <c r="N326" i="170"/>
  <c r="M326" i="170"/>
  <c r="L326" i="170"/>
  <c r="K326" i="170"/>
  <c r="J326" i="170"/>
  <c r="O326" i="170" s="1"/>
  <c r="G326" i="170"/>
  <c r="F326" i="170"/>
  <c r="C326" i="170"/>
  <c r="P325" i="170"/>
  <c r="N325" i="170"/>
  <c r="M325" i="170"/>
  <c r="L325" i="170"/>
  <c r="L329" i="170" s="1"/>
  <c r="K325" i="170"/>
  <c r="K329" i="170" s="1"/>
  <c r="J325" i="170"/>
  <c r="O325" i="170" s="1"/>
  <c r="G325" i="170"/>
  <c r="F325" i="170"/>
  <c r="H325" i="170" s="1"/>
  <c r="D325" i="170"/>
  <c r="C325" i="170"/>
  <c r="C329" i="170" s="1"/>
  <c r="C331" i="170" s="1"/>
  <c r="M324" i="170"/>
  <c r="M329" i="170" s="1"/>
  <c r="L324" i="170"/>
  <c r="K324" i="170"/>
  <c r="J324" i="170"/>
  <c r="I324" i="170"/>
  <c r="G324" i="170"/>
  <c r="F324" i="170"/>
  <c r="H324" i="170" s="1"/>
  <c r="E324" i="170"/>
  <c r="C324" i="170"/>
  <c r="N323" i="170"/>
  <c r="M322" i="170"/>
  <c r="M331" i="170" s="1"/>
  <c r="G322" i="170"/>
  <c r="C322" i="170"/>
  <c r="F321" i="170"/>
  <c r="I321" i="170" s="1"/>
  <c r="M320" i="170"/>
  <c r="L320" i="170"/>
  <c r="K320" i="170"/>
  <c r="O320" i="170" s="1"/>
  <c r="J320" i="170"/>
  <c r="G320" i="170"/>
  <c r="F320" i="170"/>
  <c r="C320" i="170"/>
  <c r="P320" i="170" s="1"/>
  <c r="O319" i="170"/>
  <c r="M319" i="170"/>
  <c r="L319" i="170"/>
  <c r="K319" i="170"/>
  <c r="J319" i="170"/>
  <c r="I319" i="170"/>
  <c r="H319" i="170"/>
  <c r="G319" i="170"/>
  <c r="F319" i="170"/>
  <c r="N319" i="170" s="1"/>
  <c r="E319" i="170"/>
  <c r="D319" i="170"/>
  <c r="C319" i="170"/>
  <c r="P319" i="170" s="1"/>
  <c r="M318" i="170"/>
  <c r="L318" i="170"/>
  <c r="K318" i="170"/>
  <c r="K322" i="170" s="1"/>
  <c r="J318" i="170"/>
  <c r="G318" i="170"/>
  <c r="F318" i="170"/>
  <c r="I318" i="170" s="1"/>
  <c r="C318" i="170"/>
  <c r="M317" i="170"/>
  <c r="L317" i="170"/>
  <c r="L322" i="170" s="1"/>
  <c r="K317" i="170"/>
  <c r="J317" i="170"/>
  <c r="J322" i="170" s="1"/>
  <c r="I317" i="170"/>
  <c r="H317" i="170"/>
  <c r="G317" i="170"/>
  <c r="F317" i="170"/>
  <c r="E317" i="170"/>
  <c r="D317" i="170"/>
  <c r="C317" i="170"/>
  <c r="L314" i="170"/>
  <c r="K314" i="170"/>
  <c r="J314" i="170"/>
  <c r="C313" i="170"/>
  <c r="M309" i="170"/>
  <c r="G307" i="170"/>
  <c r="F306" i="170"/>
  <c r="O305" i="170"/>
  <c r="M305" i="170"/>
  <c r="L305" i="170"/>
  <c r="K305" i="170"/>
  <c r="J305" i="170"/>
  <c r="I305" i="170"/>
  <c r="G305" i="170"/>
  <c r="F305" i="170"/>
  <c r="E305" i="170"/>
  <c r="C305" i="170"/>
  <c r="P305" i="170" s="1"/>
  <c r="M304" i="170"/>
  <c r="L304" i="170"/>
  <c r="O304" i="170" s="1"/>
  <c r="K304" i="170"/>
  <c r="J304" i="170"/>
  <c r="I304" i="170"/>
  <c r="H304" i="170"/>
  <c r="G304" i="170"/>
  <c r="F304" i="170"/>
  <c r="N304" i="170" s="1"/>
  <c r="E304" i="170"/>
  <c r="D304" i="170"/>
  <c r="C304" i="170"/>
  <c r="P304" i="170" s="1"/>
  <c r="M303" i="170"/>
  <c r="M307" i="170" s="1"/>
  <c r="L303" i="170"/>
  <c r="K303" i="170"/>
  <c r="K307" i="170" s="1"/>
  <c r="J303" i="170"/>
  <c r="O303" i="170" s="1"/>
  <c r="I303" i="170"/>
  <c r="G303" i="170"/>
  <c r="F303" i="170"/>
  <c r="N303" i="170" s="1"/>
  <c r="C303" i="170"/>
  <c r="O302" i="170"/>
  <c r="M302" i="170"/>
  <c r="L302" i="170"/>
  <c r="K302" i="170"/>
  <c r="J302" i="170"/>
  <c r="J307" i="170" s="1"/>
  <c r="I302" i="170"/>
  <c r="H302" i="170"/>
  <c r="G302" i="170"/>
  <c r="F302" i="170"/>
  <c r="F307" i="170" s="1"/>
  <c r="H307" i="170" s="1"/>
  <c r="E302" i="170"/>
  <c r="D302" i="170"/>
  <c r="C302" i="170"/>
  <c r="P302" i="170" s="1"/>
  <c r="N301" i="170"/>
  <c r="F300" i="170"/>
  <c r="I299" i="170"/>
  <c r="F299" i="170"/>
  <c r="H299" i="170" s="1"/>
  <c r="D299" i="170"/>
  <c r="P298" i="170"/>
  <c r="M298" i="170"/>
  <c r="L298" i="170"/>
  <c r="L300" i="170" s="1"/>
  <c r="K298" i="170"/>
  <c r="J298" i="170"/>
  <c r="H298" i="170"/>
  <c r="G298" i="170"/>
  <c r="F298" i="170"/>
  <c r="N298" i="170" s="1"/>
  <c r="D298" i="170"/>
  <c r="C298" i="170"/>
  <c r="P297" i="170"/>
  <c r="N297" i="170"/>
  <c r="M297" i="170"/>
  <c r="L297" i="170"/>
  <c r="K297" i="170"/>
  <c r="J297" i="170"/>
  <c r="O297" i="170" s="1"/>
  <c r="G297" i="170"/>
  <c r="F297" i="170"/>
  <c r="D297" i="170" s="1"/>
  <c r="C297" i="170"/>
  <c r="P296" i="170"/>
  <c r="M296" i="170"/>
  <c r="L296" i="170"/>
  <c r="K296" i="170"/>
  <c r="J296" i="170"/>
  <c r="O296" i="170" s="1"/>
  <c r="G296" i="170"/>
  <c r="F296" i="170"/>
  <c r="N296" i="170" s="1"/>
  <c r="C296" i="170"/>
  <c r="M295" i="170"/>
  <c r="M300" i="170" s="1"/>
  <c r="L295" i="170"/>
  <c r="K295" i="170"/>
  <c r="J295" i="170"/>
  <c r="H295" i="170"/>
  <c r="G295" i="170"/>
  <c r="F295" i="170"/>
  <c r="N295" i="170" s="1"/>
  <c r="D295" i="170"/>
  <c r="C295" i="170"/>
  <c r="L292" i="170"/>
  <c r="K292" i="170"/>
  <c r="J292" i="170"/>
  <c r="C291" i="170"/>
  <c r="F287" i="170"/>
  <c r="H284" i="170"/>
  <c r="F284" i="170"/>
  <c r="I284" i="170" s="1"/>
  <c r="D284" i="170"/>
  <c r="M283" i="170"/>
  <c r="L283" i="170"/>
  <c r="K283" i="170"/>
  <c r="J283" i="170"/>
  <c r="O283" i="170" s="1"/>
  <c r="G283" i="170"/>
  <c r="F283" i="170"/>
  <c r="N283" i="170" s="1"/>
  <c r="C283" i="170"/>
  <c r="M282" i="170"/>
  <c r="L282" i="170"/>
  <c r="K282" i="170"/>
  <c r="O282" i="170" s="1"/>
  <c r="J282" i="170"/>
  <c r="G282" i="170"/>
  <c r="F282" i="170"/>
  <c r="D282" i="170"/>
  <c r="C282" i="170"/>
  <c r="E282" i="170" s="1"/>
  <c r="M281" i="170"/>
  <c r="L281" i="170"/>
  <c r="K281" i="170"/>
  <c r="J281" i="170"/>
  <c r="O281" i="170" s="1"/>
  <c r="G281" i="170"/>
  <c r="F281" i="170"/>
  <c r="N281" i="170" s="1"/>
  <c r="C281" i="170"/>
  <c r="M280" i="170"/>
  <c r="M285" i="170" s="1"/>
  <c r="L280" i="170"/>
  <c r="L285" i="170" s="1"/>
  <c r="K280" i="170"/>
  <c r="J280" i="170"/>
  <c r="J285" i="170" s="1"/>
  <c r="G280" i="170"/>
  <c r="F280" i="170"/>
  <c r="F285" i="170" s="1"/>
  <c r="D280" i="170"/>
  <c r="C280" i="170"/>
  <c r="N279" i="170"/>
  <c r="N278" i="170"/>
  <c r="C278" i="170"/>
  <c r="F277" i="170"/>
  <c r="H277" i="170" s="1"/>
  <c r="P276" i="170"/>
  <c r="M276" i="170"/>
  <c r="L276" i="170"/>
  <c r="K276" i="170"/>
  <c r="J276" i="170"/>
  <c r="I276" i="170"/>
  <c r="G276" i="170"/>
  <c r="F276" i="170"/>
  <c r="N276" i="170" s="1"/>
  <c r="E276" i="170"/>
  <c r="C276" i="170"/>
  <c r="M275" i="170"/>
  <c r="L275" i="170"/>
  <c r="K275" i="170"/>
  <c r="K278" i="170" s="1"/>
  <c r="J275" i="170"/>
  <c r="H275" i="170"/>
  <c r="G275" i="170"/>
  <c r="F275" i="170"/>
  <c r="N275" i="170" s="1"/>
  <c r="C275" i="170"/>
  <c r="P274" i="170"/>
  <c r="M274" i="170"/>
  <c r="L274" i="170"/>
  <c r="K274" i="170"/>
  <c r="J274" i="170"/>
  <c r="H274" i="170"/>
  <c r="G274" i="170"/>
  <c r="F274" i="170"/>
  <c r="F278" i="170" s="1"/>
  <c r="D274" i="170"/>
  <c r="C274" i="170"/>
  <c r="N273" i="170"/>
  <c r="M273" i="170"/>
  <c r="M278" i="170" s="1"/>
  <c r="L273" i="170"/>
  <c r="L278" i="170" s="1"/>
  <c r="L287" i="170" s="1"/>
  <c r="K273" i="170"/>
  <c r="J273" i="170"/>
  <c r="G273" i="170"/>
  <c r="G278" i="170" s="1"/>
  <c r="F273" i="170"/>
  <c r="D273" i="170"/>
  <c r="C273" i="170"/>
  <c r="L270" i="170"/>
  <c r="K270" i="170"/>
  <c r="J270" i="170"/>
  <c r="C269" i="170"/>
  <c r="F262" i="170"/>
  <c r="P261" i="170"/>
  <c r="M261" i="170"/>
  <c r="L261" i="170"/>
  <c r="K261" i="170"/>
  <c r="J261" i="170"/>
  <c r="I261" i="170"/>
  <c r="H261" i="170"/>
  <c r="G261" i="170"/>
  <c r="F261" i="170"/>
  <c r="N261" i="170" s="1"/>
  <c r="E261" i="170"/>
  <c r="D261" i="170"/>
  <c r="C261" i="170"/>
  <c r="M260" i="170"/>
  <c r="L260" i="170"/>
  <c r="K260" i="170"/>
  <c r="J260" i="170"/>
  <c r="G260" i="170"/>
  <c r="F260" i="170"/>
  <c r="C260" i="170"/>
  <c r="C263" i="170" s="1"/>
  <c r="N259" i="170"/>
  <c r="M259" i="170"/>
  <c r="L259" i="170"/>
  <c r="K259" i="170"/>
  <c r="J259" i="170"/>
  <c r="O259" i="170" s="1"/>
  <c r="G259" i="170"/>
  <c r="F259" i="170"/>
  <c r="C259" i="170"/>
  <c r="M258" i="170"/>
  <c r="L258" i="170"/>
  <c r="L263" i="170" s="1"/>
  <c r="K258" i="170"/>
  <c r="J258" i="170"/>
  <c r="J263" i="170" s="1"/>
  <c r="G258" i="170"/>
  <c r="G263" i="170" s="1"/>
  <c r="G265" i="170" s="1"/>
  <c r="F258" i="170"/>
  <c r="N258" i="170" s="1"/>
  <c r="C258" i="170"/>
  <c r="N257" i="170"/>
  <c r="K256" i="170"/>
  <c r="I255" i="170"/>
  <c r="H255" i="170"/>
  <c r="F255" i="170"/>
  <c r="D255" i="170"/>
  <c r="O254" i="170"/>
  <c r="M254" i="170"/>
  <c r="L254" i="170"/>
  <c r="K254" i="170"/>
  <c r="J254" i="170"/>
  <c r="I254" i="170"/>
  <c r="H254" i="170"/>
  <c r="G254" i="170"/>
  <c r="F254" i="170"/>
  <c r="N254" i="170" s="1"/>
  <c r="E254" i="170"/>
  <c r="D254" i="170"/>
  <c r="C254" i="170"/>
  <c r="P254" i="170" s="1"/>
  <c r="O253" i="170"/>
  <c r="M253" i="170"/>
  <c r="L253" i="170"/>
  <c r="K253" i="170"/>
  <c r="J253" i="170"/>
  <c r="G253" i="170"/>
  <c r="F253" i="170"/>
  <c r="C253" i="170"/>
  <c r="O252" i="170"/>
  <c r="M252" i="170"/>
  <c r="L252" i="170"/>
  <c r="K252" i="170"/>
  <c r="J252" i="170"/>
  <c r="I252" i="170"/>
  <c r="H252" i="170"/>
  <c r="G252" i="170"/>
  <c r="F252" i="170"/>
  <c r="N252" i="170" s="1"/>
  <c r="E252" i="170"/>
  <c r="D252" i="170"/>
  <c r="C252" i="170"/>
  <c r="P252" i="170" s="1"/>
  <c r="O251" i="170"/>
  <c r="M251" i="170"/>
  <c r="M256" i="170" s="1"/>
  <c r="L251" i="170"/>
  <c r="K251" i="170"/>
  <c r="J251" i="170"/>
  <c r="J256" i="170" s="1"/>
  <c r="G251" i="170"/>
  <c r="G256" i="170" s="1"/>
  <c r="F251" i="170"/>
  <c r="F256" i="170" s="1"/>
  <c r="C251" i="170"/>
  <c r="L248" i="170"/>
  <c r="K248" i="170"/>
  <c r="J248" i="170"/>
  <c r="C247" i="170"/>
  <c r="M241" i="170"/>
  <c r="G241" i="170"/>
  <c r="I240" i="170"/>
  <c r="H240" i="170"/>
  <c r="F240" i="170"/>
  <c r="D240" i="170"/>
  <c r="M239" i="170"/>
  <c r="L239" i="170"/>
  <c r="K239" i="170"/>
  <c r="O239" i="170" s="1"/>
  <c r="J239" i="170"/>
  <c r="H239" i="170"/>
  <c r="G239" i="170"/>
  <c r="I239" i="170" s="1"/>
  <c r="F239" i="170"/>
  <c r="N239" i="170" s="1"/>
  <c r="D239" i="170"/>
  <c r="C239" i="170"/>
  <c r="E239" i="170" s="1"/>
  <c r="N238" i="170"/>
  <c r="M238" i="170"/>
  <c r="L238" i="170"/>
  <c r="K238" i="170"/>
  <c r="J238" i="170"/>
  <c r="O238" i="170" s="1"/>
  <c r="G238" i="170"/>
  <c r="F238" i="170"/>
  <c r="E238" i="170"/>
  <c r="C238" i="170"/>
  <c r="P237" i="170"/>
  <c r="M237" i="170"/>
  <c r="L237" i="170"/>
  <c r="K237" i="170"/>
  <c r="O237" i="170" s="1"/>
  <c r="J237" i="170"/>
  <c r="H237" i="170"/>
  <c r="G237" i="170"/>
  <c r="I237" i="170" s="1"/>
  <c r="F237" i="170"/>
  <c r="N237" i="170" s="1"/>
  <c r="D237" i="170"/>
  <c r="C237" i="170"/>
  <c r="E237" i="170" s="1"/>
  <c r="N236" i="170"/>
  <c r="M236" i="170"/>
  <c r="L236" i="170"/>
  <c r="L241" i="170" s="1"/>
  <c r="K236" i="170"/>
  <c r="J236" i="170"/>
  <c r="O236" i="170" s="1"/>
  <c r="G236" i="170"/>
  <c r="F236" i="170"/>
  <c r="I236" i="170" s="1"/>
  <c r="E236" i="170"/>
  <c r="C236" i="170"/>
  <c r="N235" i="170"/>
  <c r="L234" i="170"/>
  <c r="L243" i="170" s="1"/>
  <c r="F234" i="170"/>
  <c r="H233" i="170"/>
  <c r="F233" i="170"/>
  <c r="D233" i="170" s="1"/>
  <c r="P232" i="170"/>
  <c r="N232" i="170"/>
  <c r="M232" i="170"/>
  <c r="L232" i="170"/>
  <c r="K232" i="170"/>
  <c r="J232" i="170"/>
  <c r="O232" i="170" s="1"/>
  <c r="H232" i="170"/>
  <c r="G232" i="170"/>
  <c r="F232" i="170"/>
  <c r="D232" i="170"/>
  <c r="C232" i="170"/>
  <c r="P231" i="170"/>
  <c r="M231" i="170"/>
  <c r="L231" i="170"/>
  <c r="K231" i="170"/>
  <c r="J231" i="170"/>
  <c r="I231" i="170"/>
  <c r="H231" i="170"/>
  <c r="G231" i="170"/>
  <c r="F231" i="170"/>
  <c r="N231" i="170" s="1"/>
  <c r="E231" i="170"/>
  <c r="D231" i="170"/>
  <c r="C231" i="170"/>
  <c r="P230" i="170"/>
  <c r="O230" i="170"/>
  <c r="M230" i="170"/>
  <c r="L230" i="170"/>
  <c r="K230" i="170"/>
  <c r="J230" i="170"/>
  <c r="J234" i="170" s="1"/>
  <c r="G230" i="170"/>
  <c r="I230" i="170" s="1"/>
  <c r="F230" i="170"/>
  <c r="N230" i="170" s="1"/>
  <c r="C230" i="170"/>
  <c r="E230" i="170" s="1"/>
  <c r="P229" i="170"/>
  <c r="M229" i="170"/>
  <c r="L229" i="170"/>
  <c r="K229" i="170"/>
  <c r="J229" i="170"/>
  <c r="I229" i="170"/>
  <c r="H229" i="170"/>
  <c r="G229" i="170"/>
  <c r="F229" i="170"/>
  <c r="N229" i="170" s="1"/>
  <c r="E229" i="170"/>
  <c r="D229" i="170"/>
  <c r="C229" i="170"/>
  <c r="L226" i="170"/>
  <c r="K226" i="170"/>
  <c r="J226" i="170"/>
  <c r="C225" i="170"/>
  <c r="M219" i="170"/>
  <c r="H218" i="170"/>
  <c r="F218" i="170"/>
  <c r="I218" i="170" s="1"/>
  <c r="D218" i="170"/>
  <c r="M217" i="170"/>
  <c r="L217" i="170"/>
  <c r="K217" i="170"/>
  <c r="O217" i="170" s="1"/>
  <c r="J217" i="170"/>
  <c r="G217" i="170"/>
  <c r="I217" i="170" s="1"/>
  <c r="F217" i="170"/>
  <c r="N217" i="170" s="1"/>
  <c r="C217" i="170"/>
  <c r="M216" i="170"/>
  <c r="L216" i="170"/>
  <c r="K216" i="170"/>
  <c r="O216" i="170" s="1"/>
  <c r="J216" i="170"/>
  <c r="I216" i="170"/>
  <c r="G216" i="170"/>
  <c r="H216" i="170" s="1"/>
  <c r="F216" i="170"/>
  <c r="N216" i="170" s="1"/>
  <c r="E216" i="170"/>
  <c r="D216" i="170"/>
  <c r="C216" i="170"/>
  <c r="O215" i="170"/>
  <c r="M215" i="170"/>
  <c r="L215" i="170"/>
  <c r="K215" i="170"/>
  <c r="J215" i="170"/>
  <c r="G215" i="170"/>
  <c r="I215" i="170" s="1"/>
  <c r="F215" i="170"/>
  <c r="N215" i="170" s="1"/>
  <c r="C215" i="170"/>
  <c r="M214" i="170"/>
  <c r="L214" i="170"/>
  <c r="L219" i="170" s="1"/>
  <c r="K214" i="170"/>
  <c r="J214" i="170"/>
  <c r="J219" i="170" s="1"/>
  <c r="I214" i="170"/>
  <c r="G214" i="170"/>
  <c r="H214" i="170" s="1"/>
  <c r="F214" i="170"/>
  <c r="F219" i="170" s="1"/>
  <c r="E214" i="170"/>
  <c r="D214" i="170"/>
  <c r="C214" i="170"/>
  <c r="N213" i="170"/>
  <c r="L212" i="170"/>
  <c r="L221" i="170" s="1"/>
  <c r="F211" i="170"/>
  <c r="P210" i="170"/>
  <c r="N210" i="170"/>
  <c r="M210" i="170"/>
  <c r="L210" i="170"/>
  <c r="K210" i="170"/>
  <c r="J210" i="170"/>
  <c r="O210" i="170" s="1"/>
  <c r="G210" i="170"/>
  <c r="F210" i="170"/>
  <c r="C210" i="170"/>
  <c r="P209" i="170"/>
  <c r="M209" i="170"/>
  <c r="L209" i="170"/>
  <c r="K209" i="170"/>
  <c r="J209" i="170"/>
  <c r="O209" i="170" s="1"/>
  <c r="H209" i="170"/>
  <c r="G209" i="170"/>
  <c r="F209" i="170"/>
  <c r="N209" i="170" s="1"/>
  <c r="D209" i="170"/>
  <c r="C209" i="170"/>
  <c r="M208" i="170"/>
  <c r="L208" i="170"/>
  <c r="K208" i="170"/>
  <c r="J208" i="170"/>
  <c r="O208" i="170" s="1"/>
  <c r="G208" i="170"/>
  <c r="F208" i="170"/>
  <c r="N208" i="170" s="1"/>
  <c r="C208" i="170"/>
  <c r="M207" i="170"/>
  <c r="M212" i="170" s="1"/>
  <c r="M221" i="170" s="1"/>
  <c r="L207" i="170"/>
  <c r="K207" i="170"/>
  <c r="K212" i="170" s="1"/>
  <c r="J207" i="170"/>
  <c r="H207" i="170"/>
  <c r="G207" i="170"/>
  <c r="G212" i="170" s="1"/>
  <c r="F207" i="170"/>
  <c r="D207" i="170"/>
  <c r="C207" i="170"/>
  <c r="C212" i="170" s="1"/>
  <c r="L204" i="170"/>
  <c r="K204" i="170"/>
  <c r="J204" i="170"/>
  <c r="C203" i="170"/>
  <c r="P197" i="170"/>
  <c r="F196" i="170"/>
  <c r="P195" i="170"/>
  <c r="M195" i="170"/>
  <c r="L195" i="170"/>
  <c r="K195" i="170"/>
  <c r="J195" i="170"/>
  <c r="O195" i="170" s="1"/>
  <c r="G195" i="170"/>
  <c r="F195" i="170"/>
  <c r="C195" i="170"/>
  <c r="P194" i="170"/>
  <c r="M194" i="170"/>
  <c r="L194" i="170"/>
  <c r="L197" i="170" s="1"/>
  <c r="K194" i="170"/>
  <c r="J194" i="170"/>
  <c r="H194" i="170"/>
  <c r="G194" i="170"/>
  <c r="F194" i="170"/>
  <c r="N194" i="170" s="1"/>
  <c r="D194" i="170"/>
  <c r="C194" i="170"/>
  <c r="P193" i="170"/>
  <c r="N193" i="170"/>
  <c r="M193" i="170"/>
  <c r="L193" i="170"/>
  <c r="K193" i="170"/>
  <c r="J193" i="170"/>
  <c r="O193" i="170" s="1"/>
  <c r="G193" i="170"/>
  <c r="F193" i="170"/>
  <c r="C193" i="170"/>
  <c r="P192" i="170"/>
  <c r="M192" i="170"/>
  <c r="M197" i="170" s="1"/>
  <c r="L192" i="170"/>
  <c r="K192" i="170"/>
  <c r="K197" i="170" s="1"/>
  <c r="J192" i="170"/>
  <c r="O192" i="170" s="1"/>
  <c r="H192" i="170"/>
  <c r="G192" i="170"/>
  <c r="G197" i="170" s="1"/>
  <c r="F192" i="170"/>
  <c r="N192" i="170" s="1"/>
  <c r="D192" i="170"/>
  <c r="C192" i="170"/>
  <c r="C197" i="170" s="1"/>
  <c r="N191" i="170"/>
  <c r="I189" i="170"/>
  <c r="H189" i="170"/>
  <c r="F189" i="170"/>
  <c r="D189" i="170"/>
  <c r="P188" i="170"/>
  <c r="M188" i="170"/>
  <c r="L188" i="170"/>
  <c r="K188" i="170"/>
  <c r="J188" i="170"/>
  <c r="I188" i="170"/>
  <c r="H188" i="170"/>
  <c r="G188" i="170"/>
  <c r="F188" i="170"/>
  <c r="N188" i="170" s="1"/>
  <c r="E188" i="170"/>
  <c r="D188" i="170"/>
  <c r="C188" i="170"/>
  <c r="P187" i="170"/>
  <c r="M187" i="170"/>
  <c r="L187" i="170"/>
  <c r="K187" i="170"/>
  <c r="O187" i="170" s="1"/>
  <c r="J187" i="170"/>
  <c r="G187" i="170"/>
  <c r="I187" i="170" s="1"/>
  <c r="F187" i="170"/>
  <c r="N187" i="170" s="1"/>
  <c r="C187" i="170"/>
  <c r="E187" i="170" s="1"/>
  <c r="P186" i="170"/>
  <c r="M186" i="170"/>
  <c r="L186" i="170"/>
  <c r="K186" i="170"/>
  <c r="O186" i="170" s="1"/>
  <c r="J186" i="170"/>
  <c r="I186" i="170"/>
  <c r="H186" i="170"/>
  <c r="G186" i="170"/>
  <c r="F186" i="170"/>
  <c r="N186" i="170" s="1"/>
  <c r="E186" i="170"/>
  <c r="D186" i="170"/>
  <c r="C186" i="170"/>
  <c r="P185" i="170"/>
  <c r="M185" i="170"/>
  <c r="L185" i="170"/>
  <c r="L190" i="170" s="1"/>
  <c r="L199" i="170" s="1"/>
  <c r="K185" i="170"/>
  <c r="K190" i="170" s="1"/>
  <c r="K199" i="170" s="1"/>
  <c r="J185" i="170"/>
  <c r="J190" i="170" s="1"/>
  <c r="G185" i="170"/>
  <c r="I185" i="170" s="1"/>
  <c r="F185" i="170"/>
  <c r="F190" i="170" s="1"/>
  <c r="C185" i="170"/>
  <c r="E185" i="170" s="1"/>
  <c r="L182" i="170"/>
  <c r="K182" i="170"/>
  <c r="J182" i="170"/>
  <c r="C181" i="170"/>
  <c r="C175" i="170"/>
  <c r="I174" i="170"/>
  <c r="H174" i="170"/>
  <c r="F174" i="170"/>
  <c r="D174" i="170"/>
  <c r="M173" i="170"/>
  <c r="L173" i="170"/>
  <c r="K173" i="170"/>
  <c r="J173" i="170"/>
  <c r="I173" i="170"/>
  <c r="G173" i="170"/>
  <c r="H173" i="170" s="1"/>
  <c r="F173" i="170"/>
  <c r="E173" i="170"/>
  <c r="D173" i="170"/>
  <c r="C173" i="170"/>
  <c r="M172" i="170"/>
  <c r="L172" i="170"/>
  <c r="K172" i="170"/>
  <c r="O172" i="170" s="1"/>
  <c r="J172" i="170"/>
  <c r="G172" i="170"/>
  <c r="F172" i="170"/>
  <c r="N172" i="170" s="1"/>
  <c r="C172" i="170"/>
  <c r="M171" i="170"/>
  <c r="L171" i="170"/>
  <c r="K171" i="170"/>
  <c r="O171" i="170" s="1"/>
  <c r="J171" i="170"/>
  <c r="I171" i="170"/>
  <c r="H171" i="170"/>
  <c r="G171" i="170"/>
  <c r="F171" i="170"/>
  <c r="N171" i="170" s="1"/>
  <c r="E171" i="170"/>
  <c r="D171" i="170"/>
  <c r="C171" i="170"/>
  <c r="P171" i="170" s="1"/>
  <c r="M170" i="170"/>
  <c r="L170" i="170"/>
  <c r="L175" i="170" s="1"/>
  <c r="K170" i="170"/>
  <c r="K175" i="170" s="1"/>
  <c r="J170" i="170"/>
  <c r="J175" i="170" s="1"/>
  <c r="G170" i="170"/>
  <c r="G175" i="170" s="1"/>
  <c r="G177" i="170" s="1"/>
  <c r="F170" i="170"/>
  <c r="F175" i="170" s="1"/>
  <c r="C170" i="170"/>
  <c r="N169" i="170"/>
  <c r="J168" i="170"/>
  <c r="I167" i="170"/>
  <c r="H167" i="170"/>
  <c r="F167" i="170"/>
  <c r="D167" i="170" s="1"/>
  <c r="P166" i="170"/>
  <c r="M166" i="170"/>
  <c r="L166" i="170"/>
  <c r="K166" i="170"/>
  <c r="O166" i="170" s="1"/>
  <c r="J166" i="170"/>
  <c r="H166" i="170"/>
  <c r="G166" i="170"/>
  <c r="F166" i="170"/>
  <c r="N166" i="170" s="1"/>
  <c r="D166" i="170"/>
  <c r="C166" i="170"/>
  <c r="M165" i="170"/>
  <c r="L165" i="170"/>
  <c r="K165" i="170"/>
  <c r="J165" i="170"/>
  <c r="O165" i="170" s="1"/>
  <c r="G165" i="170"/>
  <c r="F165" i="170"/>
  <c r="N165" i="170" s="1"/>
  <c r="C165" i="170"/>
  <c r="M164" i="170"/>
  <c r="L164" i="170"/>
  <c r="K164" i="170"/>
  <c r="J164" i="170"/>
  <c r="H164" i="170"/>
  <c r="G164" i="170"/>
  <c r="F164" i="170"/>
  <c r="N164" i="170" s="1"/>
  <c r="D164" i="170"/>
  <c r="C164" i="170"/>
  <c r="N163" i="170"/>
  <c r="M163" i="170"/>
  <c r="M168" i="170" s="1"/>
  <c r="L163" i="170"/>
  <c r="K163" i="170"/>
  <c r="K168" i="170" s="1"/>
  <c r="J163" i="170"/>
  <c r="O163" i="170" s="1"/>
  <c r="G163" i="170"/>
  <c r="G168" i="170" s="1"/>
  <c r="F163" i="170"/>
  <c r="C163" i="170"/>
  <c r="C168" i="170" s="1"/>
  <c r="L160" i="170"/>
  <c r="K160" i="170"/>
  <c r="J160" i="170"/>
  <c r="C159" i="170"/>
  <c r="I152" i="170"/>
  <c r="F152" i="170"/>
  <c r="H152" i="170" s="1"/>
  <c r="P151" i="170"/>
  <c r="M151" i="170"/>
  <c r="L151" i="170"/>
  <c r="K151" i="170"/>
  <c r="J151" i="170"/>
  <c r="H151" i="170"/>
  <c r="G151" i="170"/>
  <c r="F151" i="170"/>
  <c r="N151" i="170" s="1"/>
  <c r="D151" i="170"/>
  <c r="C151" i="170"/>
  <c r="P150" i="170"/>
  <c r="N150" i="170"/>
  <c r="M150" i="170"/>
  <c r="L150" i="170"/>
  <c r="K150" i="170"/>
  <c r="J150" i="170"/>
  <c r="O150" i="170" s="1"/>
  <c r="G150" i="170"/>
  <c r="F150" i="170"/>
  <c r="C150" i="170"/>
  <c r="P149" i="170"/>
  <c r="M149" i="170"/>
  <c r="L149" i="170"/>
  <c r="K149" i="170"/>
  <c r="J149" i="170"/>
  <c r="O149" i="170" s="1"/>
  <c r="H149" i="170"/>
  <c r="G149" i="170"/>
  <c r="F149" i="170"/>
  <c r="N149" i="170" s="1"/>
  <c r="D149" i="170"/>
  <c r="C149" i="170"/>
  <c r="P148" i="170"/>
  <c r="N148" i="170"/>
  <c r="M148" i="170"/>
  <c r="M153" i="170" s="1"/>
  <c r="L148" i="170"/>
  <c r="K148" i="170"/>
  <c r="K153" i="170" s="1"/>
  <c r="J148" i="170"/>
  <c r="G148" i="170"/>
  <c r="G153" i="170" s="1"/>
  <c r="F148" i="170"/>
  <c r="F153" i="170" s="1"/>
  <c r="C148" i="170"/>
  <c r="C153" i="170" s="1"/>
  <c r="N147" i="170"/>
  <c r="H145" i="170"/>
  <c r="F145" i="170"/>
  <c r="I145" i="170" s="1"/>
  <c r="D145" i="170"/>
  <c r="P144" i="170"/>
  <c r="O144" i="170"/>
  <c r="M144" i="170"/>
  <c r="L144" i="170"/>
  <c r="K144" i="170"/>
  <c r="J144" i="170"/>
  <c r="G144" i="170"/>
  <c r="I144" i="170" s="1"/>
  <c r="F144" i="170"/>
  <c r="N144" i="170" s="1"/>
  <c r="C144" i="170"/>
  <c r="E144" i="170" s="1"/>
  <c r="P143" i="170"/>
  <c r="M143" i="170"/>
  <c r="M146" i="170" s="1"/>
  <c r="M155" i="170" s="1"/>
  <c r="L143" i="170"/>
  <c r="K143" i="170"/>
  <c r="J143" i="170"/>
  <c r="I143" i="170"/>
  <c r="H143" i="170"/>
  <c r="G143" i="170"/>
  <c r="F143" i="170"/>
  <c r="N143" i="170" s="1"/>
  <c r="E143" i="170"/>
  <c r="D143" i="170"/>
  <c r="C143" i="170"/>
  <c r="P142" i="170"/>
  <c r="M142" i="170"/>
  <c r="L142" i="170"/>
  <c r="K142" i="170"/>
  <c r="O142" i="170" s="1"/>
  <c r="J142" i="170"/>
  <c r="G142" i="170"/>
  <c r="I142" i="170" s="1"/>
  <c r="F142" i="170"/>
  <c r="N142" i="170" s="1"/>
  <c r="C142" i="170"/>
  <c r="E142" i="170" s="1"/>
  <c r="P141" i="170"/>
  <c r="M141" i="170"/>
  <c r="L141" i="170"/>
  <c r="L146" i="170" s="1"/>
  <c r="K141" i="170"/>
  <c r="K146" i="170" s="1"/>
  <c r="K155" i="170" s="1"/>
  <c r="J141" i="170"/>
  <c r="J146" i="170" s="1"/>
  <c r="I141" i="170"/>
  <c r="I146" i="170" s="1"/>
  <c r="H141" i="170"/>
  <c r="G141" i="170"/>
  <c r="G146" i="170" s="1"/>
  <c r="F141" i="170"/>
  <c r="F146" i="170" s="1"/>
  <c r="E146" i="170" s="1"/>
  <c r="E141" i="170"/>
  <c r="D141" i="170"/>
  <c r="C141" i="170"/>
  <c r="C146" i="170" s="1"/>
  <c r="P146" i="170" s="1"/>
  <c r="L138" i="170"/>
  <c r="K138" i="170"/>
  <c r="J138" i="170"/>
  <c r="C137" i="170"/>
  <c r="C133" i="170"/>
  <c r="M131" i="170"/>
  <c r="H130" i="170"/>
  <c r="F130" i="170"/>
  <c r="D130" i="170" s="1"/>
  <c r="M129" i="170"/>
  <c r="L129" i="170"/>
  <c r="K129" i="170"/>
  <c r="O129" i="170" s="1"/>
  <c r="J129" i="170"/>
  <c r="G129" i="170"/>
  <c r="F129" i="170"/>
  <c r="N129" i="170" s="1"/>
  <c r="C129" i="170"/>
  <c r="P128" i="170"/>
  <c r="M128" i="170"/>
  <c r="L128" i="170"/>
  <c r="K128" i="170"/>
  <c r="O128" i="170" s="1"/>
  <c r="J128" i="170"/>
  <c r="I128" i="170"/>
  <c r="H128" i="170"/>
  <c r="G128" i="170"/>
  <c r="F128" i="170"/>
  <c r="N128" i="170" s="1"/>
  <c r="E128" i="170"/>
  <c r="D128" i="170"/>
  <c r="C128" i="170"/>
  <c r="M127" i="170"/>
  <c r="L127" i="170"/>
  <c r="K127" i="170"/>
  <c r="O127" i="170" s="1"/>
  <c r="J127" i="170"/>
  <c r="G127" i="170"/>
  <c r="F127" i="170"/>
  <c r="C127" i="170"/>
  <c r="M126" i="170"/>
  <c r="L126" i="170"/>
  <c r="L131" i="170" s="1"/>
  <c r="K126" i="170"/>
  <c r="K131" i="170" s="1"/>
  <c r="J126" i="170"/>
  <c r="J131" i="170" s="1"/>
  <c r="I126" i="170"/>
  <c r="H126" i="170"/>
  <c r="G126" i="170"/>
  <c r="G131" i="170" s="1"/>
  <c r="G133" i="170" s="1"/>
  <c r="F126" i="170"/>
  <c r="E126" i="170"/>
  <c r="D126" i="170"/>
  <c r="C126" i="170"/>
  <c r="C131" i="170" s="1"/>
  <c r="N125" i="170"/>
  <c r="F123" i="170"/>
  <c r="D123" i="170"/>
  <c r="P122" i="170"/>
  <c r="M122" i="170"/>
  <c r="L122" i="170"/>
  <c r="K122" i="170"/>
  <c r="J122" i="170"/>
  <c r="O122" i="170" s="1"/>
  <c r="G122" i="170"/>
  <c r="F122" i="170"/>
  <c r="N122" i="170" s="1"/>
  <c r="C122" i="170"/>
  <c r="P121" i="170"/>
  <c r="M121" i="170"/>
  <c r="L121" i="170"/>
  <c r="K121" i="170"/>
  <c r="O121" i="170" s="1"/>
  <c r="J121" i="170"/>
  <c r="G121" i="170"/>
  <c r="F121" i="170"/>
  <c r="C121" i="170"/>
  <c r="C124" i="170" s="1"/>
  <c r="M120" i="170"/>
  <c r="L120" i="170"/>
  <c r="K120" i="170"/>
  <c r="J120" i="170"/>
  <c r="O120" i="170" s="1"/>
  <c r="G120" i="170"/>
  <c r="F120" i="170"/>
  <c r="C120" i="170"/>
  <c r="M119" i="170"/>
  <c r="L119" i="170"/>
  <c r="L124" i="170" s="1"/>
  <c r="L133" i="170" s="1"/>
  <c r="K119" i="170"/>
  <c r="J119" i="170"/>
  <c r="G119" i="170"/>
  <c r="G124" i="170" s="1"/>
  <c r="F119" i="170"/>
  <c r="N119" i="170" s="1"/>
  <c r="C119" i="170"/>
  <c r="L116" i="170"/>
  <c r="K116" i="170"/>
  <c r="J116" i="170"/>
  <c r="C115" i="170"/>
  <c r="H109" i="170"/>
  <c r="C109" i="170"/>
  <c r="I108" i="170"/>
  <c r="F108" i="170"/>
  <c r="H108" i="170" s="1"/>
  <c r="P107" i="170"/>
  <c r="M107" i="170"/>
  <c r="L107" i="170"/>
  <c r="K107" i="170"/>
  <c r="J107" i="170"/>
  <c r="O107" i="170" s="1"/>
  <c r="G107" i="170"/>
  <c r="F107" i="170"/>
  <c r="N107" i="170" s="1"/>
  <c r="C107" i="170"/>
  <c r="M106" i="170"/>
  <c r="L106" i="170"/>
  <c r="K106" i="170"/>
  <c r="K109" i="170" s="1"/>
  <c r="J106" i="170"/>
  <c r="H106" i="170"/>
  <c r="G106" i="170"/>
  <c r="G109" i="170" s="1"/>
  <c r="F106" i="170"/>
  <c r="N106" i="170" s="1"/>
  <c r="C106" i="170"/>
  <c r="M105" i="170"/>
  <c r="L105" i="170"/>
  <c r="L109" i="170" s="1"/>
  <c r="K105" i="170"/>
  <c r="J105" i="170"/>
  <c r="H105" i="170"/>
  <c r="G105" i="170"/>
  <c r="F105" i="170"/>
  <c r="F109" i="170" s="1"/>
  <c r="D105" i="170"/>
  <c r="C105" i="170"/>
  <c r="N104" i="170"/>
  <c r="M104" i="170"/>
  <c r="M109" i="170" s="1"/>
  <c r="L104" i="170"/>
  <c r="K104" i="170"/>
  <c r="J104" i="170"/>
  <c r="H104" i="170"/>
  <c r="G104" i="170"/>
  <c r="F104" i="170"/>
  <c r="D104" i="170"/>
  <c r="C104" i="170"/>
  <c r="N103" i="170"/>
  <c r="I101" i="170"/>
  <c r="H101" i="170"/>
  <c r="F101" i="170"/>
  <c r="D101" i="170"/>
  <c r="M100" i="170"/>
  <c r="L100" i="170"/>
  <c r="K100" i="170"/>
  <c r="J100" i="170"/>
  <c r="H100" i="170"/>
  <c r="G100" i="170"/>
  <c r="I100" i="170" s="1"/>
  <c r="F100" i="170"/>
  <c r="N100" i="170" s="1"/>
  <c r="D100" i="170"/>
  <c r="C100" i="170"/>
  <c r="P100" i="170" s="1"/>
  <c r="M99" i="170"/>
  <c r="L99" i="170"/>
  <c r="K99" i="170"/>
  <c r="O99" i="170" s="1"/>
  <c r="J99" i="170"/>
  <c r="I99" i="170"/>
  <c r="G99" i="170"/>
  <c r="F99" i="170"/>
  <c r="N99" i="170" s="1"/>
  <c r="C99" i="170"/>
  <c r="M98" i="170"/>
  <c r="L98" i="170"/>
  <c r="K98" i="170"/>
  <c r="O98" i="170" s="1"/>
  <c r="J98" i="170"/>
  <c r="H98" i="170"/>
  <c r="G98" i="170"/>
  <c r="I98" i="170" s="1"/>
  <c r="F98" i="170"/>
  <c r="N98" i="170" s="1"/>
  <c r="D98" i="170"/>
  <c r="C98" i="170"/>
  <c r="P98" i="170" s="1"/>
  <c r="M97" i="170"/>
  <c r="L97" i="170"/>
  <c r="K97" i="170"/>
  <c r="K102" i="170" s="1"/>
  <c r="J97" i="170"/>
  <c r="J102" i="170" s="1"/>
  <c r="I97" i="170"/>
  <c r="I102" i="170" s="1"/>
  <c r="G97" i="170"/>
  <c r="G102" i="170" s="1"/>
  <c r="F97" i="170"/>
  <c r="C97" i="170"/>
  <c r="L94" i="170"/>
  <c r="K94" i="170"/>
  <c r="J94" i="170"/>
  <c r="C93" i="170"/>
  <c r="I86" i="170"/>
  <c r="H86" i="170"/>
  <c r="F86" i="170"/>
  <c r="D86" i="170"/>
  <c r="M85" i="170"/>
  <c r="L85" i="170"/>
  <c r="K85" i="170"/>
  <c r="O85" i="170" s="1"/>
  <c r="J85" i="170"/>
  <c r="I85" i="170"/>
  <c r="H85" i="170"/>
  <c r="G85" i="170"/>
  <c r="F85" i="170"/>
  <c r="N85" i="170" s="1"/>
  <c r="E85" i="170"/>
  <c r="D85" i="170"/>
  <c r="C85" i="170"/>
  <c r="P85" i="170" s="1"/>
  <c r="N84" i="170"/>
  <c r="M84" i="170"/>
  <c r="L84" i="170"/>
  <c r="K84" i="170"/>
  <c r="J84" i="170"/>
  <c r="O84" i="170" s="1"/>
  <c r="I84" i="170"/>
  <c r="G84" i="170"/>
  <c r="F84" i="170"/>
  <c r="E84" i="170"/>
  <c r="C84" i="170"/>
  <c r="M83" i="170"/>
  <c r="L83" i="170"/>
  <c r="K83" i="170"/>
  <c r="O83" i="170" s="1"/>
  <c r="J83" i="170"/>
  <c r="I83" i="170"/>
  <c r="H83" i="170"/>
  <c r="G83" i="170"/>
  <c r="F83" i="170"/>
  <c r="N83" i="170" s="1"/>
  <c r="E83" i="170"/>
  <c r="D83" i="170"/>
  <c r="C83" i="170"/>
  <c r="P83" i="170" s="1"/>
  <c r="N82" i="170"/>
  <c r="M82" i="170"/>
  <c r="L82" i="170"/>
  <c r="K82" i="170"/>
  <c r="K87" i="170" s="1"/>
  <c r="J82" i="170"/>
  <c r="O82" i="170" s="1"/>
  <c r="I82" i="170"/>
  <c r="G82" i="170"/>
  <c r="G87" i="170" s="1"/>
  <c r="F82" i="170"/>
  <c r="E82" i="170"/>
  <c r="C82" i="170"/>
  <c r="N81" i="170"/>
  <c r="I79" i="170"/>
  <c r="H79" i="170"/>
  <c r="F79" i="170"/>
  <c r="D79" i="170" s="1"/>
  <c r="P78" i="170"/>
  <c r="M78" i="170"/>
  <c r="L78" i="170"/>
  <c r="K78" i="170"/>
  <c r="J78" i="170"/>
  <c r="G78" i="170"/>
  <c r="F78" i="170"/>
  <c r="N78" i="170" s="1"/>
  <c r="D78" i="170"/>
  <c r="C78" i="170"/>
  <c r="M77" i="170"/>
  <c r="M80" i="170" s="1"/>
  <c r="L77" i="170"/>
  <c r="K77" i="170"/>
  <c r="J77" i="170"/>
  <c r="I77" i="170"/>
  <c r="G77" i="170"/>
  <c r="F77" i="170"/>
  <c r="N77" i="170" s="1"/>
  <c r="E77" i="170"/>
  <c r="C77" i="170"/>
  <c r="M76" i="170"/>
  <c r="L76" i="170"/>
  <c r="K76" i="170"/>
  <c r="O76" i="170" s="1"/>
  <c r="J76" i="170"/>
  <c r="H76" i="170"/>
  <c r="G76" i="170"/>
  <c r="F76" i="170"/>
  <c r="N76" i="170" s="1"/>
  <c r="C76" i="170"/>
  <c r="P76" i="170" s="1"/>
  <c r="M75" i="170"/>
  <c r="L75" i="170"/>
  <c r="K75" i="170"/>
  <c r="J75" i="170"/>
  <c r="J80" i="170" s="1"/>
  <c r="H75" i="170"/>
  <c r="G75" i="170"/>
  <c r="F75" i="170"/>
  <c r="F80" i="170" s="1"/>
  <c r="D75" i="170"/>
  <c r="C75" i="170"/>
  <c r="L72" i="170"/>
  <c r="K72" i="170"/>
  <c r="J72" i="170"/>
  <c r="C71" i="170"/>
  <c r="L65" i="170"/>
  <c r="H64" i="170"/>
  <c r="F64" i="170"/>
  <c r="D64" i="170" s="1"/>
  <c r="P63" i="170"/>
  <c r="N63" i="170"/>
  <c r="M63" i="170"/>
  <c r="L63" i="170"/>
  <c r="K63" i="170"/>
  <c r="J63" i="170"/>
  <c r="O63" i="170" s="1"/>
  <c r="H63" i="170"/>
  <c r="G63" i="170"/>
  <c r="F63" i="170"/>
  <c r="D63" i="170"/>
  <c r="C63" i="170"/>
  <c r="M62" i="170"/>
  <c r="L62" i="170"/>
  <c r="K62" i="170"/>
  <c r="J62" i="170"/>
  <c r="I62" i="170"/>
  <c r="H62" i="170"/>
  <c r="G62" i="170"/>
  <c r="F62" i="170"/>
  <c r="N62" i="170" s="1"/>
  <c r="E62" i="170"/>
  <c r="D62" i="170"/>
  <c r="C62" i="170"/>
  <c r="O61" i="170"/>
  <c r="M61" i="170"/>
  <c r="L61" i="170"/>
  <c r="K61" i="170"/>
  <c r="J61" i="170"/>
  <c r="G61" i="170"/>
  <c r="F61" i="170"/>
  <c r="C61" i="170"/>
  <c r="N60" i="170"/>
  <c r="M60" i="170"/>
  <c r="M65" i="170" s="1"/>
  <c r="L60" i="170"/>
  <c r="K60" i="170"/>
  <c r="J60" i="170"/>
  <c r="G60" i="170"/>
  <c r="F60" i="170"/>
  <c r="C60" i="170"/>
  <c r="N59" i="170"/>
  <c r="L58" i="170"/>
  <c r="G58" i="170"/>
  <c r="H57" i="170"/>
  <c r="F57" i="170"/>
  <c r="I57" i="170" s="1"/>
  <c r="D57" i="170"/>
  <c r="N56" i="170"/>
  <c r="M56" i="170"/>
  <c r="L56" i="170"/>
  <c r="K56" i="170"/>
  <c r="J56" i="170"/>
  <c r="O56" i="170" s="1"/>
  <c r="G56" i="170"/>
  <c r="I56" i="170" s="1"/>
  <c r="F56" i="170"/>
  <c r="E56" i="170"/>
  <c r="C56" i="170"/>
  <c r="P56" i="170" s="1"/>
  <c r="M55" i="170"/>
  <c r="L55" i="170"/>
  <c r="K55" i="170"/>
  <c r="O55" i="170" s="1"/>
  <c r="J55" i="170"/>
  <c r="I55" i="170"/>
  <c r="G55" i="170"/>
  <c r="H55" i="170" s="1"/>
  <c r="F55" i="170"/>
  <c r="E55" i="170"/>
  <c r="D55" i="170"/>
  <c r="C55" i="170"/>
  <c r="P55" i="170" s="1"/>
  <c r="N54" i="170"/>
  <c r="M54" i="170"/>
  <c r="L54" i="170"/>
  <c r="K54" i="170"/>
  <c r="J54" i="170"/>
  <c r="O54" i="170" s="1"/>
  <c r="G54" i="170"/>
  <c r="I54" i="170" s="1"/>
  <c r="F54" i="170"/>
  <c r="E54" i="170"/>
  <c r="C54" i="170"/>
  <c r="P54" i="170" s="1"/>
  <c r="M53" i="170"/>
  <c r="M58" i="170" s="1"/>
  <c r="M67" i="170" s="1"/>
  <c r="L53" i="170"/>
  <c r="K53" i="170"/>
  <c r="K58" i="170" s="1"/>
  <c r="J53" i="170"/>
  <c r="I53" i="170"/>
  <c r="I58" i="170" s="1"/>
  <c r="G53" i="170"/>
  <c r="H53" i="170" s="1"/>
  <c r="F53" i="170"/>
  <c r="F58" i="170" s="1"/>
  <c r="E53" i="170"/>
  <c r="D53" i="170"/>
  <c r="C53" i="170"/>
  <c r="L50" i="170"/>
  <c r="K50" i="170"/>
  <c r="J50" i="170"/>
  <c r="C49" i="170"/>
  <c r="L43" i="170"/>
  <c r="G43" i="170"/>
  <c r="H42" i="170"/>
  <c r="F42" i="170"/>
  <c r="I42" i="170" s="1"/>
  <c r="N41" i="170"/>
  <c r="M41" i="170"/>
  <c r="L41" i="170"/>
  <c r="K41" i="170"/>
  <c r="J41" i="170"/>
  <c r="O41" i="170" s="1"/>
  <c r="I41" i="170"/>
  <c r="G41" i="170"/>
  <c r="F41" i="170"/>
  <c r="E41" i="170"/>
  <c r="C41" i="170"/>
  <c r="P41" i="170" s="1"/>
  <c r="M40" i="170"/>
  <c r="L40" i="170"/>
  <c r="K40" i="170"/>
  <c r="J40" i="170"/>
  <c r="I40" i="170"/>
  <c r="H40" i="170"/>
  <c r="G40" i="170"/>
  <c r="F40" i="170"/>
  <c r="E40" i="170"/>
  <c r="D40" i="170"/>
  <c r="C40" i="170"/>
  <c r="N39" i="170"/>
  <c r="M39" i="170"/>
  <c r="L39" i="170"/>
  <c r="K39" i="170"/>
  <c r="J39" i="170"/>
  <c r="O39" i="170" s="1"/>
  <c r="I39" i="170"/>
  <c r="G39" i="170"/>
  <c r="F39" i="170"/>
  <c r="E39" i="170"/>
  <c r="C39" i="170"/>
  <c r="P39" i="170" s="1"/>
  <c r="M38" i="170"/>
  <c r="M43" i="170" s="1"/>
  <c r="L38" i="170"/>
  <c r="K38" i="170"/>
  <c r="K43" i="170" s="1"/>
  <c r="J38" i="170"/>
  <c r="I38" i="170"/>
  <c r="H38" i="170"/>
  <c r="G38" i="170"/>
  <c r="F38" i="170"/>
  <c r="F43" i="170" s="1"/>
  <c r="E38" i="170"/>
  <c r="D38" i="170"/>
  <c r="C38" i="170"/>
  <c r="N37" i="170"/>
  <c r="F35" i="170"/>
  <c r="P34" i="170"/>
  <c r="M34" i="170"/>
  <c r="L34" i="170"/>
  <c r="K34" i="170"/>
  <c r="J34" i="170"/>
  <c r="I34" i="170"/>
  <c r="H34" i="170"/>
  <c r="G34" i="170"/>
  <c r="F34" i="170"/>
  <c r="N34" i="170" s="1"/>
  <c r="E34" i="170"/>
  <c r="D34" i="170"/>
  <c r="C34" i="170"/>
  <c r="O33" i="170"/>
  <c r="M33" i="170"/>
  <c r="L33" i="170"/>
  <c r="K33" i="170"/>
  <c r="K36" i="170" s="1"/>
  <c r="K45" i="170" s="1"/>
  <c r="J33" i="170"/>
  <c r="G33" i="170"/>
  <c r="F33" i="170"/>
  <c r="C33" i="170"/>
  <c r="C36" i="170" s="1"/>
  <c r="P32" i="170"/>
  <c r="M32" i="170"/>
  <c r="L32" i="170"/>
  <c r="K32" i="170"/>
  <c r="J32" i="170"/>
  <c r="G32" i="170"/>
  <c r="F32" i="170"/>
  <c r="C32" i="170"/>
  <c r="M31" i="170"/>
  <c r="L31" i="170"/>
  <c r="L36" i="170" s="1"/>
  <c r="L45" i="170" s="1"/>
  <c r="K31" i="170"/>
  <c r="O31" i="170" s="1"/>
  <c r="J31" i="170"/>
  <c r="G31" i="170"/>
  <c r="G36" i="170" s="1"/>
  <c r="F31" i="170"/>
  <c r="N31" i="170" s="1"/>
  <c r="C31" i="170"/>
  <c r="L28" i="170"/>
  <c r="K28" i="170"/>
  <c r="J28" i="170"/>
  <c r="C27" i="170"/>
  <c r="P20" i="170"/>
  <c r="H20" i="170"/>
  <c r="F20" i="170"/>
  <c r="I20" i="170" s="1"/>
  <c r="D20" i="170"/>
  <c r="M19" i="170"/>
  <c r="L19" i="170"/>
  <c r="K19" i="170"/>
  <c r="O19" i="170" s="1"/>
  <c r="J19" i="170"/>
  <c r="G19" i="170"/>
  <c r="F19" i="170"/>
  <c r="N19" i="170" s="1"/>
  <c r="C19" i="170"/>
  <c r="M18" i="170"/>
  <c r="L18" i="170"/>
  <c r="K18" i="170"/>
  <c r="O18" i="170" s="1"/>
  <c r="J18" i="170"/>
  <c r="G18" i="170"/>
  <c r="F18" i="170"/>
  <c r="N18" i="170" s="1"/>
  <c r="D18" i="170"/>
  <c r="C18" i="170"/>
  <c r="E18" i="170" s="1"/>
  <c r="M17" i="170"/>
  <c r="L17" i="170"/>
  <c r="K17" i="170"/>
  <c r="O17" i="170" s="1"/>
  <c r="J17" i="170"/>
  <c r="J21" i="170" s="1"/>
  <c r="G17" i="170"/>
  <c r="I17" i="170" s="1"/>
  <c r="F17" i="170"/>
  <c r="F21" i="170" s="1"/>
  <c r="C17" i="170"/>
  <c r="P17" i="170" s="1"/>
  <c r="M16" i="170"/>
  <c r="L16" i="170"/>
  <c r="L21" i="170" s="1"/>
  <c r="K16" i="170"/>
  <c r="J16" i="170"/>
  <c r="H16" i="170"/>
  <c r="G16" i="170"/>
  <c r="F16" i="170"/>
  <c r="N16" i="170" s="1"/>
  <c r="D16" i="170"/>
  <c r="C16" i="170"/>
  <c r="N15" i="170"/>
  <c r="J14" i="170"/>
  <c r="I13" i="170"/>
  <c r="F13" i="170"/>
  <c r="H13" i="170" s="1"/>
  <c r="D13" i="170"/>
  <c r="P12" i="170"/>
  <c r="M12" i="170"/>
  <c r="L12" i="170"/>
  <c r="K12" i="170"/>
  <c r="J12" i="170"/>
  <c r="H12" i="170"/>
  <c r="G12" i="170"/>
  <c r="F12" i="170"/>
  <c r="N12" i="170" s="1"/>
  <c r="D12" i="170"/>
  <c r="C12" i="170"/>
  <c r="N11" i="170"/>
  <c r="M11" i="170"/>
  <c r="L11" i="170"/>
  <c r="K11" i="170"/>
  <c r="J11" i="170"/>
  <c r="O11" i="170" s="1"/>
  <c r="H11" i="170"/>
  <c r="G11" i="170"/>
  <c r="F11" i="170"/>
  <c r="D11" i="170"/>
  <c r="C11" i="170"/>
  <c r="M10" i="170"/>
  <c r="L10" i="170"/>
  <c r="K10" i="170"/>
  <c r="J10" i="170"/>
  <c r="I10" i="170"/>
  <c r="H10" i="170"/>
  <c r="G10" i="170"/>
  <c r="F10" i="170"/>
  <c r="N10" i="170" s="1"/>
  <c r="E10" i="170"/>
  <c r="D10" i="170"/>
  <c r="C10" i="170"/>
  <c r="P10" i="170" s="1"/>
  <c r="M9" i="170"/>
  <c r="L9" i="170"/>
  <c r="K9" i="170"/>
  <c r="K14" i="170" s="1"/>
  <c r="J9" i="170"/>
  <c r="G9" i="170"/>
  <c r="G14" i="170" s="1"/>
  <c r="F9" i="170"/>
  <c r="N9" i="170" s="1"/>
  <c r="C9" i="170"/>
  <c r="L6" i="170"/>
  <c r="K6" i="170"/>
  <c r="J6" i="170"/>
  <c r="B2" i="170"/>
  <c r="I120" i="170" l="1"/>
  <c r="P120" i="170" s="1"/>
  <c r="E120" i="170"/>
  <c r="H120" i="170"/>
  <c r="D120" i="170"/>
  <c r="N120" i="170"/>
  <c r="D196" i="170"/>
  <c r="I196" i="170"/>
  <c r="H196" i="170"/>
  <c r="G331" i="170"/>
  <c r="G608" i="170"/>
  <c r="I603" i="170"/>
  <c r="I608" i="170" s="1"/>
  <c r="K705" i="170"/>
  <c r="L309" i="170"/>
  <c r="M617" i="170"/>
  <c r="P692" i="170"/>
  <c r="E692" i="170"/>
  <c r="E16" i="170"/>
  <c r="J23" i="170"/>
  <c r="C21" i="170"/>
  <c r="E21" i="170" s="1"/>
  <c r="N121" i="170"/>
  <c r="I121" i="170"/>
  <c r="E121" i="170"/>
  <c r="D121" i="170"/>
  <c r="H121" i="170"/>
  <c r="O9" i="170"/>
  <c r="O60" i="170"/>
  <c r="J65" i="170"/>
  <c r="G243" i="170"/>
  <c r="H256" i="170"/>
  <c r="E256" i="170"/>
  <c r="N256" i="170"/>
  <c r="C265" i="170"/>
  <c r="O260" i="170"/>
  <c r="P260" i="170" s="1"/>
  <c r="K263" i="170"/>
  <c r="C14" i="170"/>
  <c r="O16" i="170"/>
  <c r="K21" i="170"/>
  <c r="O21" i="170" s="1"/>
  <c r="G45" i="170"/>
  <c r="I43" i="170"/>
  <c r="N80" i="170"/>
  <c r="I109" i="170"/>
  <c r="E109" i="170"/>
  <c r="F111" i="170"/>
  <c r="N109" i="170"/>
  <c r="N300" i="170"/>
  <c r="H300" i="170"/>
  <c r="I33" i="170"/>
  <c r="E33" i="170"/>
  <c r="N33" i="170"/>
  <c r="D33" i="170"/>
  <c r="H33" i="170"/>
  <c r="F36" i="170"/>
  <c r="I60" i="170"/>
  <c r="P60" i="170" s="1"/>
  <c r="E60" i="170"/>
  <c r="H60" i="170"/>
  <c r="D60" i="170"/>
  <c r="F65" i="170"/>
  <c r="I61" i="170"/>
  <c r="E61" i="170"/>
  <c r="N61" i="170"/>
  <c r="D61" i="170"/>
  <c r="H61" i="170"/>
  <c r="J87" i="170"/>
  <c r="C102" i="170"/>
  <c r="N127" i="170"/>
  <c r="I127" i="170"/>
  <c r="E127" i="170"/>
  <c r="H127" i="170"/>
  <c r="D127" i="170"/>
  <c r="D131" i="170" s="1"/>
  <c r="J177" i="170"/>
  <c r="N190" i="170"/>
  <c r="H190" i="170"/>
  <c r="J265" i="170"/>
  <c r="C285" i="170"/>
  <c r="E280" i="170"/>
  <c r="I18" i="170"/>
  <c r="P18" i="170" s="1"/>
  <c r="H18" i="170"/>
  <c r="I32" i="170"/>
  <c r="E32" i="170"/>
  <c r="H32" i="170"/>
  <c r="D32" i="170"/>
  <c r="H35" i="170"/>
  <c r="D35" i="170"/>
  <c r="I35" i="170"/>
  <c r="L67" i="170"/>
  <c r="J89" i="170"/>
  <c r="M102" i="170"/>
  <c r="O100" i="170"/>
  <c r="J109" i="170"/>
  <c r="O104" i="170"/>
  <c r="G111" i="170"/>
  <c r="C111" i="170"/>
  <c r="O148" i="170"/>
  <c r="J153" i="170"/>
  <c r="C177" i="170"/>
  <c r="O434" i="170"/>
  <c r="J439" i="170"/>
  <c r="I436" i="170"/>
  <c r="P436" i="170" s="1"/>
  <c r="E436" i="170"/>
  <c r="H436" i="170"/>
  <c r="D436" i="170"/>
  <c r="N436" i="170"/>
  <c r="I9" i="170"/>
  <c r="P9" i="170" s="1"/>
  <c r="E9" i="170"/>
  <c r="F14" i="170"/>
  <c r="H9" i="170"/>
  <c r="H14" i="170" s="1"/>
  <c r="D9" i="170"/>
  <c r="D14" i="170" s="1"/>
  <c r="L14" i="170"/>
  <c r="G21" i="170"/>
  <c r="I16" i="170"/>
  <c r="P16" i="170" s="1"/>
  <c r="I21" i="170"/>
  <c r="F23" i="170"/>
  <c r="H21" i="170"/>
  <c r="O32" i="170"/>
  <c r="J36" i="170"/>
  <c r="N32" i="170"/>
  <c r="P40" i="170"/>
  <c r="O40" i="170"/>
  <c r="P53" i="170"/>
  <c r="P61" i="170"/>
  <c r="L80" i="170"/>
  <c r="O78" i="170"/>
  <c r="M87" i="170"/>
  <c r="N97" i="170"/>
  <c r="K111" i="170"/>
  <c r="P99" i="170"/>
  <c r="P106" i="170"/>
  <c r="O119" i="170"/>
  <c r="I153" i="170"/>
  <c r="E153" i="170"/>
  <c r="F155" i="170"/>
  <c r="H153" i="170"/>
  <c r="N153" i="170"/>
  <c r="K177" i="170"/>
  <c r="I175" i="170"/>
  <c r="E175" i="170"/>
  <c r="H175" i="170"/>
  <c r="I195" i="170"/>
  <c r="E195" i="170"/>
  <c r="H195" i="170"/>
  <c r="D195" i="170"/>
  <c r="N195" i="170"/>
  <c r="H262" i="170"/>
  <c r="D262" i="170"/>
  <c r="I262" i="170"/>
  <c r="C300" i="170"/>
  <c r="E300" i="170" s="1"/>
  <c r="E295" i="170"/>
  <c r="P295" i="170"/>
  <c r="I19" i="170"/>
  <c r="P19" i="170" s="1"/>
  <c r="H31" i="170"/>
  <c r="M36" i="170"/>
  <c r="P33" i="170"/>
  <c r="O34" i="170"/>
  <c r="N43" i="170"/>
  <c r="J43" i="170"/>
  <c r="O38" i="170"/>
  <c r="P38" i="170" s="1"/>
  <c r="H39" i="170"/>
  <c r="D39" i="170"/>
  <c r="D43" i="170" s="1"/>
  <c r="N40" i="170"/>
  <c r="H41" i="170"/>
  <c r="D41" i="170"/>
  <c r="C43" i="170"/>
  <c r="H43" i="170"/>
  <c r="N58" i="170"/>
  <c r="J58" i="170"/>
  <c r="O53" i="170"/>
  <c r="H54" i="170"/>
  <c r="D54" i="170"/>
  <c r="D58" i="170" s="1"/>
  <c r="N55" i="170"/>
  <c r="H56" i="170"/>
  <c r="D56" i="170"/>
  <c r="C58" i="170"/>
  <c r="H58" i="170"/>
  <c r="C65" i="170"/>
  <c r="G65" i="170"/>
  <c r="K65" i="170"/>
  <c r="O62" i="170"/>
  <c r="P62" i="170" s="1"/>
  <c r="I63" i="170"/>
  <c r="E63" i="170"/>
  <c r="I64" i="170"/>
  <c r="E75" i="170"/>
  <c r="I75" i="170"/>
  <c r="D76" i="170"/>
  <c r="D80" i="170" s="1"/>
  <c r="D77" i="170"/>
  <c r="H77" i="170"/>
  <c r="H78" i="170"/>
  <c r="H82" i="170"/>
  <c r="D82" i="170"/>
  <c r="D87" i="170" s="1"/>
  <c r="H84" i="170"/>
  <c r="D84" i="170"/>
  <c r="F87" i="170"/>
  <c r="E97" i="170"/>
  <c r="E98" i="170"/>
  <c r="E99" i="170"/>
  <c r="E100" i="170"/>
  <c r="I104" i="170"/>
  <c r="P104" i="170" s="1"/>
  <c r="E104" i="170"/>
  <c r="E105" i="170"/>
  <c r="I105" i="170"/>
  <c r="P105" i="170" s="1"/>
  <c r="D106" i="170"/>
  <c r="D109" i="170" s="1"/>
  <c r="D107" i="170"/>
  <c r="H107" i="170"/>
  <c r="D108" i="170"/>
  <c r="H119" i="170"/>
  <c r="M124" i="170"/>
  <c r="I122" i="170"/>
  <c r="I123" i="170"/>
  <c r="H123" i="170"/>
  <c r="D146" i="170"/>
  <c r="O143" i="170"/>
  <c r="C155" i="170"/>
  <c r="I150" i="170"/>
  <c r="E150" i="170"/>
  <c r="H150" i="170"/>
  <c r="D150" i="170"/>
  <c r="I163" i="170"/>
  <c r="P163" i="170" s="1"/>
  <c r="E163" i="170"/>
  <c r="H163" i="170"/>
  <c r="D163" i="170"/>
  <c r="L168" i="170"/>
  <c r="O168" i="170" s="1"/>
  <c r="O164" i="170"/>
  <c r="M175" i="170"/>
  <c r="N173" i="170"/>
  <c r="O173" i="170"/>
  <c r="I190" i="170"/>
  <c r="M190" i="170"/>
  <c r="O190" i="170" s="1"/>
  <c r="O188" i="170"/>
  <c r="C190" i="170"/>
  <c r="C199" i="170" s="1"/>
  <c r="P199" i="170" s="1"/>
  <c r="I193" i="170"/>
  <c r="E193" i="170"/>
  <c r="F197" i="170"/>
  <c r="H193" i="170"/>
  <c r="D193" i="170"/>
  <c r="D197" i="170" s="1"/>
  <c r="O207" i="170"/>
  <c r="I210" i="170"/>
  <c r="E210" i="170"/>
  <c r="H210" i="170"/>
  <c r="D210" i="170"/>
  <c r="D211" i="170"/>
  <c r="I211" i="170"/>
  <c r="H211" i="170"/>
  <c r="E215" i="170"/>
  <c r="P215" i="170"/>
  <c r="P216" i="170"/>
  <c r="I259" i="170"/>
  <c r="P259" i="170" s="1"/>
  <c r="E259" i="170"/>
  <c r="H259" i="170"/>
  <c r="D259" i="170"/>
  <c r="I260" i="170"/>
  <c r="E260" i="170"/>
  <c r="N260" i="170"/>
  <c r="D260" i="170"/>
  <c r="H260" i="170"/>
  <c r="F263" i="170"/>
  <c r="M287" i="170"/>
  <c r="I278" i="170"/>
  <c r="E278" i="170"/>
  <c r="P275" i="170"/>
  <c r="H278" i="170"/>
  <c r="O280" i="170"/>
  <c r="K285" i="170"/>
  <c r="J344" i="170"/>
  <c r="O340" i="170"/>
  <c r="I456" i="170"/>
  <c r="E456" i="170"/>
  <c r="H456" i="170"/>
  <c r="D456" i="170"/>
  <c r="F461" i="170"/>
  <c r="N456" i="170"/>
  <c r="O10" i="170"/>
  <c r="I11" i="170"/>
  <c r="P11" i="170" s="1"/>
  <c r="E11" i="170"/>
  <c r="E12" i="170"/>
  <c r="I12" i="170"/>
  <c r="M21" i="170"/>
  <c r="E17" i="170"/>
  <c r="N17" i="170"/>
  <c r="E19" i="170"/>
  <c r="D31" i="170"/>
  <c r="D42" i="170"/>
  <c r="O75" i="170"/>
  <c r="N75" i="170"/>
  <c r="I76" i="170"/>
  <c r="E76" i="170"/>
  <c r="L87" i="170"/>
  <c r="H97" i="170"/>
  <c r="D97" i="170"/>
  <c r="D102" i="170" s="1"/>
  <c r="O97" i="170"/>
  <c r="P97" i="170" s="1"/>
  <c r="H99" i="170"/>
  <c r="D99" i="170"/>
  <c r="F102" i="170"/>
  <c r="O105" i="170"/>
  <c r="N105" i="170"/>
  <c r="I106" i="170"/>
  <c r="E106" i="170"/>
  <c r="O106" i="170"/>
  <c r="E107" i="170"/>
  <c r="I107" i="170"/>
  <c r="D119" i="170"/>
  <c r="D124" i="170" s="1"/>
  <c r="J124" i="170"/>
  <c r="E122" i="170"/>
  <c r="K124" i="170"/>
  <c r="F131" i="170"/>
  <c r="O131" i="170"/>
  <c r="I148" i="170"/>
  <c r="E148" i="170"/>
  <c r="H148" i="170"/>
  <c r="D148" i="170"/>
  <c r="L153" i="170"/>
  <c r="O151" i="170"/>
  <c r="O170" i="170"/>
  <c r="P173" i="170"/>
  <c r="O185" i="170"/>
  <c r="G190" i="170"/>
  <c r="O194" i="170"/>
  <c r="F212" i="170"/>
  <c r="F221" i="170"/>
  <c r="N219" i="170"/>
  <c r="K219" i="170"/>
  <c r="H251" i="170"/>
  <c r="D251" i="170"/>
  <c r="N251" i="170"/>
  <c r="E251" i="170"/>
  <c r="I251" i="170"/>
  <c r="I256" i="170" s="1"/>
  <c r="H253" i="170"/>
  <c r="D253" i="170"/>
  <c r="N253" i="170"/>
  <c r="E253" i="170"/>
  <c r="I253" i="170"/>
  <c r="K265" i="170"/>
  <c r="J278" i="170"/>
  <c r="O273" i="170"/>
  <c r="E285" i="170"/>
  <c r="N287" i="170"/>
  <c r="K300" i="170"/>
  <c r="O295" i="170"/>
  <c r="I322" i="170"/>
  <c r="P322" i="170" s="1"/>
  <c r="M14" i="170"/>
  <c r="O12" i="170"/>
  <c r="H17" i="170"/>
  <c r="D17" i="170"/>
  <c r="H19" i="170"/>
  <c r="D19" i="170"/>
  <c r="D21" i="170" s="1"/>
  <c r="I31" i="170"/>
  <c r="E31" i="170"/>
  <c r="C80" i="170"/>
  <c r="G80" i="170"/>
  <c r="K80" i="170"/>
  <c r="O77" i="170"/>
  <c r="P77" i="170" s="1"/>
  <c r="I78" i="170"/>
  <c r="E78" i="170"/>
  <c r="P82" i="170"/>
  <c r="P84" i="170"/>
  <c r="C87" i="170"/>
  <c r="L102" i="170"/>
  <c r="F124" i="170"/>
  <c r="I119" i="170"/>
  <c r="P119" i="170" s="1"/>
  <c r="E119" i="170"/>
  <c r="H122" i="170"/>
  <c r="D122" i="170"/>
  <c r="P127" i="170"/>
  <c r="H146" i="170"/>
  <c r="N146" i="170"/>
  <c r="J155" i="170"/>
  <c r="O146" i="170"/>
  <c r="G155" i="170"/>
  <c r="I165" i="170"/>
  <c r="P165" i="170" s="1"/>
  <c r="E165" i="170"/>
  <c r="H165" i="170"/>
  <c r="D165" i="170"/>
  <c r="F168" i="170"/>
  <c r="I208" i="170"/>
  <c r="P208" i="170" s="1"/>
  <c r="E208" i="170"/>
  <c r="H208" i="170"/>
  <c r="D208" i="170"/>
  <c r="D212" i="170" s="1"/>
  <c r="P214" i="170"/>
  <c r="E217" i="170"/>
  <c r="P217" i="170"/>
  <c r="M234" i="170"/>
  <c r="N234" i="170"/>
  <c r="H234" i="170"/>
  <c r="K241" i="170"/>
  <c r="I238" i="170"/>
  <c r="P239" i="170"/>
  <c r="G285" i="170"/>
  <c r="I280" i="170"/>
  <c r="P280" i="170" s="1"/>
  <c r="H280" i="170"/>
  <c r="I282" i="170"/>
  <c r="P282" i="170" s="1"/>
  <c r="H282" i="170"/>
  <c r="I295" i="170"/>
  <c r="I300" i="170" s="1"/>
  <c r="G300" i="170"/>
  <c r="P303" i="170"/>
  <c r="C307" i="170"/>
  <c r="H320" i="170"/>
  <c r="D320" i="170"/>
  <c r="N320" i="170"/>
  <c r="E320" i="170"/>
  <c r="I320" i="170"/>
  <c r="I363" i="170"/>
  <c r="E363" i="170"/>
  <c r="N363" i="170"/>
  <c r="D363" i="170"/>
  <c r="H363" i="170"/>
  <c r="I383" i="170"/>
  <c r="I388" i="170" s="1"/>
  <c r="G388" i="170"/>
  <c r="E385" i="170"/>
  <c r="P385" i="170"/>
  <c r="C388" i="170"/>
  <c r="N38" i="170"/>
  <c r="N53" i="170"/>
  <c r="N126" i="170"/>
  <c r="D129" i="170"/>
  <c r="H129" i="170"/>
  <c r="I130" i="170"/>
  <c r="N141" i="170"/>
  <c r="D142" i="170"/>
  <c r="H142" i="170"/>
  <c r="D144" i="170"/>
  <c r="H144" i="170"/>
  <c r="E149" i="170"/>
  <c r="I149" i="170"/>
  <c r="E151" i="170"/>
  <c r="I151" i="170"/>
  <c r="D152" i="170"/>
  <c r="E164" i="170"/>
  <c r="I164" i="170"/>
  <c r="P164" i="170" s="1"/>
  <c r="E166" i="170"/>
  <c r="I166" i="170"/>
  <c r="D170" i="170"/>
  <c r="D175" i="170" s="1"/>
  <c r="H170" i="170"/>
  <c r="D172" i="170"/>
  <c r="H172" i="170"/>
  <c r="D185" i="170"/>
  <c r="D190" i="170" s="1"/>
  <c r="H185" i="170"/>
  <c r="D187" i="170"/>
  <c r="H187" i="170"/>
  <c r="E192" i="170"/>
  <c r="I192" i="170"/>
  <c r="E194" i="170"/>
  <c r="I194" i="170"/>
  <c r="E207" i="170"/>
  <c r="I207" i="170"/>
  <c r="E209" i="170"/>
  <c r="I209" i="170"/>
  <c r="N214" i="170"/>
  <c r="D215" i="170"/>
  <c r="D219" i="170" s="1"/>
  <c r="H215" i="170"/>
  <c r="D217" i="170"/>
  <c r="H217" i="170"/>
  <c r="D230" i="170"/>
  <c r="D234" i="170" s="1"/>
  <c r="H230" i="170"/>
  <c r="O231" i="170"/>
  <c r="I232" i="170"/>
  <c r="I234" i="170" s="1"/>
  <c r="E232" i="170"/>
  <c r="I233" i="170"/>
  <c r="P236" i="170"/>
  <c r="P238" i="170"/>
  <c r="C241" i="170"/>
  <c r="L256" i="170"/>
  <c r="O256" i="170" s="1"/>
  <c r="H258" i="170"/>
  <c r="M263" i="170"/>
  <c r="O261" i="170"/>
  <c r="I273" i="170"/>
  <c r="E273" i="170"/>
  <c r="E274" i="170"/>
  <c r="I274" i="170"/>
  <c r="D275" i="170"/>
  <c r="D276" i="170"/>
  <c r="D278" i="170" s="1"/>
  <c r="H276" i="170"/>
  <c r="D277" i="170"/>
  <c r="I281" i="170"/>
  <c r="P281" i="170" s="1"/>
  <c r="I283" i="170"/>
  <c r="P283" i="170" s="1"/>
  <c r="I296" i="170"/>
  <c r="E298" i="170"/>
  <c r="I298" i="170"/>
  <c r="L307" i="170"/>
  <c r="E303" i="170"/>
  <c r="H305" i="170"/>
  <c r="D305" i="170"/>
  <c r="D307" i="170" s="1"/>
  <c r="N305" i="170"/>
  <c r="I306" i="170"/>
  <c r="H306" i="170"/>
  <c r="D306" i="170"/>
  <c r="F322" i="170"/>
  <c r="J331" i="170"/>
  <c r="O322" i="170"/>
  <c r="O317" i="170"/>
  <c r="C344" i="170"/>
  <c r="O342" i="170"/>
  <c r="J351" i="170"/>
  <c r="O347" i="170"/>
  <c r="J529" i="170"/>
  <c r="O126" i="170"/>
  <c r="P126" i="170" s="1"/>
  <c r="E129" i="170"/>
  <c r="I129" i="170"/>
  <c r="P129" i="170" s="1"/>
  <c r="O141" i="170"/>
  <c r="E170" i="170"/>
  <c r="I170" i="170"/>
  <c r="P170" i="170" s="1"/>
  <c r="E172" i="170"/>
  <c r="I172" i="170"/>
  <c r="P172" i="170" s="1"/>
  <c r="J197" i="170"/>
  <c r="J199" i="170" s="1"/>
  <c r="N207" i="170"/>
  <c r="J212" i="170"/>
  <c r="O214" i="170"/>
  <c r="C219" i="170"/>
  <c r="E219" i="170" s="1"/>
  <c r="G219" i="170"/>
  <c r="C234" i="170"/>
  <c r="G234" i="170"/>
  <c r="K234" i="170"/>
  <c r="O234" i="170" s="1"/>
  <c r="O229" i="170"/>
  <c r="J241" i="170"/>
  <c r="P253" i="170"/>
  <c r="C256" i="170"/>
  <c r="D258" i="170"/>
  <c r="D263" i="170" s="1"/>
  <c r="O274" i="170"/>
  <c r="N274" i="170"/>
  <c r="I275" i="170"/>
  <c r="E275" i="170"/>
  <c r="O275" i="170"/>
  <c r="E281" i="170"/>
  <c r="E283" i="170"/>
  <c r="E296" i="170"/>
  <c r="I297" i="170"/>
  <c r="E297" i="170"/>
  <c r="H297" i="170"/>
  <c r="O298" i="170"/>
  <c r="J300" i="170"/>
  <c r="H303" i="170"/>
  <c r="D303" i="170"/>
  <c r="P317" i="170"/>
  <c r="P318" i="170"/>
  <c r="O318" i="170"/>
  <c r="I326" i="170"/>
  <c r="P326" i="170" s="1"/>
  <c r="E326" i="170"/>
  <c r="H326" i="170"/>
  <c r="D326" i="170"/>
  <c r="I327" i="170"/>
  <c r="E327" i="170"/>
  <c r="N327" i="170"/>
  <c r="D327" i="170"/>
  <c r="H327" i="170"/>
  <c r="I344" i="170"/>
  <c r="M344" i="170"/>
  <c r="D351" i="170"/>
  <c r="C353" i="170"/>
  <c r="P351" i="170"/>
  <c r="F366" i="170"/>
  <c r="I368" i="170"/>
  <c r="G373" i="170"/>
  <c r="E370" i="170"/>
  <c r="P370" i="170"/>
  <c r="C373" i="170"/>
  <c r="E413" i="170"/>
  <c r="P413" i="170"/>
  <c r="P483" i="170"/>
  <c r="C485" i="170"/>
  <c r="P485" i="170" s="1"/>
  <c r="K507" i="170"/>
  <c r="N170" i="170"/>
  <c r="N185" i="170"/>
  <c r="H236" i="170"/>
  <c r="D236" i="170"/>
  <c r="H238" i="170"/>
  <c r="D238" i="170"/>
  <c r="F241" i="170"/>
  <c r="I258" i="170"/>
  <c r="E258" i="170"/>
  <c r="O258" i="170"/>
  <c r="H273" i="170"/>
  <c r="O276" i="170"/>
  <c r="I277" i="170"/>
  <c r="N285" i="170"/>
  <c r="H281" i="170"/>
  <c r="D281" i="170"/>
  <c r="D285" i="170" s="1"/>
  <c r="N282" i="170"/>
  <c r="H283" i="170"/>
  <c r="D283" i="170"/>
  <c r="H285" i="170"/>
  <c r="H296" i="170"/>
  <c r="D296" i="170"/>
  <c r="D300" i="170" s="1"/>
  <c r="N307" i="170"/>
  <c r="F309" i="170"/>
  <c r="I307" i="170"/>
  <c r="O307" i="170"/>
  <c r="E307" i="170"/>
  <c r="D322" i="170"/>
  <c r="L331" i="170"/>
  <c r="H318" i="170"/>
  <c r="D318" i="170"/>
  <c r="N318" i="170"/>
  <c r="E318" i="170"/>
  <c r="K331" i="170"/>
  <c r="H347" i="170"/>
  <c r="D347" i="170"/>
  <c r="N347" i="170"/>
  <c r="E347" i="170"/>
  <c r="F351" i="170"/>
  <c r="I347" i="170"/>
  <c r="I362" i="170"/>
  <c r="E362" i="170"/>
  <c r="H362" i="170"/>
  <c r="D362" i="170"/>
  <c r="I406" i="170"/>
  <c r="E406" i="170"/>
  <c r="H406" i="170"/>
  <c r="D406" i="170"/>
  <c r="D410" i="170" s="1"/>
  <c r="N406" i="170"/>
  <c r="E430" i="170"/>
  <c r="E476" i="170"/>
  <c r="N476" i="170"/>
  <c r="H476" i="170"/>
  <c r="N280" i="170"/>
  <c r="D321" i="170"/>
  <c r="D324" i="170"/>
  <c r="D329" i="170" s="1"/>
  <c r="N339" i="170"/>
  <c r="O339" i="170"/>
  <c r="H340" i="170"/>
  <c r="D340" i="170"/>
  <c r="D344" i="170" s="1"/>
  <c r="E342" i="170"/>
  <c r="H349" i="170"/>
  <c r="D349" i="170"/>
  <c r="H361" i="170"/>
  <c r="E368" i="170"/>
  <c r="P368" i="170"/>
  <c r="M373" i="170"/>
  <c r="O369" i="170"/>
  <c r="E383" i="170"/>
  <c r="P383" i="170"/>
  <c r="M388" i="170"/>
  <c r="O388" i="170" s="1"/>
  <c r="O384" i="170"/>
  <c r="F395" i="170"/>
  <c r="I393" i="170"/>
  <c r="E393" i="170"/>
  <c r="H393" i="170"/>
  <c r="D393" i="170"/>
  <c r="D394" i="170"/>
  <c r="I394" i="170"/>
  <c r="H394" i="170"/>
  <c r="M410" i="170"/>
  <c r="D409" i="170"/>
  <c r="I409" i="170"/>
  <c r="H409" i="170"/>
  <c r="K417" i="170"/>
  <c r="J441" i="170"/>
  <c r="O432" i="170"/>
  <c r="E428" i="170"/>
  <c r="P428" i="170"/>
  <c r="O429" i="170"/>
  <c r="J454" i="170"/>
  <c r="O449" i="170"/>
  <c r="I451" i="170"/>
  <c r="P451" i="170" s="1"/>
  <c r="E451" i="170"/>
  <c r="H451" i="170"/>
  <c r="D451" i="170"/>
  <c r="O452" i="170"/>
  <c r="M463" i="170"/>
  <c r="O457" i="170"/>
  <c r="J461" i="170"/>
  <c r="I473" i="170"/>
  <c r="E473" i="170"/>
  <c r="H473" i="170"/>
  <c r="D473" i="170"/>
  <c r="M485" i="170"/>
  <c r="G485" i="170"/>
  <c r="L507" i="170"/>
  <c r="M507" i="170"/>
  <c r="E522" i="170"/>
  <c r="P522" i="170"/>
  <c r="C527" i="170"/>
  <c r="M527" i="170"/>
  <c r="I548" i="170"/>
  <c r="D548" i="170"/>
  <c r="H548" i="170"/>
  <c r="D570" i="170"/>
  <c r="I570" i="170"/>
  <c r="H570" i="170"/>
  <c r="I328" i="170"/>
  <c r="D328" i="170"/>
  <c r="H342" i="170"/>
  <c r="D342" i="170"/>
  <c r="O364" i="170"/>
  <c r="J366" i="170"/>
  <c r="G397" i="170"/>
  <c r="I391" i="170"/>
  <c r="E391" i="170"/>
  <c r="H391" i="170"/>
  <c r="D391" i="170"/>
  <c r="D395" i="170" s="1"/>
  <c r="O405" i="170"/>
  <c r="I408" i="170"/>
  <c r="E408" i="170"/>
  <c r="H408" i="170"/>
  <c r="D408" i="170"/>
  <c r="I434" i="170"/>
  <c r="E434" i="170"/>
  <c r="H434" i="170"/>
  <c r="D434" i="170"/>
  <c r="D439" i="170" s="1"/>
  <c r="L439" i="170"/>
  <c r="O435" i="170"/>
  <c r="K463" i="170"/>
  <c r="L476" i="170"/>
  <c r="O472" i="170"/>
  <c r="I474" i="170"/>
  <c r="E474" i="170"/>
  <c r="N474" i="170"/>
  <c r="D474" i="170"/>
  <c r="D476" i="170" s="1"/>
  <c r="H474" i="170"/>
  <c r="I498" i="170"/>
  <c r="I503" i="170"/>
  <c r="P503" i="170" s="1"/>
  <c r="E503" i="170"/>
  <c r="H503" i="170"/>
  <c r="D503" i="170"/>
  <c r="I515" i="170"/>
  <c r="E515" i="170"/>
  <c r="N515" i="170"/>
  <c r="D515" i="170"/>
  <c r="H515" i="170"/>
  <c r="F520" i="170"/>
  <c r="O527" i="170"/>
  <c r="G529" i="170"/>
  <c r="N542" i="170"/>
  <c r="H542" i="170"/>
  <c r="O537" i="170"/>
  <c r="K542" i="170"/>
  <c r="I547" i="170"/>
  <c r="E547" i="170"/>
  <c r="H547" i="170"/>
  <c r="D547" i="170"/>
  <c r="N547" i="170"/>
  <c r="P562" i="170"/>
  <c r="E562" i="170"/>
  <c r="I563" i="170"/>
  <c r="D563" i="170"/>
  <c r="H563" i="170"/>
  <c r="G637" i="170"/>
  <c r="I632" i="170"/>
  <c r="E634" i="170"/>
  <c r="P634" i="170"/>
  <c r="H321" i="170"/>
  <c r="F329" i="170"/>
  <c r="J329" i="170"/>
  <c r="O324" i="170"/>
  <c r="P324" i="170" s="1"/>
  <c r="N324" i="170"/>
  <c r="I325" i="170"/>
  <c r="E325" i="170"/>
  <c r="F344" i="170"/>
  <c r="M351" i="170"/>
  <c r="I361" i="170"/>
  <c r="E361" i="170"/>
  <c r="K375" i="170"/>
  <c r="N364" i="170"/>
  <c r="I364" i="170"/>
  <c r="E364" i="170"/>
  <c r="N373" i="170"/>
  <c r="I373" i="170"/>
  <c r="E373" i="170"/>
  <c r="F375" i="170"/>
  <c r="H373" i="170"/>
  <c r="N388" i="170"/>
  <c r="E388" i="170"/>
  <c r="H388" i="170"/>
  <c r="C397" i="170"/>
  <c r="P397" i="170" s="1"/>
  <c r="F410" i="170"/>
  <c r="N408" i="170"/>
  <c r="P412" i="170"/>
  <c r="E415" i="170"/>
  <c r="P415" i="170"/>
  <c r="G432" i="170"/>
  <c r="P429" i="170"/>
  <c r="I430" i="170"/>
  <c r="I432" i="170" s="1"/>
  <c r="H430" i="170"/>
  <c r="F439" i="170"/>
  <c r="I449" i="170"/>
  <c r="E449" i="170"/>
  <c r="H449" i="170"/>
  <c r="D449" i="170"/>
  <c r="D454" i="170" s="1"/>
  <c r="F454" i="170"/>
  <c r="C463" i="170"/>
  <c r="H458" i="170"/>
  <c r="N458" i="170"/>
  <c r="E458" i="170"/>
  <c r="I458" i="170"/>
  <c r="D458" i="170"/>
  <c r="P478" i="170"/>
  <c r="E478" i="170"/>
  <c r="O478" i="170"/>
  <c r="P480" i="170"/>
  <c r="E480" i="170"/>
  <c r="O480" i="170"/>
  <c r="P496" i="170"/>
  <c r="C505" i="170"/>
  <c r="J505" i="170"/>
  <c r="K527" i="170"/>
  <c r="M595" i="170"/>
  <c r="D365" i="170"/>
  <c r="D366" i="170" s="1"/>
  <c r="N369" i="170"/>
  <c r="N371" i="170"/>
  <c r="N384" i="170"/>
  <c r="N386" i="170"/>
  <c r="E390" i="170"/>
  <c r="I390" i="170"/>
  <c r="E392" i="170"/>
  <c r="I392" i="170"/>
  <c r="E405" i="170"/>
  <c r="I405" i="170"/>
  <c r="I410" i="170" s="1"/>
  <c r="E407" i="170"/>
  <c r="I407" i="170"/>
  <c r="N412" i="170"/>
  <c r="N414" i="170"/>
  <c r="F417" i="170"/>
  <c r="J417" i="170"/>
  <c r="N427" i="170"/>
  <c r="N429" i="170"/>
  <c r="F432" i="170"/>
  <c r="E435" i="170"/>
  <c r="I435" i="170"/>
  <c r="E437" i="170"/>
  <c r="I437" i="170"/>
  <c r="P437" i="170" s="1"/>
  <c r="D438" i="170"/>
  <c r="E450" i="170"/>
  <c r="I450" i="170"/>
  <c r="E452" i="170"/>
  <c r="I452" i="170"/>
  <c r="K461" i="170"/>
  <c r="E457" i="170"/>
  <c r="I457" i="170"/>
  <c r="P458" i="170"/>
  <c r="P459" i="170"/>
  <c r="J483" i="170"/>
  <c r="P493" i="170"/>
  <c r="P495" i="170"/>
  <c r="C498" i="170"/>
  <c r="D500" i="170"/>
  <c r="D505" i="170" s="1"/>
  <c r="L520" i="170"/>
  <c r="P515" i="170"/>
  <c r="O516" i="170"/>
  <c r="N516" i="170"/>
  <c r="I517" i="170"/>
  <c r="E517" i="170"/>
  <c r="E518" i="170"/>
  <c r="I518" i="170"/>
  <c r="O522" i="170"/>
  <c r="O525" i="170"/>
  <c r="P525" i="170" s="1"/>
  <c r="I542" i="170"/>
  <c r="E539" i="170"/>
  <c r="P539" i="170"/>
  <c r="C564" i="170"/>
  <c r="E560" i="170"/>
  <c r="O560" i="170"/>
  <c r="P560" i="170" s="1"/>
  <c r="E586" i="170"/>
  <c r="N586" i="170"/>
  <c r="J615" i="170"/>
  <c r="N390" i="170"/>
  <c r="J395" i="170"/>
  <c r="J397" i="170" s="1"/>
  <c r="N405" i="170"/>
  <c r="J410" i="170"/>
  <c r="C417" i="170"/>
  <c r="O427" i="170"/>
  <c r="P427" i="170" s="1"/>
  <c r="C432" i="170"/>
  <c r="H459" i="170"/>
  <c r="J476" i="170"/>
  <c r="H478" i="170"/>
  <c r="D478" i="170"/>
  <c r="H480" i="170"/>
  <c r="D480" i="170"/>
  <c r="F483" i="170"/>
  <c r="E493" i="170"/>
  <c r="J498" i="170"/>
  <c r="I500" i="170"/>
  <c r="P500" i="170" s="1"/>
  <c r="E500" i="170"/>
  <c r="O500" i="170"/>
  <c r="M520" i="170"/>
  <c r="O518" i="170"/>
  <c r="I527" i="170"/>
  <c r="E527" i="170"/>
  <c r="F529" i="170"/>
  <c r="H527" i="170"/>
  <c r="I524" i="170"/>
  <c r="H524" i="170"/>
  <c r="E537" i="170"/>
  <c r="P537" i="170"/>
  <c r="M542" i="170"/>
  <c r="O538" i="170"/>
  <c r="C551" i="170"/>
  <c r="O546" i="170"/>
  <c r="P559" i="170"/>
  <c r="P568" i="170"/>
  <c r="J571" i="170"/>
  <c r="G586" i="170"/>
  <c r="K586" i="170"/>
  <c r="I583" i="170"/>
  <c r="P583" i="170" s="1"/>
  <c r="E583" i="170"/>
  <c r="H583" i="170"/>
  <c r="D583" i="170"/>
  <c r="D586" i="170" s="1"/>
  <c r="I584" i="170"/>
  <c r="P584" i="170" s="1"/>
  <c r="E584" i="170"/>
  <c r="N584" i="170"/>
  <c r="D584" i="170"/>
  <c r="H584" i="170"/>
  <c r="P588" i="170"/>
  <c r="C593" i="170"/>
  <c r="E588" i="170"/>
  <c r="P590" i="170"/>
  <c r="E590" i="170"/>
  <c r="C661" i="170"/>
  <c r="P661" i="170" s="1"/>
  <c r="P659" i="170"/>
  <c r="I656" i="170"/>
  <c r="E656" i="170"/>
  <c r="H656" i="170"/>
  <c r="D656" i="170"/>
  <c r="N656" i="170"/>
  <c r="P681" i="170"/>
  <c r="N302" i="170"/>
  <c r="N317" i="170"/>
  <c r="N368" i="170"/>
  <c r="D369" i="170"/>
  <c r="D373" i="170" s="1"/>
  <c r="D371" i="170"/>
  <c r="N383" i="170"/>
  <c r="D384" i="170"/>
  <c r="D386" i="170"/>
  <c r="D388" i="170" s="1"/>
  <c r="D412" i="170"/>
  <c r="D414" i="170"/>
  <c r="D427" i="170"/>
  <c r="D429" i="170"/>
  <c r="O471" i="170"/>
  <c r="N471" i="170"/>
  <c r="I472" i="170"/>
  <c r="I476" i="170" s="1"/>
  <c r="E472" i="170"/>
  <c r="H475" i="170"/>
  <c r="L483" i="170"/>
  <c r="H493" i="170"/>
  <c r="D493" i="170"/>
  <c r="D498" i="170" s="1"/>
  <c r="H495" i="170"/>
  <c r="D495" i="170"/>
  <c r="F498" i="170"/>
  <c r="O501" i="170"/>
  <c r="P501" i="170" s="1"/>
  <c r="I502" i="170"/>
  <c r="E502" i="170"/>
  <c r="F505" i="170"/>
  <c r="D516" i="170"/>
  <c r="H517" i="170"/>
  <c r="O523" i="170"/>
  <c r="E524" i="170"/>
  <c r="P524" i="170"/>
  <c r="C542" i="170"/>
  <c r="L549" i="170"/>
  <c r="I545" i="170"/>
  <c r="E545" i="170"/>
  <c r="H545" i="170"/>
  <c r="D545" i="170"/>
  <c r="D549" i="170" s="1"/>
  <c r="O559" i="170"/>
  <c r="L564" i="170"/>
  <c r="L586" i="170"/>
  <c r="O582" i="170"/>
  <c r="H586" i="170"/>
  <c r="P589" i="170"/>
  <c r="I612" i="170"/>
  <c r="P612" i="170" s="1"/>
  <c r="E612" i="170"/>
  <c r="H612" i="170"/>
  <c r="D612" i="170"/>
  <c r="N612" i="170"/>
  <c r="O652" i="170"/>
  <c r="J661" i="170"/>
  <c r="O661" i="170" s="1"/>
  <c r="H650" i="170"/>
  <c r="D650" i="170"/>
  <c r="D652" i="170" s="1"/>
  <c r="N650" i="170"/>
  <c r="E650" i="170"/>
  <c r="I650" i="170"/>
  <c r="N523" i="170"/>
  <c r="N525" i="170"/>
  <c r="N538" i="170"/>
  <c r="N540" i="170"/>
  <c r="E544" i="170"/>
  <c r="O566" i="170"/>
  <c r="P566" i="170" s="1"/>
  <c r="N566" i="170"/>
  <c r="I567" i="170"/>
  <c r="P567" i="170" s="1"/>
  <c r="E567" i="170"/>
  <c r="F571" i="170"/>
  <c r="C608" i="170"/>
  <c r="H605" i="170"/>
  <c r="C617" i="170"/>
  <c r="I627" i="170"/>
  <c r="E627" i="170"/>
  <c r="H627" i="170"/>
  <c r="D627" i="170"/>
  <c r="F630" i="170"/>
  <c r="E632" i="170"/>
  <c r="P632" i="170"/>
  <c r="C637" i="170"/>
  <c r="F652" i="170"/>
  <c r="K661" i="170"/>
  <c r="I657" i="170"/>
  <c r="E657" i="170"/>
  <c r="N657" i="170"/>
  <c r="D657" i="170"/>
  <c r="D659" i="170" s="1"/>
  <c r="H657" i="170"/>
  <c r="J681" i="170"/>
  <c r="O676" i="170"/>
  <c r="H526" i="170"/>
  <c r="F549" i="170"/>
  <c r="J549" i="170"/>
  <c r="J551" i="170" s="1"/>
  <c r="N544" i="170"/>
  <c r="N564" i="170"/>
  <c r="J564" i="170"/>
  <c r="H560" i="170"/>
  <c r="D560" i="170"/>
  <c r="N561" i="170"/>
  <c r="H562" i="170"/>
  <c r="D562" i="170"/>
  <c r="D564" i="170" s="1"/>
  <c r="H564" i="170"/>
  <c r="C571" i="170"/>
  <c r="O568" i="170"/>
  <c r="I569" i="170"/>
  <c r="P569" i="170" s="1"/>
  <c r="E569" i="170"/>
  <c r="J586" i="170"/>
  <c r="H588" i="170"/>
  <c r="D588" i="170"/>
  <c r="D593" i="170" s="1"/>
  <c r="F593" i="170"/>
  <c r="O588" i="170"/>
  <c r="N589" i="170"/>
  <c r="H590" i="170"/>
  <c r="D590" i="170"/>
  <c r="N591" i="170"/>
  <c r="E603" i="170"/>
  <c r="J617" i="170"/>
  <c r="O603" i="170"/>
  <c r="P603" i="170" s="1"/>
  <c r="I610" i="170"/>
  <c r="P610" i="170" s="1"/>
  <c r="E610" i="170"/>
  <c r="H610" i="170"/>
  <c r="D610" i="170"/>
  <c r="D615" i="170" s="1"/>
  <c r="L615" i="170"/>
  <c r="O611" i="170"/>
  <c r="K639" i="170"/>
  <c r="O628" i="170"/>
  <c r="J630" i="170"/>
  <c r="H648" i="170"/>
  <c r="D648" i="170"/>
  <c r="N648" i="170"/>
  <c r="E648" i="170"/>
  <c r="I648" i="170"/>
  <c r="O677" i="170"/>
  <c r="N522" i="170"/>
  <c r="D523" i="170"/>
  <c r="D527" i="170" s="1"/>
  <c r="D525" i="170"/>
  <c r="N537" i="170"/>
  <c r="D538" i="170"/>
  <c r="D542" i="170" s="1"/>
  <c r="D540" i="170"/>
  <c r="O544" i="170"/>
  <c r="D566" i="170"/>
  <c r="H567" i="170"/>
  <c r="O581" i="170"/>
  <c r="P581" i="170" s="1"/>
  <c r="N581" i="170"/>
  <c r="I582" i="170"/>
  <c r="I586" i="170" s="1"/>
  <c r="E582" i="170"/>
  <c r="H585" i="170"/>
  <c r="L593" i="170"/>
  <c r="P591" i="170"/>
  <c r="H603" i="170"/>
  <c r="K608" i="170"/>
  <c r="P605" i="170"/>
  <c r="E606" i="170"/>
  <c r="G617" i="170"/>
  <c r="F615" i="170"/>
  <c r="I625" i="170"/>
  <c r="E625" i="170"/>
  <c r="H625" i="170"/>
  <c r="D625" i="170"/>
  <c r="L630" i="170"/>
  <c r="O626" i="170"/>
  <c r="N627" i="170"/>
  <c r="K637" i="170"/>
  <c r="I634" i="170"/>
  <c r="H634" i="170"/>
  <c r="O635" i="170"/>
  <c r="P635" i="170" s="1"/>
  <c r="F659" i="170"/>
  <c r="L674" i="170"/>
  <c r="N603" i="170"/>
  <c r="N605" i="170"/>
  <c r="F608" i="170"/>
  <c r="E611" i="170"/>
  <c r="I611" i="170"/>
  <c r="E613" i="170"/>
  <c r="I613" i="170"/>
  <c r="D614" i="170"/>
  <c r="E626" i="170"/>
  <c r="I626" i="170"/>
  <c r="P626" i="170" s="1"/>
  <c r="E628" i="170"/>
  <c r="I628" i="170"/>
  <c r="D629" i="170"/>
  <c r="N633" i="170"/>
  <c r="N635" i="170"/>
  <c r="P647" i="170"/>
  <c r="P649" i="170"/>
  <c r="D651" i="170"/>
  <c r="O669" i="170"/>
  <c r="N669" i="170"/>
  <c r="I670" i="170"/>
  <c r="I674" i="170" s="1"/>
  <c r="E670" i="170"/>
  <c r="E671" i="170"/>
  <c r="I671" i="170"/>
  <c r="D672" i="170"/>
  <c r="J674" i="170"/>
  <c r="H676" i="170"/>
  <c r="D676" i="170"/>
  <c r="F681" i="170"/>
  <c r="G727" i="170"/>
  <c r="I721" i="170"/>
  <c r="E721" i="170"/>
  <c r="H721" i="170"/>
  <c r="D721" i="170"/>
  <c r="N721" i="170"/>
  <c r="J659" i="170"/>
  <c r="C674" i="170"/>
  <c r="O671" i="170"/>
  <c r="I672" i="170"/>
  <c r="E672" i="170"/>
  <c r="F674" i="170"/>
  <c r="G683" i="170"/>
  <c r="I696" i="170"/>
  <c r="P694" i="170"/>
  <c r="C703" i="170"/>
  <c r="P698" i="170"/>
  <c r="O713" i="170"/>
  <c r="K718" i="170"/>
  <c r="N559" i="170"/>
  <c r="D603" i="170"/>
  <c r="D605" i="170"/>
  <c r="F637" i="170"/>
  <c r="J637" i="170"/>
  <c r="N632" i="170"/>
  <c r="D633" i="170"/>
  <c r="D637" i="170" s="1"/>
  <c r="D635" i="170"/>
  <c r="I647" i="170"/>
  <c r="I652" i="170" s="1"/>
  <c r="H651" i="170"/>
  <c r="O654" i="170"/>
  <c r="N654" i="170"/>
  <c r="I655" i="170"/>
  <c r="E655" i="170"/>
  <c r="H658" i="170"/>
  <c r="D669" i="170"/>
  <c r="H670" i="170"/>
  <c r="I676" i="170"/>
  <c r="M681" i="170"/>
  <c r="E678" i="170"/>
  <c r="O691" i="170"/>
  <c r="J696" i="170"/>
  <c r="G696" i="170"/>
  <c r="O700" i="170"/>
  <c r="I703" i="170"/>
  <c r="H703" i="170"/>
  <c r="I736" i="170"/>
  <c r="E736" i="170"/>
  <c r="H736" i="170"/>
  <c r="D736" i="170"/>
  <c r="D740" i="170" s="1"/>
  <c r="N736" i="170"/>
  <c r="M747" i="170"/>
  <c r="N678" i="170"/>
  <c r="C696" i="170"/>
  <c r="D698" i="170"/>
  <c r="D703" i="170" s="1"/>
  <c r="N718" i="170"/>
  <c r="E718" i="170"/>
  <c r="H718" i="170"/>
  <c r="L727" i="170"/>
  <c r="C727" i="170"/>
  <c r="P727" i="170" s="1"/>
  <c r="O722" i="170"/>
  <c r="D724" i="170"/>
  <c r="I724" i="170"/>
  <c r="H724" i="170"/>
  <c r="P725" i="170"/>
  <c r="M749" i="170"/>
  <c r="O737" i="170"/>
  <c r="H747" i="170"/>
  <c r="N747" i="170"/>
  <c r="O742" i="170"/>
  <c r="O744" i="170"/>
  <c r="I698" i="170"/>
  <c r="E698" i="170"/>
  <c r="O698" i="170"/>
  <c r="J703" i="170"/>
  <c r="J725" i="170"/>
  <c r="I723" i="170"/>
  <c r="E723" i="170"/>
  <c r="H723" i="170"/>
  <c r="D723" i="170"/>
  <c r="D725" i="170" s="1"/>
  <c r="J740" i="170"/>
  <c r="I738" i="170"/>
  <c r="E738" i="170"/>
  <c r="H738" i="170"/>
  <c r="D738" i="170"/>
  <c r="G747" i="170"/>
  <c r="I747" i="170" s="1"/>
  <c r="N647" i="170"/>
  <c r="L681" i="170"/>
  <c r="D678" i="170"/>
  <c r="H691" i="170"/>
  <c r="D691" i="170"/>
  <c r="H693" i="170"/>
  <c r="D693" i="170"/>
  <c r="F696" i="170"/>
  <c r="L703" i="170"/>
  <c r="O699" i="170"/>
  <c r="I700" i="170"/>
  <c r="E700" i="170"/>
  <c r="O701" i="170"/>
  <c r="O714" i="170"/>
  <c r="O716" i="170"/>
  <c r="O718" i="170"/>
  <c r="F725" i="170"/>
  <c r="F740" i="170"/>
  <c r="C749" i="170"/>
  <c r="P749" i="170" s="1"/>
  <c r="D713" i="170"/>
  <c r="H713" i="170"/>
  <c r="D715" i="170"/>
  <c r="H715" i="170"/>
  <c r="E720" i="170"/>
  <c r="I720" i="170"/>
  <c r="E735" i="170"/>
  <c r="I735" i="170"/>
  <c r="I740" i="170" s="1"/>
  <c r="N742" i="170"/>
  <c r="D743" i="170"/>
  <c r="D747" i="170" s="1"/>
  <c r="H743" i="170"/>
  <c r="D745" i="170"/>
  <c r="H745" i="170"/>
  <c r="I746" i="170"/>
  <c r="J747" i="170"/>
  <c r="E713" i="170"/>
  <c r="I713" i="170"/>
  <c r="E715" i="170"/>
  <c r="I715" i="170"/>
  <c r="N720" i="170"/>
  <c r="N735" i="170"/>
  <c r="E743" i="170"/>
  <c r="I743" i="170"/>
  <c r="E745" i="170"/>
  <c r="I745" i="170"/>
  <c r="N713" i="170"/>
  <c r="O720" i="170"/>
  <c r="O735" i="170"/>
  <c r="D309" i="170" l="1"/>
  <c r="D23" i="170"/>
  <c r="D199" i="170"/>
  <c r="D133" i="170"/>
  <c r="D727" i="170"/>
  <c r="D375" i="170"/>
  <c r="D397" i="170"/>
  <c r="D221" i="170"/>
  <c r="P278" i="170"/>
  <c r="D111" i="170"/>
  <c r="D749" i="170"/>
  <c r="D529" i="170"/>
  <c r="D661" i="170"/>
  <c r="D551" i="170"/>
  <c r="N740" i="170"/>
  <c r="E740" i="170"/>
  <c r="H740" i="170"/>
  <c r="O725" i="170"/>
  <c r="C705" i="170"/>
  <c r="P705" i="170" s="1"/>
  <c r="P703" i="170"/>
  <c r="H674" i="170"/>
  <c r="E674" i="170"/>
  <c r="N674" i="170"/>
  <c r="P674" i="170"/>
  <c r="F683" i="170"/>
  <c r="H681" i="170"/>
  <c r="E681" i="170"/>
  <c r="I681" i="170"/>
  <c r="N681" i="170"/>
  <c r="O630" i="170"/>
  <c r="J639" i="170"/>
  <c r="O681" i="170"/>
  <c r="O483" i="170"/>
  <c r="P449" i="170"/>
  <c r="I454" i="170"/>
  <c r="J375" i="170"/>
  <c r="O366" i="170"/>
  <c r="M419" i="170"/>
  <c r="N395" i="170"/>
  <c r="I395" i="170"/>
  <c r="E395" i="170"/>
  <c r="H395" i="170"/>
  <c r="F397" i="170"/>
  <c r="P430" i="170"/>
  <c r="K419" i="170"/>
  <c r="J221" i="170"/>
  <c r="O212" i="170"/>
  <c r="M243" i="170"/>
  <c r="L111" i="170"/>
  <c r="O43" i="170"/>
  <c r="M45" i="170"/>
  <c r="E65" i="170"/>
  <c r="F67" i="170"/>
  <c r="N65" i="170"/>
  <c r="I65" i="170"/>
  <c r="P65" i="170" s="1"/>
  <c r="H65" i="170"/>
  <c r="I718" i="170"/>
  <c r="D718" i="170"/>
  <c r="N725" i="170"/>
  <c r="I725" i="170"/>
  <c r="E725" i="170"/>
  <c r="H725" i="170"/>
  <c r="F727" i="170"/>
  <c r="D696" i="170"/>
  <c r="O703" i="170"/>
  <c r="D674" i="170"/>
  <c r="N637" i="170"/>
  <c r="E637" i="170"/>
  <c r="F639" i="170"/>
  <c r="I637" i="170"/>
  <c r="H637" i="170"/>
  <c r="K727" i="170"/>
  <c r="O659" i="170"/>
  <c r="J727" i="170"/>
  <c r="O727" i="170" s="1"/>
  <c r="D681" i="170"/>
  <c r="L683" i="170"/>
  <c r="D571" i="170"/>
  <c r="O564" i="170"/>
  <c r="J573" i="170"/>
  <c r="N549" i="170"/>
  <c r="F551" i="170"/>
  <c r="I549" i="170"/>
  <c r="H549" i="170"/>
  <c r="E549" i="170"/>
  <c r="C639" i="170"/>
  <c r="P637" i="170"/>
  <c r="E630" i="170"/>
  <c r="H630" i="170"/>
  <c r="N630" i="170"/>
  <c r="L595" i="170"/>
  <c r="P542" i="170"/>
  <c r="I505" i="170"/>
  <c r="E505" i="170"/>
  <c r="F507" i="170"/>
  <c r="N505" i="170"/>
  <c r="H505" i="170"/>
  <c r="H498" i="170"/>
  <c r="E498" i="170"/>
  <c r="N498" i="170"/>
  <c r="D432" i="170"/>
  <c r="C595" i="170"/>
  <c r="G595" i="170"/>
  <c r="M529" i="170"/>
  <c r="O498" i="170"/>
  <c r="J507" i="170"/>
  <c r="O507" i="170" s="1"/>
  <c r="J419" i="170"/>
  <c r="O419" i="170" s="1"/>
  <c r="O410" i="170"/>
  <c r="P410" i="170" s="1"/>
  <c r="O615" i="170"/>
  <c r="P498" i="170"/>
  <c r="I439" i="170"/>
  <c r="P439" i="170" s="1"/>
  <c r="E439" i="170"/>
  <c r="F441" i="170"/>
  <c r="H439" i="170"/>
  <c r="N439" i="170"/>
  <c r="H375" i="170"/>
  <c r="N375" i="170"/>
  <c r="I375" i="170"/>
  <c r="O329" i="170"/>
  <c r="E542" i="170"/>
  <c r="E520" i="170"/>
  <c r="H520" i="170"/>
  <c r="N520" i="170"/>
  <c r="G375" i="170"/>
  <c r="P256" i="170"/>
  <c r="I219" i="170"/>
  <c r="G221" i="170"/>
  <c r="H221" i="170" s="1"/>
  <c r="N322" i="170"/>
  <c r="E322" i="170"/>
  <c r="H322" i="170"/>
  <c r="P273" i="170"/>
  <c r="G309" i="170"/>
  <c r="O263" i="170"/>
  <c r="C89" i="170"/>
  <c r="M23" i="170"/>
  <c r="N23" i="170" s="1"/>
  <c r="J287" i="170"/>
  <c r="O278" i="170"/>
  <c r="H219" i="170"/>
  <c r="D153" i="170"/>
  <c r="J133" i="170"/>
  <c r="O124" i="170"/>
  <c r="D461" i="170"/>
  <c r="G199" i="170"/>
  <c r="P75" i="170"/>
  <c r="I80" i="170"/>
  <c r="C67" i="170"/>
  <c r="P43" i="170"/>
  <c r="E43" i="170"/>
  <c r="C45" i="170"/>
  <c r="O36" i="170"/>
  <c r="J45" i="170"/>
  <c r="O45" i="170" s="1"/>
  <c r="G23" i="170"/>
  <c r="E14" i="170"/>
  <c r="N14" i="170"/>
  <c r="O439" i="170"/>
  <c r="M111" i="170"/>
  <c r="N111" i="170" s="1"/>
  <c r="D65" i="170"/>
  <c r="E80" i="170"/>
  <c r="K67" i="170"/>
  <c r="P696" i="170"/>
  <c r="O637" i="170"/>
  <c r="D595" i="170"/>
  <c r="N652" i="170"/>
  <c r="E652" i="170"/>
  <c r="H652" i="170"/>
  <c r="L573" i="170"/>
  <c r="C683" i="170"/>
  <c r="P683" i="170" s="1"/>
  <c r="H529" i="170"/>
  <c r="N529" i="170"/>
  <c r="E529" i="170"/>
  <c r="I529" i="170"/>
  <c r="J485" i="170"/>
  <c r="O476" i="170"/>
  <c r="D507" i="170"/>
  <c r="C507" i="170"/>
  <c r="P505" i="170"/>
  <c r="E344" i="170"/>
  <c r="N344" i="170"/>
  <c r="H344" i="170"/>
  <c r="J463" i="170"/>
  <c r="O463" i="170" s="1"/>
  <c r="O454" i="170"/>
  <c r="O241" i="170"/>
  <c r="O331" i="170"/>
  <c r="G89" i="170"/>
  <c r="F463" i="170"/>
  <c r="N461" i="170"/>
  <c r="I461" i="170"/>
  <c r="P461" i="170" s="1"/>
  <c r="H461" i="170"/>
  <c r="E461" i="170"/>
  <c r="M199" i="170"/>
  <c r="O199" i="170" s="1"/>
  <c r="G67" i="170"/>
  <c r="I23" i="170"/>
  <c r="H23" i="170"/>
  <c r="H696" i="170"/>
  <c r="E696" i="170"/>
  <c r="N696" i="170"/>
  <c r="G749" i="170"/>
  <c r="F705" i="170"/>
  <c r="G705" i="170"/>
  <c r="H608" i="170"/>
  <c r="N608" i="170"/>
  <c r="E608" i="170"/>
  <c r="J595" i="170"/>
  <c r="O595" i="170" s="1"/>
  <c r="O586" i="170"/>
  <c r="P586" i="170" s="1"/>
  <c r="M551" i="170"/>
  <c r="O417" i="170"/>
  <c r="G441" i="170"/>
  <c r="N329" i="170"/>
  <c r="E329" i="170"/>
  <c r="F331" i="170"/>
  <c r="I329" i="170"/>
  <c r="P329" i="170" s="1"/>
  <c r="H329" i="170"/>
  <c r="K551" i="170"/>
  <c r="O551" i="170" s="1"/>
  <c r="O542" i="170"/>
  <c r="L485" i="170"/>
  <c r="I351" i="170"/>
  <c r="E351" i="170"/>
  <c r="F353" i="170"/>
  <c r="H351" i="170"/>
  <c r="N351" i="170"/>
  <c r="D287" i="170"/>
  <c r="P258" i="170"/>
  <c r="C375" i="170"/>
  <c r="P375" i="170" s="1"/>
  <c r="P373" i="170"/>
  <c r="D353" i="170"/>
  <c r="L265" i="170"/>
  <c r="O265" i="170" s="1"/>
  <c r="I168" i="170"/>
  <c r="P168" i="170" s="1"/>
  <c r="E168" i="170"/>
  <c r="H168" i="170"/>
  <c r="N168" i="170"/>
  <c r="K309" i="170"/>
  <c r="F133" i="170"/>
  <c r="H131" i="170"/>
  <c r="N131" i="170"/>
  <c r="I131" i="170"/>
  <c r="P131" i="170" s="1"/>
  <c r="E131" i="170"/>
  <c r="H102" i="170"/>
  <c r="E102" i="170"/>
  <c r="N102" i="170"/>
  <c r="D36" i="170"/>
  <c r="N21" i="170"/>
  <c r="O344" i="170"/>
  <c r="P344" i="170" s="1"/>
  <c r="J353" i="170"/>
  <c r="I263" i="170"/>
  <c r="P263" i="170" s="1"/>
  <c r="E263" i="170"/>
  <c r="F265" i="170"/>
  <c r="N263" i="170"/>
  <c r="H263" i="170"/>
  <c r="M133" i="170"/>
  <c r="P300" i="170"/>
  <c r="L89" i="170"/>
  <c r="J243" i="170"/>
  <c r="O243" i="170" s="1"/>
  <c r="M177" i="170"/>
  <c r="O109" i="170"/>
  <c r="P109" i="170" s="1"/>
  <c r="O87" i="170"/>
  <c r="E36" i="170"/>
  <c r="F45" i="170"/>
  <c r="N36" i="170"/>
  <c r="H36" i="170"/>
  <c r="H80" i="170"/>
  <c r="K23" i="170"/>
  <c r="O617" i="170"/>
  <c r="O549" i="170"/>
  <c r="K595" i="170"/>
  <c r="P417" i="170"/>
  <c r="C419" i="170"/>
  <c r="H454" i="170"/>
  <c r="N454" i="170"/>
  <c r="E454" i="170"/>
  <c r="D441" i="170"/>
  <c r="P234" i="170"/>
  <c r="L155" i="170"/>
  <c r="O155" i="170" s="1"/>
  <c r="F89" i="170"/>
  <c r="H87" i="170"/>
  <c r="N87" i="170"/>
  <c r="I87" i="170"/>
  <c r="P87" i="170" s="1"/>
  <c r="E87" i="170"/>
  <c r="M265" i="170"/>
  <c r="I111" i="170"/>
  <c r="H111" i="170"/>
  <c r="E111" i="170"/>
  <c r="O102" i="170"/>
  <c r="P102" i="170" s="1"/>
  <c r="O23" i="170"/>
  <c r="F749" i="170"/>
  <c r="M683" i="170"/>
  <c r="L639" i="170"/>
  <c r="I630" i="170"/>
  <c r="P630" i="170" s="1"/>
  <c r="P625" i="170"/>
  <c r="D617" i="170"/>
  <c r="C573" i="170"/>
  <c r="D483" i="170"/>
  <c r="P432" i="170"/>
  <c r="E564" i="170"/>
  <c r="P564" i="170"/>
  <c r="I366" i="170"/>
  <c r="I520" i="170"/>
  <c r="P520" i="170" s="1"/>
  <c r="C441" i="170"/>
  <c r="D331" i="170"/>
  <c r="H309" i="170"/>
  <c r="N309" i="170"/>
  <c r="I309" i="170"/>
  <c r="D241" i="170"/>
  <c r="K529" i="170"/>
  <c r="O529" i="170" s="1"/>
  <c r="K243" i="170"/>
  <c r="P219" i="170"/>
  <c r="C221" i="170"/>
  <c r="O197" i="170"/>
  <c r="P388" i="170"/>
  <c r="N221" i="170"/>
  <c r="I221" i="170"/>
  <c r="E221" i="170"/>
  <c r="N197" i="170"/>
  <c r="I197" i="170"/>
  <c r="E197" i="170"/>
  <c r="H197" i="170"/>
  <c r="F199" i="170"/>
  <c r="P190" i="170"/>
  <c r="L177" i="170"/>
  <c r="O177" i="170" s="1"/>
  <c r="O58" i="170"/>
  <c r="J67" i="170"/>
  <c r="O67" i="170" s="1"/>
  <c r="N175" i="170"/>
  <c r="M89" i="170"/>
  <c r="O175" i="170"/>
  <c r="P175" i="170" s="1"/>
  <c r="C23" i="170"/>
  <c r="P21" i="170"/>
  <c r="O747" i="170"/>
  <c r="J749" i="170"/>
  <c r="O749" i="170" s="1"/>
  <c r="O740" i="170"/>
  <c r="D705" i="170"/>
  <c r="E703" i="170"/>
  <c r="J705" i="170"/>
  <c r="O705" i="170" s="1"/>
  <c r="O696" i="170"/>
  <c r="D608" i="170"/>
  <c r="L705" i="170"/>
  <c r="J683" i="170"/>
  <c r="O683" i="170" s="1"/>
  <c r="O674" i="170"/>
  <c r="E659" i="170"/>
  <c r="F661" i="170"/>
  <c r="N659" i="170"/>
  <c r="I659" i="170"/>
  <c r="H659" i="170"/>
  <c r="D630" i="170"/>
  <c r="I615" i="170"/>
  <c r="P615" i="170" s="1"/>
  <c r="E615" i="170"/>
  <c r="F617" i="170"/>
  <c r="H615" i="170"/>
  <c r="N615" i="170"/>
  <c r="K617" i="170"/>
  <c r="O608" i="170"/>
  <c r="P608" i="170" s="1"/>
  <c r="F595" i="170"/>
  <c r="H593" i="170"/>
  <c r="N593" i="170"/>
  <c r="I593" i="170"/>
  <c r="P593" i="170" s="1"/>
  <c r="E593" i="170"/>
  <c r="F573" i="170"/>
  <c r="N571" i="170"/>
  <c r="I571" i="170"/>
  <c r="P571" i="170" s="1"/>
  <c r="H571" i="170"/>
  <c r="E571" i="170"/>
  <c r="D417" i="170"/>
  <c r="O593" i="170"/>
  <c r="O571" i="170"/>
  <c r="N527" i="170"/>
  <c r="F485" i="170"/>
  <c r="H483" i="170"/>
  <c r="E483" i="170"/>
  <c r="I483" i="170"/>
  <c r="N483" i="170"/>
  <c r="O395" i="170"/>
  <c r="L551" i="170"/>
  <c r="L529" i="170"/>
  <c r="H432" i="170"/>
  <c r="N432" i="170"/>
  <c r="E432" i="170"/>
  <c r="F419" i="170"/>
  <c r="H417" i="170"/>
  <c r="N417" i="170"/>
  <c r="I417" i="170"/>
  <c r="E417" i="170"/>
  <c r="L617" i="170"/>
  <c r="O505" i="170"/>
  <c r="N410" i="170"/>
  <c r="E410" i="170"/>
  <c r="H410" i="170"/>
  <c r="G639" i="170"/>
  <c r="L441" i="170"/>
  <c r="P434" i="170"/>
  <c r="C529" i="170"/>
  <c r="P527" i="170"/>
  <c r="O461" i="170"/>
  <c r="O441" i="170"/>
  <c r="M397" i="170"/>
  <c r="O397" i="170" s="1"/>
  <c r="M375" i="170"/>
  <c r="F243" i="170"/>
  <c r="H241" i="170"/>
  <c r="E241" i="170"/>
  <c r="N241" i="170"/>
  <c r="I241" i="170"/>
  <c r="P241" i="170" s="1"/>
  <c r="E366" i="170"/>
  <c r="H366" i="170"/>
  <c r="N366" i="170"/>
  <c r="M353" i="170"/>
  <c r="J309" i="170"/>
  <c r="O309" i="170" s="1"/>
  <c r="O300" i="170"/>
  <c r="P251" i="170"/>
  <c r="O520" i="170"/>
  <c r="O351" i="170"/>
  <c r="C243" i="170"/>
  <c r="I212" i="170"/>
  <c r="P207" i="170"/>
  <c r="O373" i="170"/>
  <c r="C309" i="170"/>
  <c r="P309" i="170" s="1"/>
  <c r="P307" i="170"/>
  <c r="G287" i="170"/>
  <c r="I285" i="170"/>
  <c r="P285" i="170" s="1"/>
  <c r="E234" i="170"/>
  <c r="N124" i="170"/>
  <c r="I124" i="170"/>
  <c r="P124" i="170" s="1"/>
  <c r="E124" i="170"/>
  <c r="H124" i="170"/>
  <c r="K89" i="170"/>
  <c r="O89" i="170" s="1"/>
  <c r="I36" i="170"/>
  <c r="P36" i="170" s="1"/>
  <c r="P31" i="170"/>
  <c r="D256" i="170"/>
  <c r="K221" i="170"/>
  <c r="N212" i="170"/>
  <c r="E212" i="170"/>
  <c r="H212" i="170"/>
  <c r="K133" i="170"/>
  <c r="O285" i="170"/>
  <c r="O219" i="170"/>
  <c r="D168" i="170"/>
  <c r="D89" i="170"/>
  <c r="P58" i="170"/>
  <c r="E58" i="170"/>
  <c r="F177" i="170"/>
  <c r="N155" i="170"/>
  <c r="I155" i="170"/>
  <c r="P155" i="170" s="1"/>
  <c r="E155" i="170"/>
  <c r="H155" i="170"/>
  <c r="L23" i="170"/>
  <c r="I14" i="170"/>
  <c r="P14" i="170" s="1"/>
  <c r="K287" i="170"/>
  <c r="O153" i="170"/>
  <c r="P153" i="170" s="1"/>
  <c r="O80" i="170"/>
  <c r="P80" i="170" s="1"/>
  <c r="C287" i="170"/>
  <c r="E190" i="170"/>
  <c r="J111" i="170"/>
  <c r="O65" i="170"/>
  <c r="O14" i="170"/>
  <c r="D419" i="170" l="1"/>
  <c r="I661" i="170"/>
  <c r="E661" i="170"/>
  <c r="N661" i="170"/>
  <c r="H661" i="170"/>
  <c r="D243" i="170"/>
  <c r="N89" i="170"/>
  <c r="E89" i="170"/>
  <c r="I89" i="170"/>
  <c r="H89" i="170"/>
  <c r="I397" i="170"/>
  <c r="E397" i="170"/>
  <c r="H397" i="170"/>
  <c r="N397" i="170"/>
  <c r="I287" i="170"/>
  <c r="H287" i="170"/>
  <c r="P529" i="170"/>
  <c r="P507" i="170"/>
  <c r="D463" i="170"/>
  <c r="P89" i="170"/>
  <c r="H507" i="170"/>
  <c r="E507" i="170"/>
  <c r="I507" i="170"/>
  <c r="N507" i="170"/>
  <c r="P639" i="170"/>
  <c r="P549" i="170"/>
  <c r="O573" i="170"/>
  <c r="I727" i="170"/>
  <c r="E727" i="170"/>
  <c r="H727" i="170"/>
  <c r="N727" i="170"/>
  <c r="D177" i="170"/>
  <c r="O221" i="170"/>
  <c r="O375" i="170"/>
  <c r="E287" i="170"/>
  <c r="H177" i="170"/>
  <c r="N177" i="170"/>
  <c r="I177" i="170"/>
  <c r="P177" i="170" s="1"/>
  <c r="E177" i="170"/>
  <c r="N419" i="170"/>
  <c r="I419" i="170"/>
  <c r="P419" i="170" s="1"/>
  <c r="E419" i="170"/>
  <c r="H419" i="170"/>
  <c r="N749" i="170"/>
  <c r="I749" i="170"/>
  <c r="E749" i="170"/>
  <c r="H749" i="170"/>
  <c r="E265" i="170"/>
  <c r="N265" i="170"/>
  <c r="I265" i="170"/>
  <c r="P265" i="170" s="1"/>
  <c r="H265" i="170"/>
  <c r="O353" i="170"/>
  <c r="N353" i="170"/>
  <c r="I353" i="170"/>
  <c r="H353" i="170"/>
  <c r="E353" i="170"/>
  <c r="H331" i="170"/>
  <c r="E331" i="170"/>
  <c r="I331" i="170"/>
  <c r="P331" i="170" s="1"/>
  <c r="N331" i="170"/>
  <c r="I463" i="170"/>
  <c r="P463" i="170" s="1"/>
  <c r="E463" i="170"/>
  <c r="N463" i="170"/>
  <c r="H463" i="170"/>
  <c r="O485" i="170"/>
  <c r="O133" i="170"/>
  <c r="H551" i="170"/>
  <c r="E551" i="170"/>
  <c r="N551" i="170"/>
  <c r="I551" i="170"/>
  <c r="P551" i="170" s="1"/>
  <c r="D683" i="170"/>
  <c r="I67" i="170"/>
  <c r="E67" i="170"/>
  <c r="N67" i="170"/>
  <c r="H67" i="170"/>
  <c r="P454" i="170"/>
  <c r="O639" i="170"/>
  <c r="N683" i="170"/>
  <c r="I683" i="170"/>
  <c r="H683" i="170"/>
  <c r="E683" i="170"/>
  <c r="D45" i="170"/>
  <c r="P67" i="170"/>
  <c r="H639" i="170"/>
  <c r="N639" i="170"/>
  <c r="I639" i="170"/>
  <c r="E639" i="170"/>
  <c r="I199" i="170"/>
  <c r="E199" i="170"/>
  <c r="H199" i="170"/>
  <c r="N199" i="170"/>
  <c r="E309" i="170"/>
  <c r="O111" i="170"/>
  <c r="P111" i="170" s="1"/>
  <c r="P212" i="170"/>
  <c r="N243" i="170"/>
  <c r="H243" i="170"/>
  <c r="E243" i="170"/>
  <c r="I243" i="170"/>
  <c r="P243" i="170" s="1"/>
  <c r="N485" i="170"/>
  <c r="I485" i="170"/>
  <c r="H485" i="170"/>
  <c r="E485" i="170"/>
  <c r="I573" i="170"/>
  <c r="P573" i="170" s="1"/>
  <c r="E573" i="170"/>
  <c r="N573" i="170"/>
  <c r="H573" i="170"/>
  <c r="N595" i="170"/>
  <c r="H595" i="170"/>
  <c r="E595" i="170"/>
  <c r="I595" i="170"/>
  <c r="P595" i="170" s="1"/>
  <c r="N617" i="170"/>
  <c r="I617" i="170"/>
  <c r="P617" i="170" s="1"/>
  <c r="E617" i="170"/>
  <c r="H617" i="170"/>
  <c r="P23" i="170"/>
  <c r="P221" i="170"/>
  <c r="D485" i="170"/>
  <c r="H45" i="170"/>
  <c r="E45" i="170"/>
  <c r="I45" i="170"/>
  <c r="P45" i="170" s="1"/>
  <c r="N45" i="170"/>
  <c r="N133" i="170"/>
  <c r="I133" i="170"/>
  <c r="P133" i="170" s="1"/>
  <c r="E133" i="170"/>
  <c r="H133" i="170"/>
  <c r="N705" i="170"/>
  <c r="E705" i="170"/>
  <c r="I705" i="170"/>
  <c r="H705" i="170"/>
  <c r="E23" i="170"/>
  <c r="D67" i="170"/>
  <c r="D155" i="170"/>
  <c r="O287" i="170"/>
  <c r="P287" i="170" s="1"/>
  <c r="E375" i="170"/>
  <c r="N441" i="170"/>
  <c r="I441" i="170"/>
  <c r="P441" i="170" s="1"/>
  <c r="E441" i="170"/>
  <c r="H441" i="170"/>
  <c r="D573" i="170"/>
  <c r="D265" i="170"/>
  <c r="D639" i="170"/>
  <c r="P353" i="170" l="1"/>
</calcChain>
</file>

<file path=xl/sharedStrings.xml><?xml version="1.0" encoding="utf-8"?>
<sst xmlns="http://schemas.openxmlformats.org/spreadsheetml/2006/main" count="5873" uniqueCount="242">
  <si>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</si>
  <si>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</si>
  <si>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</si>
  <si>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</si>
  <si>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</si>
  <si>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</si>
  <si>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</si>
  <si>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</si>
  <si>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</si>
  <si>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</si>
  <si>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</si>
  <si>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</si>
  <si>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</si>
  <si>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</si>
  <si>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</si>
  <si>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</si>
  <si>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</si>
  <si>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</si>
  <si>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</si>
  <si>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</si>
  <si>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</si>
  <si>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</si>
  <si>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</si>
  <si>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</si>
  <si>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</si>
  <si>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</si>
  <si>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</si>
  <si>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</si>
  <si>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</si>
  <si>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</si>
  <si>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</si>
  <si>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</si>
  <si>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</si>
  <si>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</si>
  <si>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</si>
  <si>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</si>
  <si>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</si>
  <si>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</si>
  <si>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</si>
  <si>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</si>
  <si>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</si>
  <si>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</si>
  <si>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</si>
  <si>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</si>
  <si>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</si>
  <si>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</si>
  <si>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</si>
  <si>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</si>
  <si>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</si>
  <si>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</si>
  <si>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</si>
  <si>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</si>
  <si>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</si>
  <si>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</si>
  <si>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</si>
  <si>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</si>
  <si>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</si>
  <si>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</si>
  <si>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</si>
  <si>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</si>
  <si>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</si>
  <si>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</si>
  <si>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</si>
  <si>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</si>
  <si>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</si>
  <si>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</si>
  <si>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</si>
  <si>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</si>
  <si>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</si>
  <si>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</si>
  <si>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</si>
  <si>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</si>
  <si>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</si>
  <si>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</si>
  <si>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</si>
  <si>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</si>
  <si>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</si>
  <si>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</si>
  <si>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</si>
  <si>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</si>
  <si>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</si>
  <si>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</si>
  <si>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</si>
  <si>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</si>
  <si>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</si>
  <si>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</si>
  <si>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</si>
  <si>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</si>
  <si>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</si>
  <si>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</si>
  <si>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</si>
  <si>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</si>
  <si>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</si>
  <si>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</si>
  <si>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</si>
  <si>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</si>
  <si>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</si>
  <si>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</si>
  <si>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</si>
  <si>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</si>
  <si>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</si>
  <si>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</si>
  <si>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</si>
  <si>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</si>
  <si>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</si>
  <si>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</si>
  <si>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</si>
  <si>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</si>
  <si>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</si>
  <si>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</si>
  <si>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</si>
  <si>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</si>
  <si>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</si>
  <si>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</si>
  <si>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</si>
  <si>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</si>
  <si>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</si>
  <si>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</si>
  <si>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</si>
  <si>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</si>
  <si>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</si>
  <si>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</si>
  <si>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</si>
  <si>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</si>
  <si>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</si>
  <si>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</si>
  <si>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</si>
  <si>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</si>
  <si>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</si>
  <si>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</si>
  <si>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</si>
  <si>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</si>
  <si>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</si>
  <si>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</si>
  <si>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</si>
  <si>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</si>
  <si>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</si>
  <si>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</si>
  <si>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</si>
  <si>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</si>
  <si>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</si>
  <si>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</si>
  <si>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</si>
  <si>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</si>
  <si>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</si>
  <si>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</si>
  <si>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</si>
  <si>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</si>
  <si>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</si>
  <si>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</si>
  <si>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</si>
  <si>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</si>
  <si>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</si>
  <si>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</si>
  <si>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</si>
  <si>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</si>
  <si>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</si>
  <si>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</si>
  <si>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</si>
  <si>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</si>
  <si>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</si>
  <si>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</si>
  <si>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</si>
  <si>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</si>
  <si>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</si>
  <si>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</si>
  <si>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</si>
  <si>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</si>
  <si>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</si>
  <si>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</si>
  <si>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</si>
  <si>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</si>
  <si>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</si>
  <si>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</si>
  <si>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</si>
  <si>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</si>
  <si>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</si>
  <si>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</si>
  <si>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</si>
  <si>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</si>
  <si>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</si>
  <si>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</si>
  <si>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</si>
  <si>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</si>
  <si>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</si>
  <si>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</si>
  <si>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</si>
  <si>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</si>
  <si>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</si>
  <si>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</si>
  <si>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</si>
  <si>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</si>
  <si>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</si>
  <si>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</si>
  <si>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</si>
  <si>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</si>
  <si>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</si>
  <si>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</si>
  <si>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</si>
  <si>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</si>
  <si>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</si>
  <si>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</si>
  <si>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</si>
  <si>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</si>
  <si>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</si>
  <si>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</si>
  <si>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</si>
  <si>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</si>
  <si>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</si>
  <si>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</si>
  <si>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</si>
  <si>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</si>
  <si>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</si>
  <si>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</si>
  <si>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</si>
  <si>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</si>
  <si>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</si>
  <si>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</si>
  <si>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</si>
  <si>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</si>
  <si>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</si>
  <si>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</si>
  <si>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</si>
  <si>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</si>
  <si>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</si>
  <si>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</si>
  <si>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</si>
  <si>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</si>
  <si>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</si>
  <si>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</si>
  <si>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</si>
  <si>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</si>
  <si>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</si>
  <si>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</si>
  <si>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</si>
  <si>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</si>
  <si>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</si>
  <si>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</si>
  <si>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</si>
  <si>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165-211</t>
  </si>
  <si>
    <t>Landings on Fisheries Administrations' System by Wednesday 28 March 2018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</si>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</sst>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3" applyFont="1" applyBorder="1" applyAlignment="1">
      <alignment horizontal="left"/>
    </xf>
    <xf numFmtId="1" fontId="3" fillId="0" borderId="0" xfId="3" applyNumberFormat="1" applyFont="1"/>
    <xf numFmtId="0" fontId="3" fillId="0" borderId="0" xfId="3" applyFont="1"/>
    <xf numFmtId="164" fontId="3" fillId="0" borderId="0" xfId="3" applyNumberFormat="1" applyFont="1"/>
    <xf numFmtId="15" fontId="4" fillId="0" borderId="0" xfId="3" quotePrefix="1" applyNumberFormat="1" applyFont="1" applyAlignment="1">
      <alignment horizontal="left"/>
    </xf>
    <xf numFmtId="0" fontId="3" fillId="0" borderId="0" xfId="3" quotePrefix="1" applyFont="1" applyAlignment="1">
      <alignment horizontal="left"/>
    </xf>
    <xf numFmtId="1" fontId="4" fillId="0" borderId="0" xfId="3" applyNumberFormat="1" applyFont="1"/>
    <xf numFmtId="0" fontId="3" fillId="0" borderId="0" xfId="3" applyFont="1" applyBorder="1"/>
    <xf numFmtId="0" fontId="3" fillId="0" borderId="1" xfId="3" applyFont="1" applyBorder="1"/>
    <xf numFmtId="1" fontId="3" fillId="0" borderId="2" xfId="3" applyNumberFormat="1" applyFont="1" applyBorder="1" applyAlignment="1">
      <alignment horizontal="centerContinuous"/>
    </xf>
    <xf numFmtId="1" fontId="3" fillId="0" borderId="3" xfId="3" applyNumberFormat="1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3" fillId="0" borderId="5" xfId="3" applyNumberFormat="1" applyFont="1" applyBorder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164" fontId="3" fillId="0" borderId="5" xfId="3" applyNumberFormat="1" applyFont="1" applyBorder="1" applyAlignment="1">
      <alignment horizontal="centerContinuous"/>
    </xf>
    <xf numFmtId="0" fontId="3" fillId="0" borderId="6" xfId="3" applyFont="1" applyBorder="1"/>
    <xf numFmtId="0" fontId="3" fillId="0" borderId="1" xfId="3" applyFont="1" applyBorder="1" applyAlignment="1">
      <alignment horizontal="centerContinuous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9" xfId="3" applyNumberFormat="1" applyFont="1" applyBorder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164" fontId="3" fillId="0" borderId="9" xfId="3" applyNumberFormat="1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10" xfId="3" applyFont="1" applyBorder="1"/>
    <xf numFmtId="15" fontId="3" fillId="0" borderId="7" xfId="3" applyNumberFormat="1" applyFont="1" applyBorder="1" applyAlignment="1">
      <alignment horizontal="left"/>
    </xf>
    <xf numFmtId="1" fontId="3" fillId="0" borderId="9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Continuous"/>
    </xf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9" xfId="3" quotePrefix="1" applyNumberFormat="1" applyFont="1" applyBorder="1" applyAlignment="1">
      <alignment horizontal="center"/>
    </xf>
    <xf numFmtId="1" fontId="3" fillId="0" borderId="0" xfId="3" quotePrefix="1" applyNumberFormat="1" applyFont="1" applyBorder="1" applyAlignment="1">
      <alignment horizontal="center"/>
    </xf>
    <xf numFmtId="0" fontId="3" fillId="0" borderId="11" xfId="3" applyFont="1" applyBorder="1"/>
    <xf numFmtId="1" fontId="3" fillId="0" borderId="12" xfId="3" quotePrefix="1" applyNumberFormat="1" applyFont="1" applyBorder="1" applyAlignment="1">
      <alignment horizontal="center"/>
    </xf>
    <xf numFmtId="1" fontId="3" fillId="0" borderId="13" xfId="3" quotePrefix="1" applyNumberFormat="1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14" xfId="3" quotePrefix="1" applyFont="1" applyBorder="1" applyAlignment="1">
      <alignment horizontal="centerContinuous"/>
    </xf>
    <xf numFmtId="1" fontId="3" fillId="0" borderId="11" xfId="3" applyNumberFormat="1" applyFont="1" applyBorder="1" applyAlignment="1">
      <alignment horizontal="center"/>
    </xf>
    <xf numFmtId="1" fontId="3" fillId="0" borderId="13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center"/>
    </xf>
    <xf numFmtId="0" fontId="3" fillId="0" borderId="14" xfId="3" applyFont="1" applyBorder="1"/>
    <xf numFmtId="0" fontId="4" fillId="0" borderId="9" xfId="3" applyFont="1" applyBorder="1"/>
    <xf numFmtId="0" fontId="3" fillId="0" borderId="8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1" fontId="3" fillId="0" borderId="3" xfId="3" quotePrefix="1" applyNumberFormat="1" applyFont="1" applyBorder="1" applyAlignment="1">
      <alignment horizontal="center"/>
    </xf>
    <xf numFmtId="1" fontId="3" fillId="0" borderId="3" xfId="3" applyNumberFormat="1" applyFont="1" applyBorder="1" applyAlignment="1"/>
    <xf numFmtId="0" fontId="3" fillId="0" borderId="3" xfId="3" quotePrefix="1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3" fillId="0" borderId="8" xfId="3" applyFont="1" applyBorder="1"/>
    <xf numFmtId="0" fontId="5" fillId="0" borderId="1" xfId="3" applyFont="1" applyBorder="1" applyAlignment="1">
      <alignment horizontal="center"/>
    </xf>
    <xf numFmtId="0" fontId="3" fillId="0" borderId="9" xfId="3" quotePrefix="1" applyFont="1" applyBorder="1" applyAlignment="1">
      <alignment horizontal="left"/>
    </xf>
    <xf numFmtId="164" fontId="3" fillId="0" borderId="9" xfId="3" applyNumberFormat="1" applyFont="1" applyBorder="1" applyAlignment="1">
      <alignment horizontal="right"/>
    </xf>
    <xf numFmtId="164" fontId="3" fillId="0" borderId="1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1" fontId="3" fillId="0" borderId="10" xfId="3" applyNumberFormat="1" applyFont="1" applyBorder="1" applyAlignment="1">
      <alignment horizontal="right"/>
    </xf>
    <xf numFmtId="1" fontId="3" fillId="0" borderId="10" xfId="3" applyNumberFormat="1" applyFont="1" applyBorder="1"/>
    <xf numFmtId="164" fontId="3" fillId="0" borderId="0" xfId="3" applyNumberFormat="1" applyFont="1" applyBorder="1" applyAlignment="1">
      <alignment horizontal="center"/>
    </xf>
    <xf numFmtId="1" fontId="3" fillId="0" borderId="7" xfId="3" applyNumberFormat="1" applyFont="1" applyBorder="1" applyAlignment="1">
      <alignment horizontal="right"/>
    </xf>
    <xf numFmtId="0" fontId="3" fillId="0" borderId="9" xfId="3" applyFont="1" applyBorder="1" applyAlignment="1">
      <alignment horizontal="left"/>
    </xf>
    <xf numFmtId="0" fontId="3" fillId="0" borderId="9" xfId="3" applyFont="1" applyBorder="1"/>
    <xf numFmtId="164" fontId="5" fillId="0" borderId="0" xfId="3" applyNumberFormat="1" applyFont="1"/>
    <xf numFmtId="0" fontId="3" fillId="0" borderId="7" xfId="3" applyFont="1" applyBorder="1"/>
    <xf numFmtId="0" fontId="4" fillId="0" borderId="9" xfId="3" quotePrefix="1" applyFont="1" applyBorder="1" applyAlignment="1">
      <alignment horizontal="left"/>
    </xf>
    <xf numFmtId="0" fontId="3" fillId="0" borderId="9" xfId="3" quotePrefix="1" applyFont="1" applyBorder="1" applyAlignment="1">
      <alignment horizontal="left" wrapText="1"/>
    </xf>
    <xf numFmtId="164" fontId="3" fillId="0" borderId="7" xfId="3" applyNumberFormat="1" applyFont="1" applyBorder="1" applyAlignment="1">
      <alignment horizontal="right"/>
    </xf>
    <xf numFmtId="0" fontId="3" fillId="0" borderId="7" xfId="3" quotePrefix="1" applyFont="1" applyBorder="1" applyAlignment="1">
      <alignment horizontal="left"/>
    </xf>
    <xf numFmtId="164" fontId="3" fillId="0" borderId="0" xfId="3" applyNumberFormat="1" applyFont="1" applyBorder="1"/>
    <xf numFmtId="0" fontId="3" fillId="0" borderId="7" xfId="3" applyFont="1" applyBorder="1" applyAlignment="1">
      <alignment horizontal="left"/>
    </xf>
    <xf numFmtId="1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/>
    <xf numFmtId="1" fontId="5" fillId="0" borderId="0" xfId="3" applyNumberFormat="1" applyFont="1" applyBorder="1"/>
    <xf numFmtId="1" fontId="3" fillId="0" borderId="11" xfId="3" applyNumberFormat="1" applyFont="1" applyBorder="1" applyAlignment="1">
      <alignment horizontal="right"/>
    </xf>
    <xf numFmtId="0" fontId="4" fillId="0" borderId="7" xfId="3" applyFont="1" applyBorder="1" applyAlignment="1">
      <alignment horizontal="left"/>
    </xf>
    <xf numFmtId="1" fontId="3" fillId="0" borderId="9" xfId="3" applyNumberFormat="1" applyFont="1" applyBorder="1" applyAlignment="1">
      <alignment horizontal="right"/>
    </xf>
    <xf numFmtId="1" fontId="5" fillId="0" borderId="13" xfId="3" applyNumberFormat="1" applyFont="1" applyBorder="1" applyAlignment="1">
      <alignment horizontal="right"/>
    </xf>
    <xf numFmtId="1" fontId="3" fillId="0" borderId="13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center"/>
    </xf>
    <xf numFmtId="1" fontId="3" fillId="0" borderId="14" xfId="3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 applyAlignment="1">
      <alignment horizontal="left"/>
    </xf>
    <xf numFmtId="1" fontId="3" fillId="0" borderId="2" xfId="3" applyNumberFormat="1" applyFont="1" applyBorder="1" applyAlignment="1">
      <alignment horizontal="right"/>
    </xf>
    <xf numFmtId="1" fontId="3" fillId="0" borderId="2" xfId="3" applyNumberFormat="1" applyFont="1" applyBorder="1"/>
    <xf numFmtId="164" fontId="3" fillId="0" borderId="2" xfId="3" applyNumberFormat="1" applyFont="1" applyBorder="1" applyAlignment="1">
      <alignment horizontal="right"/>
    </xf>
    <xf numFmtId="1" fontId="3" fillId="0" borderId="9" xfId="3" applyNumberFormat="1" applyFont="1" applyBorder="1"/>
    <xf numFmtId="164" fontId="3" fillId="0" borderId="10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right"/>
    </xf>
    <xf numFmtId="1" fontId="3" fillId="0" borderId="13" xfId="3" applyNumberFormat="1" applyFont="1" applyBorder="1"/>
    <xf numFmtId="164" fontId="3" fillId="0" borderId="14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right"/>
    </xf>
    <xf numFmtId="1" fontId="3" fillId="0" borderId="11" xfId="3" applyNumberFormat="1" applyFont="1" applyBorder="1"/>
    <xf numFmtId="1" fontId="3" fillId="0" borderId="12" xfId="3" applyNumberFormat="1" applyFont="1" applyBorder="1"/>
    <xf numFmtId="164" fontId="3" fillId="0" borderId="14" xfId="3" applyNumberFormat="1" applyFont="1" applyBorder="1" applyAlignment="1">
      <alignment horizontal="center"/>
    </xf>
    <xf numFmtId="0" fontId="8" fillId="0" borderId="0" xfId="3" applyFont="1" applyFill="1"/>
    <xf numFmtId="0" fontId="6" fillId="0" borderId="0" xfId="3" applyFont="1" applyAlignment="1">
      <alignment horizontal="left"/>
    </xf>
    <xf numFmtId="1" fontId="6" fillId="0" borderId="0" xfId="3" applyNumberFormat="1" applyFont="1"/>
    <xf numFmtId="1" fontId="7" fillId="0" borderId="0" xfId="3" applyNumberFormat="1" applyFont="1"/>
    <xf numFmtId="164" fontId="6" fillId="0" borderId="0" xfId="3" applyNumberFormat="1" applyFont="1"/>
    <xf numFmtId="1" fontId="8" fillId="0" borderId="0" xfId="3" applyNumberFormat="1" applyFont="1"/>
    <xf numFmtId="15" fontId="6" fillId="0" borderId="0" xfId="3" applyNumberFormat="1" applyFont="1" applyProtection="1"/>
    <xf numFmtId="1" fontId="6" fillId="0" borderId="0" xfId="3" applyNumberFormat="1" applyFont="1" applyAlignment="1">
      <alignment horizontal="center"/>
    </xf>
    <xf numFmtId="0" fontId="8" fillId="0" borderId="0" xfId="3" applyFont="1"/>
    <xf numFmtId="15" fontId="6" fillId="0" borderId="0" xfId="3" applyNumberFormat="1" applyFont="1" applyAlignment="1">
      <alignment horizontal="left"/>
    </xf>
    <xf numFmtId="15" fontId="6" fillId="0" borderId="0" xfId="3" applyNumberFormat="1" applyFont="1"/>
    <xf numFmtId="15" fontId="7" fillId="0" borderId="0" xfId="3" applyNumberFormat="1" applyFont="1"/>
    <xf numFmtId="0" fontId="6" fillId="0" borderId="0" xfId="3" applyFont="1"/>
    <xf numFmtId="1" fontId="6" fillId="0" borderId="13" xfId="3" applyNumberFormat="1" applyFont="1" applyBorder="1"/>
    <xf numFmtId="0" fontId="6" fillId="0" borderId="1" xfId="3" applyFont="1" applyBorder="1" applyAlignment="1">
      <alignment horizontal="center"/>
    </xf>
    <xf numFmtId="1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/>
    <xf numFmtId="1" fontId="6" fillId="0" borderId="4" xfId="3" applyNumberFormat="1" applyFont="1" applyBorder="1" applyAlignment="1">
      <alignment horizontal="centerContinuous"/>
    </xf>
    <xf numFmtId="1" fontId="6" fillId="0" borderId="5" xfId="3" applyNumberFormat="1" applyFont="1" applyBorder="1" applyAlignment="1">
      <alignment horizontal="centerContinuous"/>
    </xf>
    <xf numFmtId="164" fontId="6" fillId="0" borderId="5" xfId="3" applyNumberFormat="1" applyFont="1" applyBorder="1" applyAlignment="1">
      <alignment horizontal="centerContinuous"/>
    </xf>
    <xf numFmtId="1" fontId="6" fillId="0" borderId="1" xfId="3" applyNumberFormat="1" applyFont="1" applyBorder="1" applyAlignment="1">
      <alignment horizontal="centerContinuous"/>
    </xf>
    <xf numFmtId="0" fontId="6" fillId="0" borderId="7" xfId="3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Continuous"/>
    </xf>
    <xf numFmtId="164" fontId="6" fillId="0" borderId="4" xfId="3" applyNumberFormat="1" applyFont="1" applyBorder="1" applyAlignment="1">
      <alignment horizontal="centerContinuous"/>
    </xf>
    <xf numFmtId="16" fontId="6" fillId="0" borderId="1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" fontId="6" fillId="0" borderId="11" xfId="3" applyNumberFormat="1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64" fontId="6" fillId="0" borderId="11" xfId="3" applyNumberFormat="1" applyFont="1" applyBorder="1" applyAlignment="1">
      <alignment horizontal="center"/>
    </xf>
    <xf numFmtId="1" fontId="6" fillId="0" borderId="11" xfId="3" applyNumberFormat="1" applyFont="1" applyBorder="1"/>
    <xf numFmtId="0" fontId="6" fillId="0" borderId="9" xfId="3" applyFont="1" applyBorder="1"/>
    <xf numFmtId="0" fontId="9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6" fillId="0" borderId="7" xfId="3" applyFont="1" applyBorder="1"/>
    <xf numFmtId="164" fontId="6" fillId="0" borderId="9" xfId="3" applyNumberFormat="1" applyFont="1" applyBorder="1"/>
    <xf numFmtId="164" fontId="6" fillId="0" borderId="0" xfId="3" applyNumberFormat="1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6" fillId="0" borderId="0" xfId="3" applyNumberFormat="1" applyFont="1" applyBorder="1" applyAlignment="1">
      <alignment horizontal="center"/>
    </xf>
    <xf numFmtId="0" fontId="8" fillId="0" borderId="0" xfId="3" applyNumberFormat="1" applyFont="1"/>
    <xf numFmtId="0" fontId="13" fillId="0" borderId="0" xfId="3" applyFont="1" applyAlignment="1">
      <alignment vertical="center"/>
    </xf>
    <xf numFmtId="0" fontId="7" fillId="0" borderId="7" xfId="3" applyFont="1" applyBorder="1"/>
    <xf numFmtId="164" fontId="6" fillId="0" borderId="10" xfId="3" applyNumberFormat="1" applyFont="1" applyBorder="1" applyAlignment="1">
      <alignment horizontal="right"/>
    </xf>
    <xf numFmtId="164" fontId="8" fillId="0" borderId="0" xfId="3" applyNumberFormat="1" applyFont="1"/>
    <xf numFmtId="0" fontId="14" fillId="0" borderId="0" xfId="3" applyFont="1" applyAlignment="1">
      <alignment vertical="center"/>
    </xf>
    <xf numFmtId="164" fontId="6" fillId="0" borderId="9" xfId="3" applyNumberFormat="1" applyFont="1" applyFill="1" applyBorder="1"/>
    <xf numFmtId="164" fontId="6" fillId="0" borderId="0" xfId="3" applyNumberFormat="1" applyFont="1" applyBorder="1"/>
    <xf numFmtId="0" fontId="6" fillId="0" borderId="7" xfId="3" applyFont="1" applyBorder="1" applyAlignment="1">
      <alignment horizontal="left"/>
    </xf>
    <xf numFmtId="0" fontId="7" fillId="0" borderId="11" xfId="3" applyFont="1" applyBorder="1"/>
    <xf numFmtId="164" fontId="6" fillId="0" borderId="12" xfId="3" applyNumberFormat="1" applyFont="1" applyBorder="1"/>
    <xf numFmtId="164" fontId="6" fillId="0" borderId="13" xfId="3" applyNumberFormat="1" applyFont="1" applyBorder="1"/>
    <xf numFmtId="164" fontId="7" fillId="0" borderId="13" xfId="3" applyNumberFormat="1" applyFont="1" applyBorder="1"/>
    <xf numFmtId="164" fontId="6" fillId="0" borderId="13" xfId="3" applyNumberFormat="1" applyFont="1" applyBorder="1" applyAlignment="1">
      <alignment horizontal="center"/>
    </xf>
    <xf numFmtId="164" fontId="6" fillId="0" borderId="13" xfId="3" applyNumberFormat="1" applyFont="1" applyBorder="1" applyAlignment="1">
      <alignment horizontal="right"/>
    </xf>
    <xf numFmtId="0" fontId="6" fillId="0" borderId="0" xfId="3" applyFont="1" applyBorder="1"/>
    <xf numFmtId="1" fontId="6" fillId="0" borderId="0" xfId="3" applyNumberFormat="1" applyFont="1" applyBorder="1" applyAlignment="1">
      <alignment horizontal="center"/>
    </xf>
    <xf numFmtId="1" fontId="6" fillId="0" borderId="0" xfId="3" applyNumberFormat="1" applyFont="1" applyBorder="1"/>
    <xf numFmtId="1" fontId="7" fillId="0" borderId="0" xfId="3" applyNumberFormat="1" applyFont="1" applyBorder="1"/>
    <xf numFmtId="1" fontId="8" fillId="0" borderId="0" xfId="3" applyNumberFormat="1" applyFont="1" applyBorder="1"/>
    <xf numFmtId="0" fontId="6" fillId="0" borderId="1" xfId="3" applyFont="1" applyBorder="1"/>
    <xf numFmtId="0" fontId="9" fillId="0" borderId="3" xfId="3" applyFont="1" applyBorder="1" applyAlignment="1">
      <alignment horizontal="center"/>
    </xf>
    <xf numFmtId="0" fontId="11" fillId="0" borderId="0" xfId="3" applyFont="1" applyFill="1"/>
    <xf numFmtId="164" fontId="7" fillId="0" borderId="13" xfId="3" applyNumberFormat="1" applyFont="1" applyBorder="1" applyAlignment="1">
      <alignment horizontal="right"/>
    </xf>
    <xf numFmtId="164" fontId="6" fillId="0" borderId="14" xfId="3" applyNumberFormat="1" applyFont="1" applyBorder="1" applyAlignment="1">
      <alignment horizontal="right"/>
    </xf>
    <xf numFmtId="0" fontId="6" fillId="0" borderId="0" xfId="3" quotePrefix="1" applyFont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1" fontId="9" fillId="0" borderId="3" xfId="3" applyNumberFormat="1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164" fontId="11" fillId="0" borderId="0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164" fontId="6" fillId="0" borderId="3" xfId="3" applyNumberFormat="1" applyFont="1" applyBorder="1"/>
    <xf numFmtId="164" fontId="9" fillId="0" borderId="3" xfId="3" applyNumberFormat="1" applyFont="1" applyBorder="1" applyAlignment="1">
      <alignment horizontal="center"/>
    </xf>
    <xf numFmtId="164" fontId="9" fillId="0" borderId="8" xfId="3" applyNumberFormat="1" applyFont="1" applyBorder="1" applyAlignment="1">
      <alignment horizontal="center"/>
    </xf>
    <xf numFmtId="164" fontId="7" fillId="0" borderId="12" xfId="3" applyNumberFormat="1" applyFont="1" applyBorder="1"/>
    <xf numFmtId="164" fontId="12" fillId="0" borderId="1" xfId="3" applyNumberFormat="1" applyFont="1" applyBorder="1" applyAlignment="1">
      <alignment horizontal="center"/>
    </xf>
    <xf numFmtId="164" fontId="12" fillId="0" borderId="7" xfId="3" applyNumberFormat="1" applyFont="1" applyBorder="1" applyAlignment="1">
      <alignment horizontal="center"/>
    </xf>
    <xf numFmtId="164" fontId="12" fillId="0" borderId="11" xfId="3" applyNumberFormat="1" applyFont="1" applyBorder="1" applyAlignment="1">
      <alignment horizontal="center"/>
    </xf>
    <xf numFmtId="164" fontId="7" fillId="0" borderId="9" xfId="3" applyNumberFormat="1" applyFont="1" applyBorder="1"/>
    <xf numFmtId="164" fontId="6" fillId="0" borderId="0" xfId="3" applyNumberFormat="1" applyFont="1" applyFill="1" applyBorder="1" applyAlignment="1">
      <alignment horizontal="right"/>
    </xf>
    <xf numFmtId="1" fontId="9" fillId="0" borderId="2" xfId="3" applyNumberFormat="1" applyFont="1" applyBorder="1" applyAlignment="1">
      <alignment horizontal="center"/>
    </xf>
    <xf numFmtId="164" fontId="6" fillId="0" borderId="0" xfId="3" applyNumberFormat="1" applyFont="1" applyFill="1" applyBorder="1"/>
    <xf numFmtId="1" fontId="9" fillId="0" borderId="3" xfId="3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0" fontId="15" fillId="0" borderId="0" xfId="3" applyFont="1" applyFill="1"/>
    <xf numFmtId="0" fontId="7" fillId="0" borderId="0" xfId="3" applyFont="1" applyBorder="1"/>
    <xf numFmtId="0" fontId="13" fillId="0" borderId="0" xfId="3" applyFont="1"/>
    <xf numFmtId="3" fontId="9" fillId="0" borderId="3" xfId="3" applyNumberFormat="1" applyFont="1" applyBorder="1" applyAlignment="1">
      <alignment horizontal="center"/>
    </xf>
    <xf numFmtId="3" fontId="9" fillId="0" borderId="8" xfId="3" applyNumberFormat="1" applyFont="1" applyBorder="1" applyAlignment="1">
      <alignment horizontal="center"/>
    </xf>
    <xf numFmtId="0" fontId="6" fillId="0" borderId="0" xfId="3" applyFont="1" applyFill="1"/>
    <xf numFmtId="164" fontId="7" fillId="0" borderId="0" xfId="3" applyNumberFormat="1" applyFont="1" applyBorder="1"/>
    <xf numFmtId="164" fontId="7" fillId="0" borderId="13" xfId="3" applyNumberFormat="1" applyFont="1" applyFill="1" applyBorder="1" applyAlignment="1">
      <alignment horizontal="right"/>
    </xf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Alloc%202018/Combined%20EWSNI%20Allo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>
        <row r="5">
          <cell r="B5">
            <v>43187</v>
          </cell>
          <cell r="D5" t="str">
            <v>NS Cod</v>
          </cell>
          <cell r="E5" t="str">
            <v>NS Had</v>
          </cell>
          <cell r="F5" t="str">
            <v>NS Whi</v>
          </cell>
          <cell r="G5" t="str">
            <v>NS Sai</v>
          </cell>
          <cell r="H5" t="str">
            <v>NS Plai</v>
          </cell>
          <cell r="I5" t="str">
            <v>NS Sole</v>
          </cell>
          <cell r="J5" t="str">
            <v>NS Hake</v>
          </cell>
          <cell r="K5" t="str">
            <v>NS Neph</v>
          </cell>
          <cell r="L5" t="str">
            <v>Nor Oth</v>
          </cell>
          <cell r="M5" t="str">
            <v>NS Monk</v>
          </cell>
          <cell r="N5" t="str">
            <v>NS Meg</v>
          </cell>
          <cell r="O5" t="str">
            <v>NS Ska/Ray</v>
          </cell>
          <cell r="P5" t="str">
            <v>NS Lem</v>
          </cell>
          <cell r="Q5" t="str">
            <v>NS Dabs</v>
          </cell>
          <cell r="R5" t="str">
            <v>NS Flo</v>
          </cell>
          <cell r="S5" t="str">
            <v>NS Wit</v>
          </cell>
          <cell r="T5" t="str">
            <v>NS Tur</v>
          </cell>
          <cell r="U5" t="str">
            <v>NS Bri</v>
          </cell>
          <cell r="V5" t="str">
            <v>NS Dogs</v>
          </cell>
          <cell r="W5" t="str">
            <v>Northern Prawn</v>
          </cell>
          <cell r="X5" t="str">
            <v>Cod VIb</v>
          </cell>
          <cell r="Y5" t="str">
            <v>Cod VIa</v>
          </cell>
          <cell r="Z5" t="str">
            <v xml:space="preserve">WS Had VIb, XII, XIV </v>
          </cell>
          <cell r="AA5" t="str">
            <v>Had VIa, Vb (EC)</v>
          </cell>
          <cell r="AB5" t="str">
            <v>WS Whi</v>
          </cell>
          <cell r="AC5" t="str">
            <v>WS Sai</v>
          </cell>
          <cell r="AD5" t="str">
            <v>WS Plai</v>
          </cell>
          <cell r="AE5" t="str">
            <v>WS Sole</v>
          </cell>
          <cell r="AF5" t="str">
            <v>WS Hake</v>
          </cell>
          <cell r="AG5" t="str">
            <v>WS Monk</v>
          </cell>
          <cell r="AH5" t="str">
            <v>WS Neph</v>
          </cell>
          <cell r="AI5" t="str">
            <v>WS Meg</v>
          </cell>
          <cell r="AJ5" t="str">
            <v>WS Poll</v>
          </cell>
          <cell r="AK5" t="str">
            <v>G Hal II,IV,VI</v>
          </cell>
          <cell r="AL5" t="str">
            <v>Far Cod/Had</v>
          </cell>
          <cell r="AM5" t="str">
            <v>Far Saithe</v>
          </cell>
          <cell r="AN5" t="str">
            <v>Far Red</v>
          </cell>
          <cell r="AO5" t="str">
            <v>Far Ling</v>
          </cell>
          <cell r="AP5" t="str">
            <v>Far Flat</v>
          </cell>
          <cell r="AQ5" t="str">
            <v>Far Oth</v>
          </cell>
          <cell r="AR5" t="str">
            <v>Far Blue Whiting</v>
          </cell>
          <cell r="AS5" t="str">
            <v>TUS4</v>
          </cell>
          <cell r="AT5" t="str">
            <v>LIN4</v>
          </cell>
          <cell r="AU5" t="str">
            <v>TUS567</v>
          </cell>
          <cell r="AV5" t="str">
            <v>LIN714</v>
          </cell>
          <cell r="AW5" t="str">
            <v>BS5678</v>
          </cell>
          <cell r="AX5" t="str">
            <v>ARG567</v>
          </cell>
          <cell r="AY5" t="str">
            <v>RG5B67</v>
          </cell>
          <cell r="AZ5" t="str">
            <v>BL67</v>
          </cell>
          <cell r="BA5" t="str">
            <v>ARG1_2</v>
          </cell>
          <cell r="BB5" t="str">
            <v>SHA5_9</v>
          </cell>
          <cell r="BC5" t="str">
            <v>SHA12</v>
          </cell>
          <cell r="BD5" t="str">
            <v>ALFDSS</v>
          </cell>
          <cell r="BE5" t="str">
            <v>RNGDSS</v>
          </cell>
          <cell r="BF5" t="str">
            <v>ORYDSS</v>
          </cell>
          <cell r="BG5" t="str">
            <v>GFB1_4</v>
          </cell>
          <cell r="BH5" t="str">
            <v>GFB5_7</v>
          </cell>
          <cell r="BI5" t="str">
            <v>GFB1012</v>
          </cell>
          <cell r="BJ5" t="str">
            <v>Ice Red</v>
          </cell>
          <cell r="BK5" t="str">
            <v>NORUSK</v>
          </cell>
          <cell r="BL5" t="str">
            <v>NORMON</v>
          </cell>
          <cell r="BM5" t="str">
            <v>NORLIN</v>
          </cell>
          <cell r="BN5" t="str">
            <v>NORNEP</v>
          </cell>
          <cell r="BO5" t="str">
            <v>WSDGS</v>
          </cell>
          <cell r="BP5" t="str">
            <v>WSHADN</v>
          </cell>
        </row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</row>
        <row r="7">
          <cell r="B7" t="str">
            <v>SFO</v>
          </cell>
          <cell r="D7">
            <v>869.66901000671385</v>
          </cell>
          <cell r="E7">
            <v>1754.14056998775</v>
          </cell>
          <cell r="F7">
            <v>851.02410000686643</v>
          </cell>
          <cell r="G7">
            <v>461.30599999999998</v>
          </cell>
          <cell r="H7">
            <v>40.236949999952323</v>
          </cell>
          <cell r="I7">
            <v>7.7999999999999996E-3</v>
          </cell>
          <cell r="J7">
            <v>123.1065</v>
          </cell>
          <cell r="K7">
            <v>575.75919999999996</v>
          </cell>
          <cell r="L7">
            <v>61.557000000000002</v>
          </cell>
          <cell r="M7">
            <v>1052.1257000124931</v>
          </cell>
          <cell r="N7">
            <v>72.306000000000012</v>
          </cell>
          <cell r="O7">
            <v>30.439200000762938</v>
          </cell>
          <cell r="P7">
            <v>22.561799999999998</v>
          </cell>
          <cell r="Q7">
            <v>2.419</v>
          </cell>
          <cell r="R7">
            <v>0</v>
          </cell>
          <cell r="S7">
            <v>189.04068000106813</v>
          </cell>
          <cell r="T7">
            <v>2.1312999977111819</v>
          </cell>
          <cell r="U7">
            <v>0.47120000000000001</v>
          </cell>
          <cell r="V7">
            <v>0</v>
          </cell>
          <cell r="W7">
            <v>0</v>
          </cell>
          <cell r="X7">
            <v>1.1160000000000001</v>
          </cell>
          <cell r="Y7">
            <v>40.582000000000001</v>
          </cell>
          <cell r="Z7">
            <v>48.927999999999997</v>
          </cell>
          <cell r="AA7">
            <v>427.7303</v>
          </cell>
          <cell r="AB7">
            <v>25.17</v>
          </cell>
          <cell r="AC7">
            <v>700.43359999999996</v>
          </cell>
          <cell r="AD7">
            <v>5.0289999999999999</v>
          </cell>
          <cell r="AE7">
            <v>1.2E-2</v>
          </cell>
          <cell r="AF7">
            <v>204.6403</v>
          </cell>
          <cell r="AG7">
            <v>592.77690000152586</v>
          </cell>
          <cell r="AH7">
            <v>444.90119999999996</v>
          </cell>
          <cell r="AI7">
            <v>169.16200000000001</v>
          </cell>
          <cell r="AJ7">
            <v>3.5270999999999999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1.4019999999999999</v>
          </cell>
          <cell r="AT7">
            <v>150.18129999999999</v>
          </cell>
          <cell r="AU7">
            <v>12.034000000000001</v>
          </cell>
          <cell r="AV7">
            <v>251.31709999999998</v>
          </cell>
          <cell r="AW7">
            <v>41.682000000000002</v>
          </cell>
          <cell r="AX7">
            <v>0</v>
          </cell>
          <cell r="AY7">
            <v>2.0470000000000002</v>
          </cell>
          <cell r="AZ7">
            <v>9.74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0.59899999999999998</v>
          </cell>
          <cell r="BH7">
            <v>26.434999999999999</v>
          </cell>
          <cell r="BI7">
            <v>0</v>
          </cell>
          <cell r="BJ7">
            <v>0</v>
          </cell>
          <cell r="BK7">
            <v>0.108</v>
          </cell>
          <cell r="BL7">
            <v>2.7690000000000001</v>
          </cell>
          <cell r="BM7">
            <v>1.498</v>
          </cell>
          <cell r="BN7">
            <v>0</v>
          </cell>
          <cell r="BO7">
            <v>0</v>
          </cell>
          <cell r="BP7">
            <v>87.028999999999996</v>
          </cell>
        </row>
        <row r="8">
          <cell r="B8" t="str">
            <v>Aberdeen</v>
          </cell>
          <cell r="D8">
            <v>186.6808</v>
          </cell>
          <cell r="E8">
            <v>252.22640000000001</v>
          </cell>
          <cell r="F8">
            <v>143.84950000000001</v>
          </cell>
          <cell r="G8">
            <v>173.71350000000001</v>
          </cell>
          <cell r="H8">
            <v>10.3346</v>
          </cell>
          <cell r="I8">
            <v>0</v>
          </cell>
          <cell r="J8">
            <v>6.8507000000000007</v>
          </cell>
          <cell r="K8">
            <v>2.4340000000000002</v>
          </cell>
          <cell r="L8">
            <v>0.27</v>
          </cell>
          <cell r="M8">
            <v>60.219000000000008</v>
          </cell>
          <cell r="N8">
            <v>10.055299999999999</v>
          </cell>
          <cell r="O8">
            <v>7.6448</v>
          </cell>
          <cell r="P8">
            <v>3.0823</v>
          </cell>
          <cell r="Q8">
            <v>0</v>
          </cell>
          <cell r="R8">
            <v>0</v>
          </cell>
          <cell r="S8">
            <v>4.1337000000000002</v>
          </cell>
          <cell r="T8">
            <v>0.32050000000000001</v>
          </cell>
          <cell r="U8">
            <v>4.1000000000000003E-3</v>
          </cell>
          <cell r="V8">
            <v>0</v>
          </cell>
          <cell r="W8">
            <v>0</v>
          </cell>
          <cell r="X8">
            <v>0</v>
          </cell>
          <cell r="Y8">
            <v>2.1229</v>
          </cell>
          <cell r="Z8">
            <v>0</v>
          </cell>
          <cell r="AA8">
            <v>35.579700000000003</v>
          </cell>
          <cell r="AB8">
            <v>2.5489999999999999</v>
          </cell>
          <cell r="AC8">
            <v>20.919799999999999</v>
          </cell>
          <cell r="AD8">
            <v>1.0691999999999999</v>
          </cell>
          <cell r="AE8">
            <v>0</v>
          </cell>
          <cell r="AF8">
            <v>0.55859999999999999</v>
          </cell>
          <cell r="AG8">
            <v>22.189399999999999</v>
          </cell>
          <cell r="AH8">
            <v>0</v>
          </cell>
          <cell r="AI8">
            <v>11.1678</v>
          </cell>
          <cell r="AJ8">
            <v>0.14349999999999999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0.16800000000000001</v>
          </cell>
          <cell r="AT8">
            <v>17.0517</v>
          </cell>
          <cell r="AU8">
            <v>0</v>
          </cell>
          <cell r="AV8">
            <v>1.1787000000000001</v>
          </cell>
          <cell r="AW8">
            <v>0</v>
          </cell>
          <cell r="AX8" t="str">
            <v>*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0.372</v>
          </cell>
          <cell r="BM8">
            <v>0</v>
          </cell>
          <cell r="BN8">
            <v>0</v>
          </cell>
          <cell r="BO8">
            <v>0</v>
          </cell>
          <cell r="BP8">
            <v>16.34</v>
          </cell>
        </row>
        <row r="9">
          <cell r="B9" t="str">
            <v>NESFO</v>
          </cell>
          <cell r="D9">
            <v>548.851</v>
          </cell>
          <cell r="E9">
            <v>753.27200000000005</v>
          </cell>
          <cell r="F9">
            <v>429.51400000000001</v>
          </cell>
          <cell r="G9">
            <v>215.82900000000001</v>
          </cell>
          <cell r="H9">
            <v>20.032</v>
          </cell>
          <cell r="I9">
            <v>0</v>
          </cell>
          <cell r="J9">
            <v>30.85</v>
          </cell>
          <cell r="K9">
            <v>40.195999999999998</v>
          </cell>
          <cell r="L9">
            <v>23.367999999999999</v>
          </cell>
          <cell r="M9">
            <v>182.672</v>
          </cell>
          <cell r="N9">
            <v>25.899000000000001</v>
          </cell>
          <cell r="O9">
            <v>3.387</v>
          </cell>
          <cell r="P9">
            <v>4.915</v>
          </cell>
          <cell r="Q9">
            <v>0</v>
          </cell>
          <cell r="R9">
            <v>0</v>
          </cell>
          <cell r="S9">
            <v>22.53</v>
          </cell>
          <cell r="T9">
            <v>0.41099999999999998</v>
          </cell>
          <cell r="U9">
            <v>3.3000000000000002E-2</v>
          </cell>
          <cell r="V9">
            <v>0</v>
          </cell>
          <cell r="W9">
            <v>0</v>
          </cell>
          <cell r="X9">
            <v>0</v>
          </cell>
          <cell r="Y9">
            <v>3.7530000000000001</v>
          </cell>
          <cell r="Z9">
            <v>0</v>
          </cell>
          <cell r="AA9">
            <v>32.015999999999998</v>
          </cell>
          <cell r="AB9">
            <v>4.0019999999999998</v>
          </cell>
          <cell r="AC9">
            <v>37.115000000000002</v>
          </cell>
          <cell r="AD9">
            <v>2.2879999999999998</v>
          </cell>
          <cell r="AE9">
            <v>0</v>
          </cell>
          <cell r="AF9">
            <v>3.282</v>
          </cell>
          <cell r="AG9">
            <v>63.56</v>
          </cell>
          <cell r="AH9">
            <v>2.1000000000000001E-2</v>
          </cell>
          <cell r="AI9">
            <v>46.356999999999999</v>
          </cell>
          <cell r="AJ9">
            <v>0.156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0.14299999999999999</v>
          </cell>
          <cell r="AT9">
            <v>56.253999999999998</v>
          </cell>
          <cell r="AU9">
            <v>0</v>
          </cell>
          <cell r="AV9">
            <v>5.1269999999999998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0.34200000000000003</v>
          </cell>
          <cell r="BM9">
            <v>0.246</v>
          </cell>
          <cell r="BN9">
            <v>0</v>
          </cell>
          <cell r="BO9">
            <v>0</v>
          </cell>
          <cell r="BP9">
            <v>0.61099999999999999</v>
          </cell>
        </row>
        <row r="10">
          <cell r="B10" t="str">
            <v>Shetland</v>
          </cell>
          <cell r="D10">
            <v>745.19899999999996</v>
          </cell>
          <cell r="E10">
            <v>685.21100000000001</v>
          </cell>
          <cell r="F10">
            <v>790.529</v>
          </cell>
          <cell r="G10">
            <v>459.20400000000001</v>
          </cell>
          <cell r="H10">
            <v>57.427</v>
          </cell>
          <cell r="I10">
            <v>0</v>
          </cell>
          <cell r="J10">
            <v>15.574999999999999</v>
          </cell>
          <cell r="K10">
            <v>1.226</v>
          </cell>
          <cell r="L10">
            <v>0</v>
          </cell>
          <cell r="M10">
            <v>464.11599999999999</v>
          </cell>
          <cell r="N10">
            <v>97.725999999999999</v>
          </cell>
          <cell r="O10">
            <v>35.534999999999997</v>
          </cell>
          <cell r="P10">
            <v>19.916</v>
          </cell>
          <cell r="Q10">
            <v>1.0999999999999999E-2</v>
          </cell>
          <cell r="R10">
            <v>0</v>
          </cell>
          <cell r="S10">
            <v>10.371</v>
          </cell>
          <cell r="T10">
            <v>1.375</v>
          </cell>
          <cell r="U10">
            <v>0.13</v>
          </cell>
          <cell r="V10">
            <v>0</v>
          </cell>
          <cell r="W10">
            <v>0</v>
          </cell>
          <cell r="X10">
            <v>0.312</v>
          </cell>
          <cell r="Y10">
            <v>0.54800000000000004</v>
          </cell>
          <cell r="Z10">
            <v>21.206</v>
          </cell>
          <cell r="AA10">
            <v>0.92</v>
          </cell>
          <cell r="AB10">
            <v>1.2529999999999999</v>
          </cell>
          <cell r="AC10">
            <v>48.94</v>
          </cell>
          <cell r="AD10">
            <v>5.8000000000000003E-2</v>
          </cell>
          <cell r="AE10">
            <v>0</v>
          </cell>
          <cell r="AF10">
            <v>0.54100000000000004</v>
          </cell>
          <cell r="AG10">
            <v>20.093</v>
          </cell>
          <cell r="AH10">
            <v>0</v>
          </cell>
          <cell r="AI10">
            <v>2.8959999999999999</v>
          </cell>
          <cell r="AJ10">
            <v>3.3000000000000002E-2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1.919</v>
          </cell>
          <cell r="AT10">
            <v>143.63999999999999</v>
          </cell>
          <cell r="AU10">
            <v>1.4E-2</v>
          </cell>
          <cell r="AV10">
            <v>5.4880000000000004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2.871</v>
          </cell>
        </row>
        <row r="11">
          <cell r="B11" t="str">
            <v>Fife</v>
          </cell>
          <cell r="D11">
            <v>21.783399996948241</v>
          </cell>
          <cell r="E11">
            <v>46.784630001068109</v>
          </cell>
          <cell r="F11">
            <v>45.513199999999998</v>
          </cell>
          <cell r="G11">
            <v>4.0359999999999996</v>
          </cell>
          <cell r="H11">
            <v>172.20406999206543</v>
          </cell>
          <cell r="I11">
            <v>6.8392999999999997</v>
          </cell>
          <cell r="J11">
            <v>0.20499999999999999</v>
          </cell>
          <cell r="K11">
            <v>186.49520000610349</v>
          </cell>
          <cell r="L11">
            <v>0</v>
          </cell>
          <cell r="M11">
            <v>62.9656100025177</v>
          </cell>
          <cell r="N11">
            <v>2.1419999999999999</v>
          </cell>
          <cell r="O11">
            <v>0.8677999999999999</v>
          </cell>
          <cell r="P11">
            <v>3.2855499984741212</v>
          </cell>
          <cell r="Q11">
            <v>0.115</v>
          </cell>
          <cell r="R11">
            <v>0</v>
          </cell>
          <cell r="S11">
            <v>11.567</v>
          </cell>
          <cell r="T11">
            <v>4.2051999999999996</v>
          </cell>
          <cell r="U11">
            <v>1.4385000000000001</v>
          </cell>
          <cell r="V11">
            <v>0</v>
          </cell>
          <cell r="W11">
            <v>0</v>
          </cell>
          <cell r="X11">
            <v>0</v>
          </cell>
          <cell r="Y11">
            <v>9.4E-2</v>
          </cell>
          <cell r="Z11">
            <v>0</v>
          </cell>
          <cell r="AA11">
            <v>1.016</v>
          </cell>
          <cell r="AB11">
            <v>0</v>
          </cell>
          <cell r="AC11">
            <v>0</v>
          </cell>
          <cell r="AD11">
            <v>0.14599999999999999</v>
          </cell>
          <cell r="AE11">
            <v>0</v>
          </cell>
          <cell r="AF11">
            <v>0</v>
          </cell>
          <cell r="AG11">
            <v>0.71599999999999997</v>
          </cell>
          <cell r="AH11">
            <v>2.7109999999999999</v>
          </cell>
          <cell r="AI11">
            <v>0.106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5.0976999999999997</v>
          </cell>
          <cell r="AU11">
            <v>0</v>
          </cell>
          <cell r="AV11">
            <v>3.5999999999999997E-2</v>
          </cell>
          <cell r="AW11">
            <v>0</v>
          </cell>
          <cell r="AX11" t="str">
            <v>*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</row>
        <row r="12">
          <cell r="B12" t="str">
            <v>West Scotland</v>
          </cell>
          <cell r="D12">
            <v>7.4102999999999994</v>
          </cell>
          <cell r="E12">
            <v>12.4894</v>
          </cell>
          <cell r="F12">
            <v>13.084999999999999</v>
          </cell>
          <cell r="G12">
            <v>3.6819999999999999</v>
          </cell>
          <cell r="H12">
            <v>1.3331999999999999</v>
          </cell>
          <cell r="I12">
            <v>0</v>
          </cell>
          <cell r="J12">
            <v>0.36399999999999999</v>
          </cell>
          <cell r="K12">
            <v>48.636099999999999</v>
          </cell>
          <cell r="L12">
            <v>0</v>
          </cell>
          <cell r="M12">
            <v>15.097699997711182</v>
          </cell>
          <cell r="N12">
            <v>0.91100000000000003</v>
          </cell>
          <cell r="O12">
            <v>0.36420000000000002</v>
          </cell>
          <cell r="P12">
            <v>0.15559999999999999</v>
          </cell>
          <cell r="Q12">
            <v>0.06</v>
          </cell>
          <cell r="R12">
            <v>0</v>
          </cell>
          <cell r="S12">
            <v>3.5364</v>
          </cell>
          <cell r="T12">
            <v>4.1999999999999996E-2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0.27300000000000002</v>
          </cell>
          <cell r="Z12">
            <v>0</v>
          </cell>
          <cell r="AA12">
            <v>4.5199999999999996</v>
          </cell>
          <cell r="AB12">
            <v>2.5000000000000001E-2</v>
          </cell>
          <cell r="AC12">
            <v>0.97599999999999998</v>
          </cell>
          <cell r="AD12">
            <v>0.08</v>
          </cell>
          <cell r="AE12">
            <v>7.0000000000000001E-3</v>
          </cell>
          <cell r="AF12">
            <v>0.28899999999999998</v>
          </cell>
          <cell r="AG12">
            <v>8.7620000000000005</v>
          </cell>
          <cell r="AH12">
            <v>105.306</v>
          </cell>
          <cell r="AI12">
            <v>3.4769999999999999</v>
          </cell>
          <cell r="AJ12">
            <v>0.14000000000000001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1.3924000000000001</v>
          </cell>
          <cell r="AU12">
            <v>0</v>
          </cell>
          <cell r="AV12">
            <v>0.01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</row>
        <row r="13">
          <cell r="B13" t="str">
            <v>Orkney</v>
          </cell>
          <cell r="D13">
            <v>68.537000000000006</v>
          </cell>
          <cell r="E13">
            <v>243.49100000000001</v>
          </cell>
          <cell r="F13">
            <v>17.853999999999999</v>
          </cell>
          <cell r="G13">
            <v>27.216999999999999</v>
          </cell>
          <cell r="H13">
            <v>2.988</v>
          </cell>
          <cell r="I13">
            <v>0</v>
          </cell>
          <cell r="J13">
            <v>4.6420000000000003</v>
          </cell>
          <cell r="K13">
            <v>12.32</v>
          </cell>
          <cell r="L13">
            <v>2.891</v>
          </cell>
          <cell r="M13">
            <v>20.512</v>
          </cell>
          <cell r="N13">
            <v>2.6019999999999999</v>
          </cell>
          <cell r="O13">
            <v>3.5630000000000002</v>
          </cell>
          <cell r="P13">
            <v>2.7160000000000002</v>
          </cell>
          <cell r="Q13">
            <v>0</v>
          </cell>
          <cell r="R13">
            <v>0</v>
          </cell>
          <cell r="S13">
            <v>5.6000000000000001E-2</v>
          </cell>
          <cell r="T13">
            <v>0.246</v>
          </cell>
          <cell r="U13">
            <v>1.2E-2</v>
          </cell>
          <cell r="V13">
            <v>0</v>
          </cell>
          <cell r="W13">
            <v>0</v>
          </cell>
          <cell r="X13">
            <v>2.92</v>
          </cell>
          <cell r="Y13">
            <v>1.8580000000000001</v>
          </cell>
          <cell r="Z13">
            <v>148.03200000000001</v>
          </cell>
          <cell r="AA13">
            <v>47.308</v>
          </cell>
          <cell r="AB13">
            <v>3.496</v>
          </cell>
          <cell r="AC13">
            <v>35.180999999999997</v>
          </cell>
          <cell r="AD13">
            <v>4.2000000000000003E-2</v>
          </cell>
          <cell r="AE13">
            <v>0</v>
          </cell>
          <cell r="AF13">
            <v>2.661</v>
          </cell>
          <cell r="AG13">
            <v>26.16</v>
          </cell>
          <cell r="AH13">
            <v>15.66</v>
          </cell>
          <cell r="AI13">
            <v>2.383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1.1240000000000001</v>
          </cell>
          <cell r="AT13">
            <v>6.641</v>
          </cell>
          <cell r="AU13">
            <v>0.67900000000000005</v>
          </cell>
          <cell r="AV13">
            <v>13.939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0.185</v>
          </cell>
          <cell r="BM13">
            <v>8.7999999999999995E-2</v>
          </cell>
          <cell r="BN13">
            <v>0</v>
          </cell>
          <cell r="BO13">
            <v>0</v>
          </cell>
          <cell r="BP13">
            <v>0.112</v>
          </cell>
        </row>
        <row r="14">
          <cell r="B14" t="str">
            <v>Northern</v>
          </cell>
          <cell r="D14">
            <v>37.162300000000002</v>
          </cell>
          <cell r="E14">
            <v>86.915500000000009</v>
          </cell>
          <cell r="F14">
            <v>41.780099999999997</v>
          </cell>
          <cell r="G14">
            <v>24.151</v>
          </cell>
          <cell r="H14">
            <v>1.3371000000000002</v>
          </cell>
          <cell r="I14">
            <v>0</v>
          </cell>
          <cell r="J14">
            <v>101.39700000000001</v>
          </cell>
          <cell r="K14">
            <v>66.867999999999995</v>
          </cell>
          <cell r="L14">
            <v>0</v>
          </cell>
          <cell r="M14">
            <v>22.835099996185303</v>
          </cell>
          <cell r="N14">
            <v>0.42399999999999999</v>
          </cell>
          <cell r="O14">
            <v>0.24509999999999998</v>
          </cell>
          <cell r="P14">
            <v>0.75109999999999999</v>
          </cell>
          <cell r="Q14">
            <v>0</v>
          </cell>
          <cell r="R14">
            <v>0</v>
          </cell>
          <cell r="S14">
            <v>6.9472999999999994</v>
          </cell>
          <cell r="T14">
            <v>3.0799999999999998E-2</v>
          </cell>
          <cell r="U14">
            <v>2.8000000000000001E-2</v>
          </cell>
          <cell r="V14">
            <v>0</v>
          </cell>
          <cell r="W14">
            <v>0</v>
          </cell>
          <cell r="X14">
            <v>0</v>
          </cell>
          <cell r="Y14">
            <v>0.09</v>
          </cell>
          <cell r="Z14">
            <v>0</v>
          </cell>
          <cell r="AA14">
            <v>1.464</v>
          </cell>
          <cell r="AB14">
            <v>0</v>
          </cell>
          <cell r="AC14">
            <v>0</v>
          </cell>
          <cell r="AD14">
            <v>9.1999999999999998E-2</v>
          </cell>
          <cell r="AE14">
            <v>0</v>
          </cell>
          <cell r="AF14">
            <v>129.77199999999999</v>
          </cell>
          <cell r="AG14">
            <v>1.405</v>
          </cell>
          <cell r="AH14">
            <v>52.198</v>
          </cell>
          <cell r="AI14">
            <v>0.13600000000000001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28.939</v>
          </cell>
          <cell r="AU14">
            <v>1.7769999999999999</v>
          </cell>
          <cell r="AV14">
            <v>73.120999999999995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5.3319999999999999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</row>
        <row r="15">
          <cell r="B15" t="str">
            <v>Klondyke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</row>
        <row r="16">
          <cell r="B16" t="str">
            <v>Lunar</v>
          </cell>
          <cell r="D16">
            <v>203.029</v>
          </cell>
          <cell r="E16">
            <v>135.846</v>
          </cell>
          <cell r="F16">
            <v>19.376000000000001</v>
          </cell>
          <cell r="G16">
            <v>108.76300000000001</v>
          </cell>
          <cell r="H16">
            <v>1.423</v>
          </cell>
          <cell r="I16">
            <v>0</v>
          </cell>
          <cell r="J16">
            <v>14.295</v>
          </cell>
          <cell r="K16">
            <v>0</v>
          </cell>
          <cell r="L16">
            <v>0</v>
          </cell>
          <cell r="M16">
            <v>3.601</v>
          </cell>
          <cell r="N16">
            <v>1.198</v>
          </cell>
          <cell r="O16">
            <v>0</v>
          </cell>
          <cell r="P16">
            <v>0.442</v>
          </cell>
          <cell r="Q16">
            <v>0</v>
          </cell>
          <cell r="R16">
            <v>0</v>
          </cell>
          <cell r="S16">
            <v>0.42699999999999999</v>
          </cell>
          <cell r="T16">
            <v>3.2000000000000001E-2</v>
          </cell>
          <cell r="U16">
            <v>4.3999999999999997E-2</v>
          </cell>
          <cell r="V16">
            <v>0</v>
          </cell>
          <cell r="W16">
            <v>0</v>
          </cell>
          <cell r="X16">
            <v>0</v>
          </cell>
          <cell r="Y16">
            <v>0.39800000000000002</v>
          </cell>
          <cell r="Z16">
            <v>0</v>
          </cell>
          <cell r="AA16">
            <v>0.14099999999999999</v>
          </cell>
          <cell r="AB16">
            <v>0.24299999999999999</v>
          </cell>
          <cell r="AC16">
            <v>52.173000000000002</v>
          </cell>
          <cell r="AD16">
            <v>0</v>
          </cell>
          <cell r="AE16">
            <v>0</v>
          </cell>
          <cell r="AF16">
            <v>5.42</v>
          </cell>
          <cell r="AG16">
            <v>6.0999999999999999E-2</v>
          </cell>
          <cell r="AH16">
            <v>0</v>
          </cell>
          <cell r="AI16">
            <v>0</v>
          </cell>
          <cell r="AJ16">
            <v>9.5000000000000001E-2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2.9000000000000001E-2</v>
          </cell>
          <cell r="AT16">
            <v>4.3010000000000002</v>
          </cell>
          <cell r="AU16">
            <v>0</v>
          </cell>
          <cell r="AV16">
            <v>0.433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1.762</v>
          </cell>
        </row>
        <row r="17">
          <cell r="B17" t="str">
            <v>Anglo Scottish</v>
          </cell>
          <cell r="D17">
            <v>96.41755999851226</v>
          </cell>
          <cell r="E17">
            <v>393.13463000216484</v>
          </cell>
          <cell r="F17">
            <v>102.5460000009537</v>
          </cell>
          <cell r="G17">
            <v>49.703000000000003</v>
          </cell>
          <cell r="H17">
            <v>6.7055500011444087</v>
          </cell>
          <cell r="I17">
            <v>0.1125</v>
          </cell>
          <cell r="J17">
            <v>0.35830000000000001</v>
          </cell>
          <cell r="K17">
            <v>205.07849999999999</v>
          </cell>
          <cell r="L17">
            <v>6.8659999999999997</v>
          </cell>
          <cell r="M17">
            <v>21.33032000961304</v>
          </cell>
          <cell r="N17">
            <v>4.5469999999999997</v>
          </cell>
          <cell r="O17">
            <v>0.77039999999999997</v>
          </cell>
          <cell r="P17">
            <v>1.4223999994277952</v>
          </cell>
          <cell r="Q17">
            <v>0</v>
          </cell>
          <cell r="R17">
            <v>0</v>
          </cell>
          <cell r="S17">
            <v>4.8623800002574917</v>
          </cell>
          <cell r="T17">
            <v>0.782679999947548</v>
          </cell>
          <cell r="U17">
            <v>0.20190000000000002</v>
          </cell>
          <cell r="V17">
            <v>0</v>
          </cell>
          <cell r="W17">
            <v>0</v>
          </cell>
          <cell r="X17">
            <v>1.907</v>
          </cell>
          <cell r="Y17">
            <v>0.67200000000000004</v>
          </cell>
          <cell r="Z17">
            <v>79.778999999999996</v>
          </cell>
          <cell r="AA17">
            <v>0.29799999999999999</v>
          </cell>
          <cell r="AB17">
            <v>0.98</v>
          </cell>
          <cell r="AC17">
            <v>24.024999999999999</v>
          </cell>
          <cell r="AD17">
            <v>9.5000000000000001E-2</v>
          </cell>
          <cell r="AE17">
            <v>0</v>
          </cell>
          <cell r="AF17">
            <v>0.16</v>
          </cell>
          <cell r="AG17">
            <v>13.741</v>
          </cell>
          <cell r="AH17">
            <v>2.7528000000000001</v>
          </cell>
          <cell r="AI17">
            <v>1.0229999999999999</v>
          </cell>
          <cell r="AJ17">
            <v>5.2999999999999999E-2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1.0999999999999999E-2</v>
          </cell>
          <cell r="AT17">
            <v>7.0878000000000005</v>
          </cell>
          <cell r="AU17">
            <v>0</v>
          </cell>
          <cell r="AV17">
            <v>5.3760000000000003</v>
          </cell>
          <cell r="AW17">
            <v>0</v>
          </cell>
          <cell r="AX17" t="str">
            <v>*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1.04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</row>
        <row r="18">
          <cell r="B18" t="str">
            <v>EEFPO</v>
          </cell>
          <cell r="D18">
            <v>734.05240000000003</v>
          </cell>
          <cell r="E18">
            <v>643.34209999999996</v>
          </cell>
          <cell r="F18">
            <v>321.84220000000005</v>
          </cell>
          <cell r="G18">
            <v>285.40900000000005</v>
          </cell>
          <cell r="H18">
            <v>27.3141</v>
          </cell>
          <cell r="I18">
            <v>1.89E-2</v>
          </cell>
          <cell r="J18">
            <v>24.221799999999998</v>
          </cell>
          <cell r="K18">
            <v>12.773299999999999</v>
          </cell>
          <cell r="L18">
            <v>47.41</v>
          </cell>
          <cell r="M18">
            <v>91.994800000000012</v>
          </cell>
          <cell r="N18">
            <v>18.1554</v>
          </cell>
          <cell r="O18">
            <v>4.4066000000000001</v>
          </cell>
          <cell r="P18">
            <v>10.4046</v>
          </cell>
          <cell r="Q18">
            <v>0</v>
          </cell>
          <cell r="R18">
            <v>0</v>
          </cell>
          <cell r="S18">
            <v>7.3237000000000005</v>
          </cell>
          <cell r="T18">
            <v>0.8155</v>
          </cell>
          <cell r="U18">
            <v>0.17430000000000001</v>
          </cell>
          <cell r="V18">
            <v>0</v>
          </cell>
          <cell r="W18">
            <v>1.7399999999999999E-2</v>
          </cell>
          <cell r="X18">
            <v>0</v>
          </cell>
          <cell r="Y18">
            <v>7.9558999999999997</v>
          </cell>
          <cell r="Z18">
            <v>0</v>
          </cell>
          <cell r="AA18">
            <v>4.7484999999999999</v>
          </cell>
          <cell r="AB18">
            <v>1.3211999999999999</v>
          </cell>
          <cell r="AC18">
            <v>26.076899999999998</v>
          </cell>
          <cell r="AD18">
            <v>0.51270000000000004</v>
          </cell>
          <cell r="AE18">
            <v>0</v>
          </cell>
          <cell r="AF18">
            <v>0</v>
          </cell>
          <cell r="AG18">
            <v>7.1635000000000009</v>
          </cell>
          <cell r="AH18">
            <v>4.0940000000000003</v>
          </cell>
          <cell r="AI18">
            <v>1.5548999999999999</v>
          </cell>
          <cell r="AJ18">
            <v>1.5338000000000001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37.170300000000005</v>
          </cell>
          <cell r="AU18">
            <v>0</v>
          </cell>
          <cell r="AV18">
            <v>0.14099999999999999</v>
          </cell>
          <cell r="AW18">
            <v>0</v>
          </cell>
          <cell r="AX18" t="str">
            <v>*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0.85539999999999994</v>
          </cell>
          <cell r="BM18">
            <v>1.8110000000000002</v>
          </cell>
          <cell r="BN18">
            <v>0</v>
          </cell>
          <cell r="BO18">
            <v>0</v>
          </cell>
          <cell r="BP18">
            <v>0</v>
          </cell>
        </row>
        <row r="19">
          <cell r="B19" t="str">
            <v>Fleetwood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 t="str">
            <v>*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</row>
        <row r="20">
          <cell r="B20" t="str">
            <v>FPO</v>
          </cell>
          <cell r="D20">
            <v>18.828900000000001</v>
          </cell>
          <cell r="E20">
            <v>15.976000000000001</v>
          </cell>
          <cell r="F20">
            <v>10.7631</v>
          </cell>
          <cell r="G20">
            <v>681.63260000000002</v>
          </cell>
          <cell r="H20">
            <v>0.30599999999999999</v>
          </cell>
          <cell r="I20">
            <v>0</v>
          </cell>
          <cell r="J20">
            <v>15.779500000000001</v>
          </cell>
          <cell r="K20">
            <v>0</v>
          </cell>
          <cell r="L20">
            <v>0</v>
          </cell>
          <cell r="M20">
            <v>4.5086000000000004</v>
          </cell>
          <cell r="N20">
            <v>3.0598000000000001</v>
          </cell>
          <cell r="O20">
            <v>0</v>
          </cell>
          <cell r="P20">
            <v>0.28689999999999999</v>
          </cell>
          <cell r="Q20">
            <v>0</v>
          </cell>
          <cell r="R20">
            <v>0</v>
          </cell>
          <cell r="S20">
            <v>0.22009999999999999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1.1151</v>
          </cell>
          <cell r="AT20">
            <v>11.9232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</row>
        <row r="21">
          <cell r="B21" t="str">
            <v>NIFPO</v>
          </cell>
          <cell r="D21">
            <v>200.84460000000001</v>
          </cell>
          <cell r="E21">
            <v>158.03370000000001</v>
          </cell>
          <cell r="F21">
            <v>49.102000000000004</v>
          </cell>
          <cell r="G21">
            <v>70.490200000000002</v>
          </cell>
          <cell r="H21">
            <v>4.9106999999999994</v>
          </cell>
          <cell r="I21">
            <v>1.2699999999999999E-2</v>
          </cell>
          <cell r="J21">
            <v>66.054100000000005</v>
          </cell>
          <cell r="K21">
            <v>67.780500000000004</v>
          </cell>
          <cell r="L21">
            <v>1.0888</v>
          </cell>
          <cell r="M21">
            <v>43.442</v>
          </cell>
          <cell r="N21">
            <v>5.4454000000000002</v>
          </cell>
          <cell r="O21">
            <v>1.2005000000000001</v>
          </cell>
          <cell r="P21">
            <v>1.1897</v>
          </cell>
          <cell r="Q21">
            <v>0</v>
          </cell>
          <cell r="R21">
            <v>0</v>
          </cell>
          <cell r="S21">
            <v>1.8071999999999999</v>
          </cell>
          <cell r="T21">
            <v>0.11600000000000001</v>
          </cell>
          <cell r="U21">
            <v>3.78E-2</v>
          </cell>
          <cell r="V21">
            <v>0</v>
          </cell>
          <cell r="W21">
            <v>0</v>
          </cell>
          <cell r="X21">
            <v>0</v>
          </cell>
          <cell r="Y21">
            <v>1.1781999999999999</v>
          </cell>
          <cell r="Z21">
            <v>0</v>
          </cell>
          <cell r="AA21">
            <v>6.4782999999999999</v>
          </cell>
          <cell r="AB21">
            <v>0.21199999999999999</v>
          </cell>
          <cell r="AC21">
            <v>47.541600000000003</v>
          </cell>
          <cell r="AD21">
            <v>0</v>
          </cell>
          <cell r="AE21">
            <v>0</v>
          </cell>
          <cell r="AF21">
            <v>55.902299999999997</v>
          </cell>
          <cell r="AG21">
            <v>24.7362</v>
          </cell>
          <cell r="AH21">
            <v>65.7209</v>
          </cell>
          <cell r="AI21">
            <v>13.199</v>
          </cell>
          <cell r="AJ21">
            <v>2.9234999999999998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16.342299999999998</v>
          </cell>
          <cell r="AU21">
            <v>0</v>
          </cell>
          <cell r="AV21">
            <v>56.613799999999998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3.0259999999999998</v>
          </cell>
          <cell r="BI21">
            <v>0</v>
          </cell>
          <cell r="BJ21">
            <v>0</v>
          </cell>
          <cell r="BK21">
            <v>0</v>
          </cell>
          <cell r="BL21">
            <v>0.4415</v>
          </cell>
          <cell r="BM21">
            <v>0.68400000000000005</v>
          </cell>
          <cell r="BN21">
            <v>0</v>
          </cell>
          <cell r="BO21">
            <v>0</v>
          </cell>
          <cell r="BP21">
            <v>3.5169999999999999</v>
          </cell>
        </row>
        <row r="22">
          <cell r="B22" t="str">
            <v>ANIFPO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152.9564</v>
          </cell>
          <cell r="K22">
            <v>8.1587999999999994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2.2800000000000001E-2</v>
          </cell>
          <cell r="Z22">
            <v>0</v>
          </cell>
          <cell r="AA22">
            <v>3.5407999999999999</v>
          </cell>
          <cell r="AB22">
            <v>0</v>
          </cell>
          <cell r="AC22">
            <v>8.3000000000000001E-3</v>
          </cell>
          <cell r="AD22">
            <v>0</v>
          </cell>
          <cell r="AE22">
            <v>0</v>
          </cell>
          <cell r="AF22">
            <v>381.48829999999998</v>
          </cell>
          <cell r="AG22">
            <v>137.6018</v>
          </cell>
          <cell r="AH22">
            <v>15.151999999999999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5.6345000000000001</v>
          </cell>
          <cell r="AU22">
            <v>0</v>
          </cell>
          <cell r="AV22">
            <v>90.062699999999992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0.84130000000000005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</row>
        <row r="23">
          <cell r="B23" t="str">
            <v>Cornish</v>
          </cell>
          <cell r="D23">
            <v>209.86089999999999</v>
          </cell>
          <cell r="E23">
            <v>155.24790000000002</v>
          </cell>
          <cell r="F23">
            <v>97.9619</v>
          </cell>
          <cell r="G23">
            <v>70.843500000000006</v>
          </cell>
          <cell r="H23">
            <v>2.9319999999999999</v>
          </cell>
          <cell r="I23">
            <v>0</v>
          </cell>
          <cell r="J23">
            <v>0.54370000000000007</v>
          </cell>
          <cell r="K23">
            <v>1.8320000000000001</v>
          </cell>
          <cell r="L23">
            <v>0.21590000000000001</v>
          </cell>
          <cell r="M23">
            <v>20.274799999999999</v>
          </cell>
          <cell r="N23">
            <v>1.4262000000000001</v>
          </cell>
          <cell r="O23">
            <v>0.62670000000000003</v>
          </cell>
          <cell r="P23">
            <v>1.3519000000000001</v>
          </cell>
          <cell r="Q23">
            <v>0</v>
          </cell>
          <cell r="R23">
            <v>0</v>
          </cell>
          <cell r="S23">
            <v>4.0869</v>
          </cell>
          <cell r="T23">
            <v>2.47E-2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427.952</v>
          </cell>
          <cell r="AG23">
            <v>0</v>
          </cell>
          <cell r="AH23">
            <v>0.80400000000000005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6.2965</v>
          </cell>
          <cell r="AU23">
            <v>0</v>
          </cell>
          <cell r="AV23">
            <v>34.548999999999999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5.4999999999999997E-3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6.8400000000000002E-2</v>
          </cell>
          <cell r="BN23">
            <v>0</v>
          </cell>
          <cell r="BO23">
            <v>5.3908000000000005</v>
          </cell>
          <cell r="BP23">
            <v>0</v>
          </cell>
        </row>
        <row r="24">
          <cell r="B24" t="str">
            <v>South West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0.26079999999999998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2.8001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</row>
        <row r="25">
          <cell r="B25" t="str">
            <v>North sea</v>
          </cell>
          <cell r="D25">
            <v>13.0078</v>
          </cell>
          <cell r="E25">
            <v>0.1608</v>
          </cell>
          <cell r="F25">
            <v>0.94350000000000001</v>
          </cell>
          <cell r="G25">
            <v>4.5999999999999999E-3</v>
          </cell>
          <cell r="H25">
            <v>830.63670000000002</v>
          </cell>
          <cell r="I25">
            <v>25.8125</v>
          </cell>
          <cell r="J25">
            <v>0</v>
          </cell>
          <cell r="K25">
            <v>1.3360000000000001</v>
          </cell>
          <cell r="L25">
            <v>0</v>
          </cell>
          <cell r="M25">
            <v>0.32100000000000001</v>
          </cell>
          <cell r="N25">
            <v>0</v>
          </cell>
          <cell r="O25">
            <v>3.8468</v>
          </cell>
          <cell r="P25">
            <v>6.9626999999999999</v>
          </cell>
          <cell r="Q25">
            <v>20.25</v>
          </cell>
          <cell r="R25">
            <v>0.23100000000000001</v>
          </cell>
          <cell r="S25">
            <v>7.1840999999999999</v>
          </cell>
          <cell r="T25">
            <v>17.238599999999998</v>
          </cell>
          <cell r="U25">
            <v>9.7759999999999998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4.1399999999999999E-2</v>
          </cell>
          <cell r="AU25">
            <v>0</v>
          </cell>
          <cell r="AV25">
            <v>2.8500000000000001E-2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B26" t="str">
            <v>Lowestoft</v>
          </cell>
          <cell r="D26">
            <v>3.5253999999999999</v>
          </cell>
          <cell r="E26">
            <v>1.1000000000000001E-3</v>
          </cell>
          <cell r="F26">
            <v>5.7576000000000001</v>
          </cell>
          <cell r="G26">
            <v>0</v>
          </cell>
          <cell r="H26">
            <v>520.88300000000004</v>
          </cell>
          <cell r="I26">
            <v>30.7242</v>
          </cell>
          <cell r="J26">
            <v>0</v>
          </cell>
          <cell r="K26">
            <v>4.9099999999999998E-2</v>
          </cell>
          <cell r="L26">
            <v>0</v>
          </cell>
          <cell r="M26">
            <v>1.41E-2</v>
          </cell>
          <cell r="N26">
            <v>0</v>
          </cell>
          <cell r="O26">
            <v>2.2645</v>
          </cell>
          <cell r="P26">
            <v>5.9002999999999997</v>
          </cell>
          <cell r="Q26">
            <v>0</v>
          </cell>
          <cell r="R26">
            <v>0</v>
          </cell>
          <cell r="S26">
            <v>8.9599999999999999E-2</v>
          </cell>
          <cell r="T26">
            <v>14.995699999999999</v>
          </cell>
          <cell r="U26">
            <v>4.9058999999999999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1.9900000000000001E-2</v>
          </cell>
          <cell r="AU26">
            <v>0</v>
          </cell>
          <cell r="AV26">
            <v>0</v>
          </cell>
          <cell r="AW26">
            <v>0</v>
          </cell>
          <cell r="AX26" t="str">
            <v>*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</row>
        <row r="27">
          <cell r="B27" t="str">
            <v>Wales &amp; WC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140.85120000000001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42.720099999999995</v>
          </cell>
          <cell r="AW27">
            <v>0</v>
          </cell>
          <cell r="AX27" t="str">
            <v>*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1.0747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</row>
        <row r="28">
          <cell r="B28" t="str">
            <v>Interfish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0.38850000000000001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0.25580000000000003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</row>
        <row r="29">
          <cell r="B29" t="str">
            <v>North Atlantic FPO</v>
          </cell>
          <cell r="D29">
            <v>1.3702000000000001</v>
          </cell>
          <cell r="E29">
            <v>0</v>
          </cell>
          <cell r="F29">
            <v>1.7817000000000001</v>
          </cell>
          <cell r="G29">
            <v>0</v>
          </cell>
          <cell r="H29">
            <v>21.5627</v>
          </cell>
          <cell r="I29">
            <v>24.279599999999999</v>
          </cell>
          <cell r="J29">
            <v>0</v>
          </cell>
          <cell r="K29">
            <v>0</v>
          </cell>
          <cell r="L29">
            <v>0</v>
          </cell>
          <cell r="M29">
            <v>3.8699999999999998E-2</v>
          </cell>
          <cell r="N29">
            <v>0</v>
          </cell>
          <cell r="O29">
            <v>1.7645</v>
          </cell>
          <cell r="P29">
            <v>0.17319999999999999</v>
          </cell>
          <cell r="Q29">
            <v>0</v>
          </cell>
          <cell r="R29">
            <v>0</v>
          </cell>
          <cell r="S29">
            <v>0</v>
          </cell>
          <cell r="T29">
            <v>2.0943000000000001</v>
          </cell>
          <cell r="U29">
            <v>3.7966000000000002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0.65469999999999995</v>
          </cell>
          <cell r="AD29">
            <v>0</v>
          </cell>
          <cell r="AE29">
            <v>0</v>
          </cell>
          <cell r="AF29">
            <v>0.58589999999999998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1.8E-3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B30" t="str">
            <v>UK sector Total</v>
          </cell>
          <cell r="D30">
            <v>3966.2295700021746</v>
          </cell>
          <cell r="E30">
            <v>5336.272729990983</v>
          </cell>
          <cell r="F30">
            <v>2943.2229000078196</v>
          </cell>
          <cell r="G30">
            <v>2635.9844000000003</v>
          </cell>
          <cell r="H30">
            <v>1722.5666699931621</v>
          </cell>
          <cell r="I30">
            <v>87.807500000000005</v>
          </cell>
          <cell r="J30">
            <v>557.19899999999996</v>
          </cell>
          <cell r="K30">
            <v>1230.9332000061033</v>
          </cell>
          <cell r="L30">
            <v>143.66669999999999</v>
          </cell>
          <cell r="M30">
            <v>2066.0684300185208</v>
          </cell>
          <cell r="N30">
            <v>245.89710000000005</v>
          </cell>
          <cell r="O30">
            <v>96.926100000762943</v>
          </cell>
          <cell r="P30">
            <v>85.517049997901921</v>
          </cell>
          <cell r="Q30">
            <v>22.855</v>
          </cell>
          <cell r="R30">
            <v>0.23100000000000001</v>
          </cell>
          <cell r="S30">
            <v>274.1830600013256</v>
          </cell>
          <cell r="T30">
            <v>44.861279997658727</v>
          </cell>
          <cell r="U30">
            <v>21.0533</v>
          </cell>
          <cell r="V30">
            <v>0</v>
          </cell>
          <cell r="W30">
            <v>1.7399999999999999E-2</v>
          </cell>
          <cell r="X30">
            <v>6.2549999999999999</v>
          </cell>
          <cell r="Y30">
            <v>59.547800000000009</v>
          </cell>
          <cell r="Z30">
            <v>297.94499999999999</v>
          </cell>
          <cell r="AA30">
            <v>565.76060000000007</v>
          </cell>
          <cell r="AB30">
            <v>39.251199999999997</v>
          </cell>
          <cell r="AC30">
            <v>994.04490000000021</v>
          </cell>
          <cell r="AD30">
            <v>9.411900000000001</v>
          </cell>
          <cell r="AE30">
            <v>1.9E-2</v>
          </cell>
          <cell r="AF30">
            <v>1354.7529</v>
          </cell>
          <cell r="AG30">
            <v>918.96580000152562</v>
          </cell>
          <cell r="AH30">
            <v>709.32089999999994</v>
          </cell>
          <cell r="AI30">
            <v>251.46170000000001</v>
          </cell>
          <cell r="AJ30">
            <v>8.6049000000000007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5.9110999999999994</v>
          </cell>
          <cell r="AT30">
            <v>498.01580000000001</v>
          </cell>
          <cell r="AU30">
            <v>14.504</v>
          </cell>
          <cell r="AV30">
            <v>583.19679999999994</v>
          </cell>
          <cell r="AW30">
            <v>41.682000000000002</v>
          </cell>
          <cell r="AX30">
            <v>0</v>
          </cell>
          <cell r="AY30">
            <v>2.0470000000000002</v>
          </cell>
          <cell r="AZ30">
            <v>9.74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0.59899999999999998</v>
          </cell>
          <cell r="BH30">
            <v>36.714500000000001</v>
          </cell>
          <cell r="BI30">
            <v>0</v>
          </cell>
          <cell r="BJ30">
            <v>0</v>
          </cell>
          <cell r="BK30">
            <v>0.108</v>
          </cell>
          <cell r="BL30">
            <v>6.004900000000001</v>
          </cell>
          <cell r="BM30">
            <v>4.3954000000000004</v>
          </cell>
          <cell r="BN30">
            <v>0</v>
          </cell>
          <cell r="BO30">
            <v>5.3908000000000005</v>
          </cell>
          <cell r="BP30">
            <v>112.24199999999999</v>
          </cell>
        </row>
        <row r="32">
          <cell r="B32" t="str">
            <v>Non Sector - England</v>
          </cell>
          <cell r="D32">
            <v>1.9410000000000001</v>
          </cell>
          <cell r="E32">
            <v>6.4500000000000002E-2</v>
          </cell>
          <cell r="F32">
            <v>1.2475000000000001</v>
          </cell>
          <cell r="G32">
            <v>0</v>
          </cell>
          <cell r="H32">
            <v>0.45140000000000002</v>
          </cell>
          <cell r="I32">
            <v>0.1336</v>
          </cell>
          <cell r="J32">
            <v>1.1900000000000001E-2</v>
          </cell>
          <cell r="K32">
            <v>8.6661999999999999</v>
          </cell>
          <cell r="L32">
            <v>0</v>
          </cell>
          <cell r="M32">
            <v>0.17810000000000001</v>
          </cell>
          <cell r="N32">
            <v>0</v>
          </cell>
          <cell r="O32">
            <v>6.1028000000000002</v>
          </cell>
          <cell r="P32">
            <v>8.8599999999999998E-2</v>
          </cell>
          <cell r="Q32">
            <v>0</v>
          </cell>
          <cell r="R32">
            <v>0</v>
          </cell>
          <cell r="S32">
            <v>1.34E-2</v>
          </cell>
          <cell r="T32">
            <v>0.22059999999999999</v>
          </cell>
          <cell r="U32">
            <v>1.23E-2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1.0200000000000001E-2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2.4400000000000002E-2</v>
          </cell>
          <cell r="AU32">
            <v>0</v>
          </cell>
          <cell r="AV32">
            <v>0.28310000000000002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3.8E-3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0.14499999999999999</v>
          </cell>
          <cell r="BP32">
            <v>0</v>
          </cell>
        </row>
        <row r="33">
          <cell r="B33" t="str">
            <v>Non Sector - Wales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</row>
        <row r="34">
          <cell r="B34" t="str">
            <v>Non Sector - Scotland</v>
          </cell>
          <cell r="D34">
            <v>4.1000000000000002E-2</v>
          </cell>
          <cell r="E34">
            <v>0.14699999999999999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37.874000000000002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33.304000000000002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</row>
        <row r="35">
          <cell r="B35" t="str">
            <v>Non Sector - N.Ireland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</row>
        <row r="37">
          <cell r="B37" t="str">
            <v>Isle of Man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</row>
        <row r="39">
          <cell r="B39" t="str">
            <v>Under 10m - England</v>
          </cell>
          <cell r="D39">
            <v>16.184000000000001</v>
          </cell>
          <cell r="E39">
            <v>1.0384</v>
          </cell>
          <cell r="F39">
            <v>14.8186</v>
          </cell>
          <cell r="G39">
            <v>2.2499999999999999E-2</v>
          </cell>
          <cell r="H39">
            <v>7.5499000000000001</v>
          </cell>
          <cell r="I39">
            <v>2.8264999999999998</v>
          </cell>
          <cell r="J39">
            <v>6.3E-3</v>
          </cell>
          <cell r="K39">
            <v>71.308199999999999</v>
          </cell>
          <cell r="L39">
            <v>0</v>
          </cell>
          <cell r="M39">
            <v>0.89190000000000003</v>
          </cell>
          <cell r="N39">
            <v>0</v>
          </cell>
          <cell r="O39">
            <v>49.489400000000003</v>
          </cell>
          <cell r="P39">
            <v>1.0017</v>
          </cell>
          <cell r="Q39">
            <v>0</v>
          </cell>
          <cell r="R39">
            <v>0</v>
          </cell>
          <cell r="S39">
            <v>4.0000000000000001E-3</v>
          </cell>
          <cell r="T39">
            <v>0.92490000000000006</v>
          </cell>
          <cell r="U39">
            <v>0.42980000000000002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0.37359999999999999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0.1762</v>
          </cell>
          <cell r="AU39">
            <v>0</v>
          </cell>
          <cell r="AV39">
            <v>15.9374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8.4699999999999998E-2</v>
          </cell>
          <cell r="BP39">
            <v>0</v>
          </cell>
        </row>
        <row r="40">
          <cell r="B40" t="str">
            <v>Under 10m - Wales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</row>
        <row r="41">
          <cell r="B41" t="str">
            <v>Under 10m - Scotland</v>
          </cell>
          <cell r="D41">
            <v>13.026</v>
          </cell>
          <cell r="E41">
            <v>0</v>
          </cell>
          <cell r="F41">
            <v>1.4999999999999999E-2</v>
          </cell>
          <cell r="G41">
            <v>1.3779999999999999</v>
          </cell>
          <cell r="H41">
            <v>1.4999999999999999E-2</v>
          </cell>
          <cell r="I41">
            <v>0</v>
          </cell>
          <cell r="J41">
            <v>0</v>
          </cell>
          <cell r="K41">
            <v>37.040999999999997</v>
          </cell>
          <cell r="L41">
            <v>0</v>
          </cell>
          <cell r="M41">
            <v>1E-3</v>
          </cell>
          <cell r="N41">
            <v>0</v>
          </cell>
          <cell r="O41">
            <v>0.623</v>
          </cell>
          <cell r="P41">
            <v>7.0000000000000001E-3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102.89700000000001</v>
          </cell>
          <cell r="AI41">
            <v>0</v>
          </cell>
          <cell r="AJ41">
            <v>2E-3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0.20100000000000001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</row>
        <row r="42">
          <cell r="B42" t="str">
            <v>Under 10m - N.Ireland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3.3E-3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</row>
        <row r="44">
          <cell r="B44" t="str">
            <v>TOTAL</v>
          </cell>
          <cell r="D44">
            <v>3997.4215700021746</v>
          </cell>
          <cell r="E44">
            <v>5337.5226299909828</v>
          </cell>
          <cell r="F44">
            <v>2959.304000007819</v>
          </cell>
          <cell r="G44">
            <v>2637.3849</v>
          </cell>
          <cell r="H44">
            <v>1730.5829699931621</v>
          </cell>
          <cell r="I44">
            <v>90.767600000000016</v>
          </cell>
          <cell r="J44">
            <v>557.21719999999993</v>
          </cell>
          <cell r="K44">
            <v>1385.8226000061034</v>
          </cell>
          <cell r="L44">
            <v>143.66669999999999</v>
          </cell>
          <cell r="M44">
            <v>2067.1394300185207</v>
          </cell>
          <cell r="N44">
            <v>245.89710000000005</v>
          </cell>
          <cell r="O44">
            <v>153.14130000076298</v>
          </cell>
          <cell r="P44">
            <v>86.614349997901911</v>
          </cell>
          <cell r="Q44">
            <v>22.855</v>
          </cell>
          <cell r="R44">
            <v>0.23100000000000001</v>
          </cell>
          <cell r="S44">
            <v>274.20046000132561</v>
          </cell>
          <cell r="T44">
            <v>46.006779997658725</v>
          </cell>
          <cell r="U44">
            <v>21.4954</v>
          </cell>
          <cell r="V44">
            <v>0</v>
          </cell>
          <cell r="W44">
            <v>1.7399999999999999E-2</v>
          </cell>
          <cell r="X44">
            <v>6.2549999999999999</v>
          </cell>
          <cell r="Y44">
            <v>59.547800000000009</v>
          </cell>
          <cell r="Z44">
            <v>297.94499999999999</v>
          </cell>
          <cell r="AA44">
            <v>565.76060000000007</v>
          </cell>
          <cell r="AB44">
            <v>39.251199999999997</v>
          </cell>
          <cell r="AC44">
            <v>994.04490000000021</v>
          </cell>
          <cell r="AD44">
            <v>9.411900000000001</v>
          </cell>
          <cell r="AE44">
            <v>1.9E-2</v>
          </cell>
          <cell r="AF44">
            <v>1355.14</v>
          </cell>
          <cell r="AG44">
            <v>918.96580000152562</v>
          </cell>
          <cell r="AH44">
            <v>845.52189999999996</v>
          </cell>
          <cell r="AI44">
            <v>251.46170000000001</v>
          </cell>
          <cell r="AJ44">
            <v>8.6068999999999996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5.9110999999999994</v>
          </cell>
          <cell r="AT44">
            <v>498.41740000000004</v>
          </cell>
          <cell r="AU44">
            <v>14.504</v>
          </cell>
          <cell r="AV44">
            <v>599.41729999999995</v>
          </cell>
          <cell r="AW44">
            <v>41.682000000000002</v>
          </cell>
          <cell r="AX44">
            <v>0</v>
          </cell>
          <cell r="AY44">
            <v>2.0470000000000002</v>
          </cell>
          <cell r="AZ44">
            <v>9.74</v>
          </cell>
          <cell r="BA44">
            <v>0</v>
          </cell>
          <cell r="BB44">
            <v>3.8E-3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0.59899999999999998</v>
          </cell>
          <cell r="BH44">
            <v>36.714500000000001</v>
          </cell>
          <cell r="BI44">
            <v>0</v>
          </cell>
          <cell r="BJ44">
            <v>0</v>
          </cell>
          <cell r="BK44">
            <v>0.108</v>
          </cell>
          <cell r="BL44">
            <v>6.004900000000001</v>
          </cell>
          <cell r="BM44">
            <v>4.3954000000000004</v>
          </cell>
          <cell r="BN44">
            <v>0</v>
          </cell>
          <cell r="BO44">
            <v>5.6204999999999998</v>
          </cell>
          <cell r="BP44">
            <v>112.24199999999999</v>
          </cell>
        </row>
        <row r="55">
          <cell r="B55">
            <v>43180</v>
          </cell>
          <cell r="D55" t="str">
            <v>NS Cod</v>
          </cell>
          <cell r="E55" t="str">
            <v>NS Had</v>
          </cell>
          <cell r="F55" t="str">
            <v>NS Whi</v>
          </cell>
          <cell r="G55" t="str">
            <v>NS Sai</v>
          </cell>
          <cell r="H55" t="str">
            <v>NS Plai</v>
          </cell>
          <cell r="I55" t="str">
            <v>NS Sole</v>
          </cell>
          <cell r="J55" t="str">
            <v>NS Hake</v>
          </cell>
          <cell r="K55" t="str">
            <v>NS Neph</v>
          </cell>
          <cell r="L55" t="str">
            <v>Nor Oth</v>
          </cell>
          <cell r="M55" t="str">
            <v>NS Monk</v>
          </cell>
          <cell r="N55" t="str">
            <v>NS Meg</v>
          </cell>
          <cell r="O55" t="str">
            <v>NS Ska/Ray</v>
          </cell>
          <cell r="P55" t="str">
            <v>NS Lem</v>
          </cell>
          <cell r="Q55" t="str">
            <v>NS Dabs</v>
          </cell>
          <cell r="R55" t="str">
            <v>NS Flo</v>
          </cell>
          <cell r="S55" t="str">
            <v>NS Wit</v>
          </cell>
          <cell r="T55" t="str">
            <v>NS Tur</v>
          </cell>
          <cell r="U55" t="str">
            <v>NS Bri</v>
          </cell>
          <cell r="V55" t="str">
            <v>NS Dogs</v>
          </cell>
          <cell r="W55" t="str">
            <v>Northern Prawn</v>
          </cell>
          <cell r="X55" t="str">
            <v>Cod VIb</v>
          </cell>
          <cell r="Y55" t="str">
            <v>Cod VIa</v>
          </cell>
          <cell r="Z55" t="str">
            <v xml:space="preserve">WS Had VIb, XII, XIV </v>
          </cell>
          <cell r="AA55" t="str">
            <v>Had VIa, Vb (EC)</v>
          </cell>
          <cell r="AB55" t="str">
            <v>WS Whi</v>
          </cell>
          <cell r="AC55" t="str">
            <v>WS Sai</v>
          </cell>
          <cell r="AD55" t="str">
            <v>WS Plai</v>
          </cell>
          <cell r="AE55" t="str">
            <v>WS Sole</v>
          </cell>
          <cell r="AF55" t="str">
            <v>WS Hake</v>
          </cell>
          <cell r="AG55" t="str">
            <v>WS Monk</v>
          </cell>
          <cell r="AH55" t="str">
            <v>WS Neph</v>
          </cell>
          <cell r="AI55" t="str">
            <v>WS Meg</v>
          </cell>
          <cell r="AJ55" t="str">
            <v>WS Poll</v>
          </cell>
          <cell r="AK55" t="str">
            <v>G Hal II,IV,VI</v>
          </cell>
          <cell r="AL55" t="str">
            <v>Far Cod/Had</v>
          </cell>
          <cell r="AM55" t="str">
            <v>Far Saithe</v>
          </cell>
          <cell r="AN55" t="str">
            <v>Far Red</v>
          </cell>
          <cell r="AO55" t="str">
            <v>Far Ling</v>
          </cell>
          <cell r="AP55" t="str">
            <v>Far Flat</v>
          </cell>
          <cell r="AQ55" t="str">
            <v>Far Oth</v>
          </cell>
          <cell r="AR55" t="str">
            <v>Far Blue Whiting</v>
          </cell>
          <cell r="AS55" t="str">
            <v>TUS4</v>
          </cell>
          <cell r="AT55" t="str">
            <v>LIN4</v>
          </cell>
          <cell r="AU55" t="str">
            <v>TUS567</v>
          </cell>
          <cell r="AV55" t="str">
            <v>LIN714</v>
          </cell>
          <cell r="AW55" t="str">
            <v>BS5678</v>
          </cell>
          <cell r="AX55" t="str">
            <v>ARG567</v>
          </cell>
          <cell r="AY55" t="str">
            <v>RG5B67</v>
          </cell>
          <cell r="AZ55" t="str">
            <v>BL67</v>
          </cell>
          <cell r="BA55" t="str">
            <v>ARG1_2</v>
          </cell>
          <cell r="BB55" t="str">
            <v>SHA5_9</v>
          </cell>
          <cell r="BC55" t="str">
            <v>SHA12</v>
          </cell>
          <cell r="BD55" t="str">
            <v>ALFDSS</v>
          </cell>
          <cell r="BE55" t="str">
            <v>RNGDSS</v>
          </cell>
          <cell r="BF55" t="str">
            <v>ORYDSS</v>
          </cell>
          <cell r="BG55" t="str">
            <v>GFB1_4</v>
          </cell>
          <cell r="BH55" t="str">
            <v>GFB5_7</v>
          </cell>
          <cell r="BI55" t="str">
            <v>GFB1012</v>
          </cell>
          <cell r="BJ55" t="str">
            <v>Ice Red</v>
          </cell>
          <cell r="BK55" t="str">
            <v>NORUSK</v>
          </cell>
          <cell r="BL55" t="str">
            <v>NORMON</v>
          </cell>
          <cell r="BM55" t="str">
            <v>NORLIN</v>
          </cell>
          <cell r="BN55" t="str">
            <v>NORNEP</v>
          </cell>
          <cell r="BO55" t="str">
            <v>WSDGS</v>
          </cell>
          <cell r="BP55" t="str">
            <v>WSHADN</v>
          </cell>
        </row>
        <row r="56">
          <cell r="D56">
            <v>3</v>
          </cell>
          <cell r="E56">
            <v>4</v>
          </cell>
          <cell r="F56">
            <v>5</v>
          </cell>
          <cell r="G56">
            <v>6</v>
          </cell>
          <cell r="H56">
            <v>7</v>
          </cell>
          <cell r="I56">
            <v>8</v>
          </cell>
          <cell r="J56">
            <v>9</v>
          </cell>
          <cell r="K56">
            <v>10</v>
          </cell>
          <cell r="L56">
            <v>11</v>
          </cell>
          <cell r="M56">
            <v>12</v>
          </cell>
          <cell r="N56">
            <v>13</v>
          </cell>
          <cell r="O56">
            <v>14</v>
          </cell>
          <cell r="P56">
            <v>15</v>
          </cell>
          <cell r="Q56">
            <v>16</v>
          </cell>
          <cell r="R56">
            <v>17</v>
          </cell>
          <cell r="S56">
            <v>18</v>
          </cell>
          <cell r="T56">
            <v>19</v>
          </cell>
          <cell r="U56">
            <v>20</v>
          </cell>
          <cell r="V56">
            <v>21</v>
          </cell>
          <cell r="W56">
            <v>22</v>
          </cell>
          <cell r="X56">
            <v>23</v>
          </cell>
          <cell r="Y56">
            <v>24</v>
          </cell>
          <cell r="Z56">
            <v>25</v>
          </cell>
          <cell r="AA56">
            <v>26</v>
          </cell>
          <cell r="AB56">
            <v>27</v>
          </cell>
          <cell r="AC56">
            <v>28</v>
          </cell>
          <cell r="AD56">
            <v>29</v>
          </cell>
          <cell r="AE56">
            <v>30</v>
          </cell>
          <cell r="AF56">
            <v>31</v>
          </cell>
          <cell r="AG56">
            <v>32</v>
          </cell>
          <cell r="AH56">
            <v>33</v>
          </cell>
          <cell r="AI56">
            <v>34</v>
          </cell>
          <cell r="AJ56">
            <v>35</v>
          </cell>
          <cell r="AK56">
            <v>36</v>
          </cell>
          <cell r="AL56">
            <v>37</v>
          </cell>
          <cell r="AM56">
            <v>38</v>
          </cell>
          <cell r="AN56">
            <v>39</v>
          </cell>
          <cell r="AO56">
            <v>40</v>
          </cell>
          <cell r="AP56">
            <v>41</v>
          </cell>
          <cell r="AQ56">
            <v>42</v>
          </cell>
          <cell r="AR56">
            <v>43</v>
          </cell>
          <cell r="AS56">
            <v>44</v>
          </cell>
          <cell r="AT56">
            <v>45</v>
          </cell>
          <cell r="AU56">
            <v>46</v>
          </cell>
          <cell r="AV56">
            <v>47</v>
          </cell>
          <cell r="AW56">
            <v>48</v>
          </cell>
          <cell r="AX56">
            <v>49</v>
          </cell>
          <cell r="AY56">
            <v>50</v>
          </cell>
          <cell r="AZ56">
            <v>51</v>
          </cell>
          <cell r="BA56">
            <v>52</v>
          </cell>
          <cell r="BB56">
            <v>53</v>
          </cell>
          <cell r="BC56">
            <v>54</v>
          </cell>
          <cell r="BD56">
            <v>55</v>
          </cell>
          <cell r="BE56">
            <v>56</v>
          </cell>
          <cell r="BF56">
            <v>57</v>
          </cell>
          <cell r="BG56">
            <v>58</v>
          </cell>
          <cell r="BH56">
            <v>59</v>
          </cell>
          <cell r="BI56">
            <v>60</v>
          </cell>
          <cell r="BJ56">
            <v>61</v>
          </cell>
          <cell r="BK56">
            <v>62</v>
          </cell>
          <cell r="BL56">
            <v>63</v>
          </cell>
          <cell r="BM56">
            <v>64</v>
          </cell>
          <cell r="BN56">
            <v>65</v>
          </cell>
          <cell r="BO56">
            <v>66</v>
          </cell>
        </row>
        <row r="57">
          <cell r="B57" t="str">
            <v>SFO</v>
          </cell>
          <cell r="D57">
            <v>769.40791000671379</v>
          </cell>
          <cell r="E57">
            <v>1592.8601699877502</v>
          </cell>
          <cell r="F57">
            <v>760.14310000686646</v>
          </cell>
          <cell r="G57">
            <v>411.25099999999998</v>
          </cell>
          <cell r="H57">
            <v>34.39504999995232</v>
          </cell>
          <cell r="I57">
            <v>1E-3</v>
          </cell>
          <cell r="J57">
            <v>118.9935</v>
          </cell>
          <cell r="K57">
            <v>549.56550000000004</v>
          </cell>
          <cell r="L57">
            <v>60.564</v>
          </cell>
          <cell r="M57">
            <v>963.93764001569753</v>
          </cell>
          <cell r="N57">
            <v>59.765999999999998</v>
          </cell>
          <cell r="O57">
            <v>26.594200000762939</v>
          </cell>
          <cell r="P57">
            <v>19.2056</v>
          </cell>
          <cell r="Q57">
            <v>2.3969999999999998</v>
          </cell>
          <cell r="R57">
            <v>0</v>
          </cell>
          <cell r="S57">
            <v>172.02128000106811</v>
          </cell>
          <cell r="T57">
            <v>1.8180999977111818</v>
          </cell>
          <cell r="U57">
            <v>0.44500000000000001</v>
          </cell>
          <cell r="V57">
            <v>0</v>
          </cell>
          <cell r="W57">
            <v>0</v>
          </cell>
          <cell r="X57">
            <v>0.62</v>
          </cell>
          <cell r="Y57">
            <v>35.374000000000002</v>
          </cell>
          <cell r="Z57">
            <v>37.613</v>
          </cell>
          <cell r="AA57">
            <v>377.63829999999996</v>
          </cell>
          <cell r="AB57">
            <v>21.991</v>
          </cell>
          <cell r="AC57">
            <v>631.79259999999999</v>
          </cell>
          <cell r="AD57">
            <v>4.3070000000000004</v>
          </cell>
          <cell r="AE57">
            <v>1.2E-2</v>
          </cell>
          <cell r="AF57">
            <v>140.0633</v>
          </cell>
          <cell r="AG57">
            <v>463.09790000152589</v>
          </cell>
          <cell r="AH57">
            <v>367.1071</v>
          </cell>
          <cell r="AI57">
            <v>140.4</v>
          </cell>
          <cell r="AJ57">
            <v>3.4321000000000002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1.2490000000000001</v>
          </cell>
          <cell r="AT57">
            <v>121.78830000000001</v>
          </cell>
          <cell r="AU57">
            <v>5.3760000000000003</v>
          </cell>
          <cell r="AV57">
            <v>211.47110000000001</v>
          </cell>
          <cell r="AW57">
            <v>26.872</v>
          </cell>
          <cell r="AX57">
            <v>0</v>
          </cell>
          <cell r="AY57">
            <v>1.6</v>
          </cell>
          <cell r="AZ57">
            <v>4.6050000000000004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0.58599999999999997</v>
          </cell>
          <cell r="BH57">
            <v>8.9290000000000003</v>
          </cell>
          <cell r="BI57">
            <v>0</v>
          </cell>
          <cell r="BJ57">
            <v>0</v>
          </cell>
          <cell r="BK57">
            <v>0.108</v>
          </cell>
          <cell r="BL57">
            <v>2.5350000000000001</v>
          </cell>
          <cell r="BM57">
            <v>1.1659999999999999</v>
          </cell>
          <cell r="BN57">
            <v>0</v>
          </cell>
          <cell r="BO57">
            <v>0</v>
          </cell>
          <cell r="BP57">
            <v>82.067999999999998</v>
          </cell>
        </row>
        <row r="58">
          <cell r="B58" t="str">
            <v>Aberdeen</v>
          </cell>
          <cell r="D58">
            <v>151.6198</v>
          </cell>
          <cell r="E58">
            <v>212.1473</v>
          </cell>
          <cell r="F58">
            <v>121.9235</v>
          </cell>
          <cell r="G58">
            <v>147.52520000000001</v>
          </cell>
          <cell r="H58">
            <v>8.2623999999999995</v>
          </cell>
          <cell r="I58">
            <v>0</v>
          </cell>
          <cell r="J58">
            <v>5.5857000000000001</v>
          </cell>
          <cell r="K58">
            <v>2.2509999999999999</v>
          </cell>
          <cell r="L58">
            <v>0.27</v>
          </cell>
          <cell r="M58">
            <v>56.111899999999999</v>
          </cell>
          <cell r="N58">
            <v>8.5318000000000005</v>
          </cell>
          <cell r="O58">
            <v>6.8693</v>
          </cell>
          <cell r="P58">
            <v>2.4496000000000002</v>
          </cell>
          <cell r="Q58">
            <v>0</v>
          </cell>
          <cell r="R58">
            <v>0</v>
          </cell>
          <cell r="S58">
            <v>3.9510999999999998</v>
          </cell>
          <cell r="T58">
            <v>0.29359999999999997</v>
          </cell>
          <cell r="U58">
            <v>4.1000000000000003E-3</v>
          </cell>
          <cell r="V58">
            <v>0</v>
          </cell>
          <cell r="W58">
            <v>0</v>
          </cell>
          <cell r="X58">
            <v>0</v>
          </cell>
          <cell r="Y58">
            <v>2.0409999999999999</v>
          </cell>
          <cell r="Z58">
            <v>0</v>
          </cell>
          <cell r="AA58">
            <v>35.561199999999999</v>
          </cell>
          <cell r="AB58">
            <v>2.5489999999999999</v>
          </cell>
          <cell r="AC58">
            <v>20.919799999999999</v>
          </cell>
          <cell r="AD58">
            <v>1.0691999999999999</v>
          </cell>
          <cell r="AE58">
            <v>0</v>
          </cell>
          <cell r="AF58">
            <v>0.54089999999999994</v>
          </cell>
          <cell r="AG58">
            <v>20.775799999999997</v>
          </cell>
          <cell r="AH58">
            <v>0</v>
          </cell>
          <cell r="AI58">
            <v>8.5196000000000005</v>
          </cell>
          <cell r="AJ58">
            <v>0.14349999999999999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0.16800000000000001</v>
          </cell>
          <cell r="AT58">
            <v>13.021799999999999</v>
          </cell>
          <cell r="AU58">
            <v>0</v>
          </cell>
          <cell r="AV58">
            <v>1.1629</v>
          </cell>
          <cell r="AW58">
            <v>0</v>
          </cell>
          <cell r="AX58" t="str">
            <v>*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0.372</v>
          </cell>
          <cell r="BM58">
            <v>0</v>
          </cell>
          <cell r="BN58">
            <v>0</v>
          </cell>
          <cell r="BO58">
            <v>0</v>
          </cell>
          <cell r="BP58">
            <v>16.34</v>
          </cell>
        </row>
        <row r="59">
          <cell r="B59" t="str">
            <v>NESFO</v>
          </cell>
          <cell r="D59">
            <v>476.601</v>
          </cell>
          <cell r="E59">
            <v>685.81100000000004</v>
          </cell>
          <cell r="F59">
            <v>372.43200000000002</v>
          </cell>
          <cell r="G59">
            <v>186.51499999999999</v>
          </cell>
          <cell r="H59">
            <v>19.158999999999999</v>
          </cell>
          <cell r="I59">
            <v>0</v>
          </cell>
          <cell r="J59">
            <v>28.5</v>
          </cell>
          <cell r="K59">
            <v>39.988</v>
          </cell>
          <cell r="L59">
            <v>23.367999999999999</v>
          </cell>
          <cell r="M59">
            <v>163.71199999999999</v>
          </cell>
          <cell r="N59">
            <v>21.548999999999999</v>
          </cell>
          <cell r="O59">
            <v>3.07</v>
          </cell>
          <cell r="P59">
            <v>3.8839999999999999</v>
          </cell>
          <cell r="Q59">
            <v>0</v>
          </cell>
          <cell r="R59">
            <v>0</v>
          </cell>
          <cell r="S59">
            <v>21.469000000000001</v>
          </cell>
          <cell r="T59">
            <v>0.378</v>
          </cell>
          <cell r="U59">
            <v>3.2000000000000001E-2</v>
          </cell>
          <cell r="V59">
            <v>0</v>
          </cell>
          <cell r="W59">
            <v>0</v>
          </cell>
          <cell r="X59">
            <v>0</v>
          </cell>
          <cell r="Y59">
            <v>2.6869999999999998</v>
          </cell>
          <cell r="Z59">
            <v>0</v>
          </cell>
          <cell r="AA59">
            <v>23.646000000000001</v>
          </cell>
          <cell r="AB59">
            <v>2.335</v>
          </cell>
          <cell r="AC59">
            <v>36.103000000000002</v>
          </cell>
          <cell r="AD59">
            <v>1.5089999999999999</v>
          </cell>
          <cell r="AE59">
            <v>0</v>
          </cell>
          <cell r="AF59">
            <v>2.9710000000000001</v>
          </cell>
          <cell r="AG59">
            <v>59.399000000000001</v>
          </cell>
          <cell r="AH59">
            <v>0</v>
          </cell>
          <cell r="AI59">
            <v>44.31</v>
          </cell>
          <cell r="AJ59">
            <v>0.14000000000000001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9.7000000000000003E-2</v>
          </cell>
          <cell r="AT59">
            <v>48.267000000000003</v>
          </cell>
          <cell r="AU59">
            <v>0</v>
          </cell>
          <cell r="AV59">
            <v>3.274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0.34200000000000003</v>
          </cell>
          <cell r="BM59">
            <v>0.246</v>
          </cell>
          <cell r="BN59">
            <v>0</v>
          </cell>
          <cell r="BO59">
            <v>0</v>
          </cell>
          <cell r="BP59">
            <v>0.61099999999999999</v>
          </cell>
        </row>
        <row r="60">
          <cell r="B60" t="str">
            <v>Shetland</v>
          </cell>
          <cell r="D60">
            <v>650.02099999999996</v>
          </cell>
          <cell r="E60">
            <v>631.88300000000004</v>
          </cell>
          <cell r="F60">
            <v>742.71299999999997</v>
          </cell>
          <cell r="G60">
            <v>442.863</v>
          </cell>
          <cell r="H60">
            <v>54.764000000000003</v>
          </cell>
          <cell r="I60">
            <v>0</v>
          </cell>
          <cell r="J60">
            <v>14.818</v>
          </cell>
          <cell r="K60">
            <v>1.226</v>
          </cell>
          <cell r="L60">
            <v>0</v>
          </cell>
          <cell r="M60">
            <v>447.142</v>
          </cell>
          <cell r="N60">
            <v>90.364000000000004</v>
          </cell>
          <cell r="O60">
            <v>34.124000000000002</v>
          </cell>
          <cell r="P60">
            <v>18.658999999999999</v>
          </cell>
          <cell r="Q60">
            <v>1.0999999999999999E-2</v>
          </cell>
          <cell r="R60">
            <v>0</v>
          </cell>
          <cell r="S60">
            <v>10.186</v>
          </cell>
          <cell r="T60">
            <v>1.232</v>
          </cell>
          <cell r="U60">
            <v>0.1</v>
          </cell>
          <cell r="V60">
            <v>0</v>
          </cell>
          <cell r="W60">
            <v>0</v>
          </cell>
          <cell r="X60">
            <v>0</v>
          </cell>
          <cell r="Y60">
            <v>0.28399999999999997</v>
          </cell>
          <cell r="Z60">
            <v>0</v>
          </cell>
          <cell r="AA60">
            <v>0</v>
          </cell>
          <cell r="AB60">
            <v>0.159</v>
          </cell>
          <cell r="AC60">
            <v>25.542999999999999</v>
          </cell>
          <cell r="AD60">
            <v>0</v>
          </cell>
          <cell r="AE60">
            <v>0</v>
          </cell>
          <cell r="AF60">
            <v>0.36299999999999999</v>
          </cell>
          <cell r="AG60">
            <v>16.329999999999998</v>
          </cell>
          <cell r="AH60">
            <v>0</v>
          </cell>
          <cell r="AI60">
            <v>2.1669999999999998</v>
          </cell>
          <cell r="AJ60">
            <v>3.3000000000000002E-2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1.823</v>
          </cell>
          <cell r="AT60">
            <v>133.40600000000001</v>
          </cell>
          <cell r="AU60">
            <v>0</v>
          </cell>
          <cell r="AV60">
            <v>4.0460000000000003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2.2799999999999998</v>
          </cell>
        </row>
        <row r="61">
          <cell r="B61" t="str">
            <v>Fife</v>
          </cell>
          <cell r="D61">
            <v>18.39479999694824</v>
          </cell>
          <cell r="E61">
            <v>44.807749999999999</v>
          </cell>
          <cell r="F61">
            <v>41.619400000000006</v>
          </cell>
          <cell r="G61">
            <v>2.661</v>
          </cell>
          <cell r="H61">
            <v>136.12608999137879</v>
          </cell>
          <cell r="I61">
            <v>6.7111000000000001</v>
          </cell>
          <cell r="J61">
            <v>0.20499999999999999</v>
          </cell>
          <cell r="K61">
            <v>174.6121000061035</v>
          </cell>
          <cell r="L61">
            <v>0</v>
          </cell>
          <cell r="M61">
            <v>58.647800002670287</v>
          </cell>
          <cell r="N61">
            <v>2.11</v>
          </cell>
          <cell r="O61">
            <v>0.8355999999999999</v>
          </cell>
          <cell r="P61">
            <v>2.1668599983215331</v>
          </cell>
          <cell r="Q61">
            <v>0.115</v>
          </cell>
          <cell r="R61">
            <v>0</v>
          </cell>
          <cell r="S61">
            <v>10.971799999999998</v>
          </cell>
          <cell r="T61">
            <v>3.7381000000000002</v>
          </cell>
          <cell r="U61">
            <v>1.2482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2.4670000000000001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4.3293999999999997</v>
          </cell>
          <cell r="AU61">
            <v>0</v>
          </cell>
          <cell r="AV61">
            <v>0.02</v>
          </cell>
          <cell r="AW61">
            <v>0</v>
          </cell>
          <cell r="AX61" t="str">
            <v>*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</row>
        <row r="62">
          <cell r="B62" t="str">
            <v>West Scotland</v>
          </cell>
          <cell r="D62">
            <v>7.4102999999999994</v>
          </cell>
          <cell r="E62">
            <v>12.4894</v>
          </cell>
          <cell r="F62">
            <v>12.765000000000001</v>
          </cell>
          <cell r="G62">
            <v>3.6819999999999999</v>
          </cell>
          <cell r="H62">
            <v>1.3331999999999999</v>
          </cell>
          <cell r="I62">
            <v>0</v>
          </cell>
          <cell r="J62">
            <v>0.36399999999999999</v>
          </cell>
          <cell r="K62">
            <v>47.078099999999999</v>
          </cell>
          <cell r="L62">
            <v>0</v>
          </cell>
          <cell r="M62">
            <v>15.097699997711182</v>
          </cell>
          <cell r="N62">
            <v>0.91100000000000003</v>
          </cell>
          <cell r="O62">
            <v>0.36420000000000002</v>
          </cell>
          <cell r="P62">
            <v>0.15559999999999999</v>
          </cell>
          <cell r="Q62">
            <v>0.06</v>
          </cell>
          <cell r="R62">
            <v>0</v>
          </cell>
          <cell r="S62">
            <v>3.5364</v>
          </cell>
          <cell r="T62">
            <v>4.1999999999999996E-2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0.27300000000000002</v>
          </cell>
          <cell r="Z62">
            <v>0</v>
          </cell>
          <cell r="AA62">
            <v>4.375</v>
          </cell>
          <cell r="AB62">
            <v>2.5000000000000001E-2</v>
          </cell>
          <cell r="AC62">
            <v>0.97599999999999998</v>
          </cell>
          <cell r="AD62">
            <v>5.5E-2</v>
          </cell>
          <cell r="AE62">
            <v>7.0000000000000001E-3</v>
          </cell>
          <cell r="AF62">
            <v>0.28899999999999998</v>
          </cell>
          <cell r="AG62">
            <v>8.3580000000000005</v>
          </cell>
          <cell r="AH62">
            <v>89.144999999999996</v>
          </cell>
          <cell r="AI62">
            <v>3.4769999999999999</v>
          </cell>
          <cell r="AJ62">
            <v>0.14000000000000001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1.3924000000000001</v>
          </cell>
          <cell r="AU62">
            <v>0</v>
          </cell>
          <cell r="AV62">
            <v>0.01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</row>
        <row r="63">
          <cell r="B63" t="str">
            <v>Orkney</v>
          </cell>
          <cell r="D63">
            <v>68.540000000000006</v>
          </cell>
          <cell r="E63">
            <v>243.97200000000001</v>
          </cell>
          <cell r="F63">
            <v>17.855</v>
          </cell>
          <cell r="G63">
            <v>27.22</v>
          </cell>
          <cell r="H63">
            <v>2.988</v>
          </cell>
          <cell r="I63">
            <v>0</v>
          </cell>
          <cell r="J63">
            <v>4.6420000000000003</v>
          </cell>
          <cell r="K63">
            <v>11.516999999999999</v>
          </cell>
          <cell r="L63">
            <v>4.3070000000000004</v>
          </cell>
          <cell r="M63">
            <v>20.010000000000002</v>
          </cell>
          <cell r="N63">
            <v>2.6019999999999999</v>
          </cell>
          <cell r="O63">
            <v>3.5630000000000002</v>
          </cell>
          <cell r="P63">
            <v>2.621</v>
          </cell>
          <cell r="Q63">
            <v>0</v>
          </cell>
          <cell r="R63">
            <v>0</v>
          </cell>
          <cell r="S63">
            <v>5.6000000000000001E-2</v>
          </cell>
          <cell r="T63">
            <v>0.20899999999999999</v>
          </cell>
          <cell r="U63">
            <v>1.2E-2</v>
          </cell>
          <cell r="V63">
            <v>0</v>
          </cell>
          <cell r="W63">
            <v>0</v>
          </cell>
          <cell r="X63">
            <v>2.64</v>
          </cell>
          <cell r="Y63">
            <v>1.823</v>
          </cell>
          <cell r="Z63">
            <v>73.698999999999998</v>
          </cell>
          <cell r="AA63">
            <v>47.22</v>
          </cell>
          <cell r="AB63">
            <v>3.2789999999999999</v>
          </cell>
          <cell r="AC63">
            <v>34.851999999999997</v>
          </cell>
          <cell r="AD63">
            <v>4.2000000000000003E-2</v>
          </cell>
          <cell r="AE63">
            <v>0</v>
          </cell>
          <cell r="AF63">
            <v>2.6579999999999999</v>
          </cell>
          <cell r="AG63">
            <v>19.988</v>
          </cell>
          <cell r="AH63">
            <v>11.693</v>
          </cell>
          <cell r="AI63">
            <v>2.327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0.91</v>
          </cell>
          <cell r="AT63">
            <v>6.3209999999999997</v>
          </cell>
          <cell r="AU63">
            <v>0.47</v>
          </cell>
          <cell r="AV63">
            <v>12.103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0.67900000000000005</v>
          </cell>
          <cell r="BM63">
            <v>0.42399999999999999</v>
          </cell>
          <cell r="BN63">
            <v>0</v>
          </cell>
          <cell r="BO63">
            <v>0</v>
          </cell>
          <cell r="BP63">
            <v>0.112</v>
          </cell>
        </row>
        <row r="64">
          <cell r="B64" t="str">
            <v>Northern</v>
          </cell>
          <cell r="D64">
            <v>36.286199999999994</v>
          </cell>
          <cell r="E64">
            <v>86.615300000000005</v>
          </cell>
          <cell r="F64">
            <v>41.224800000000002</v>
          </cell>
          <cell r="G64">
            <v>23.699000000000002</v>
          </cell>
          <cell r="H64">
            <v>1.335</v>
          </cell>
          <cell r="I64">
            <v>0</v>
          </cell>
          <cell r="J64">
            <v>94.251999999999995</v>
          </cell>
          <cell r="K64">
            <v>52.703000000000003</v>
          </cell>
          <cell r="L64">
            <v>0</v>
          </cell>
          <cell r="M64">
            <v>21.000299994659425</v>
          </cell>
          <cell r="N64">
            <v>0.42399999999999999</v>
          </cell>
          <cell r="O64">
            <v>0.19400000000000001</v>
          </cell>
          <cell r="P64">
            <v>0.749</v>
          </cell>
          <cell r="Q64">
            <v>0</v>
          </cell>
          <cell r="R64">
            <v>0</v>
          </cell>
          <cell r="S64">
            <v>6.2870999999999997</v>
          </cell>
          <cell r="T64">
            <v>0.03</v>
          </cell>
          <cell r="U64">
            <v>2.8000000000000001E-2</v>
          </cell>
          <cell r="V64">
            <v>0</v>
          </cell>
          <cell r="W64">
            <v>0</v>
          </cell>
          <cell r="X64">
            <v>0</v>
          </cell>
          <cell r="Y64">
            <v>4.7E-2</v>
          </cell>
          <cell r="Z64">
            <v>0</v>
          </cell>
          <cell r="AA64">
            <v>0.97299999999999998</v>
          </cell>
          <cell r="AB64">
            <v>0</v>
          </cell>
          <cell r="AC64">
            <v>0</v>
          </cell>
          <cell r="AD64">
            <v>9.1999999999999998E-2</v>
          </cell>
          <cell r="AE64">
            <v>0</v>
          </cell>
          <cell r="AF64">
            <v>103.71299999999999</v>
          </cell>
          <cell r="AG64">
            <v>0.95199999999999996</v>
          </cell>
          <cell r="AH64">
            <v>46.692999999999998</v>
          </cell>
          <cell r="AI64">
            <v>9.2999999999999999E-2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27.673999999999999</v>
          </cell>
          <cell r="AU64">
            <v>0.92600000000000005</v>
          </cell>
          <cell r="AV64">
            <v>54.113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3.7130000000000001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</row>
        <row r="65">
          <cell r="B65" t="str">
            <v>Klondyke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</row>
        <row r="66">
          <cell r="B66" t="str">
            <v>Lunar</v>
          </cell>
          <cell r="D66">
            <v>197.226</v>
          </cell>
          <cell r="E66">
            <v>126.994</v>
          </cell>
          <cell r="F66">
            <v>17.504000000000001</v>
          </cell>
          <cell r="G66">
            <v>86.043999999999997</v>
          </cell>
          <cell r="H66">
            <v>1.1919999999999999</v>
          </cell>
          <cell r="I66">
            <v>0</v>
          </cell>
          <cell r="J66">
            <v>4.6980000000000004</v>
          </cell>
          <cell r="K66">
            <v>0</v>
          </cell>
          <cell r="L66">
            <v>0</v>
          </cell>
          <cell r="M66">
            <v>2.4969999999999999</v>
          </cell>
          <cell r="N66">
            <v>0.13800000000000001</v>
          </cell>
          <cell r="O66">
            <v>0</v>
          </cell>
          <cell r="P66">
            <v>0.442</v>
          </cell>
          <cell r="Q66">
            <v>0</v>
          </cell>
          <cell r="R66">
            <v>0</v>
          </cell>
          <cell r="S66">
            <v>0.42699999999999999</v>
          </cell>
          <cell r="T66">
            <v>3.2000000000000001E-2</v>
          </cell>
          <cell r="U66">
            <v>4.3999999999999997E-2</v>
          </cell>
          <cell r="V66">
            <v>0</v>
          </cell>
          <cell r="W66">
            <v>0</v>
          </cell>
          <cell r="X66">
            <v>0</v>
          </cell>
          <cell r="Y66">
            <v>0.39800000000000002</v>
          </cell>
          <cell r="Z66">
            <v>0</v>
          </cell>
          <cell r="AA66">
            <v>0.14099999999999999</v>
          </cell>
          <cell r="AB66">
            <v>0.24299999999999999</v>
          </cell>
          <cell r="AC66">
            <v>52.173000000000002</v>
          </cell>
          <cell r="AD66">
            <v>0</v>
          </cell>
          <cell r="AE66">
            <v>0</v>
          </cell>
          <cell r="AF66">
            <v>5.42</v>
          </cell>
          <cell r="AG66">
            <v>6.0999999999999999E-2</v>
          </cell>
          <cell r="AH66">
            <v>0</v>
          </cell>
          <cell r="AI66">
            <v>0</v>
          </cell>
          <cell r="AJ66">
            <v>9.5000000000000001E-2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2.9000000000000001E-2</v>
          </cell>
          <cell r="AT66">
            <v>1.345</v>
          </cell>
          <cell r="AU66">
            <v>0</v>
          </cell>
          <cell r="AV66">
            <v>0.433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1.762</v>
          </cell>
        </row>
        <row r="67">
          <cell r="B67" t="str">
            <v>Anglo Scottish</v>
          </cell>
          <cell r="D67">
            <v>78.442859998512262</v>
          </cell>
          <cell r="E67">
            <v>386.9732700021267</v>
          </cell>
          <cell r="F67">
            <v>95.586900000953705</v>
          </cell>
          <cell r="G67">
            <v>48.553699999999999</v>
          </cell>
          <cell r="H67">
            <v>5.3523000011444086</v>
          </cell>
          <cell r="I67">
            <v>9.69E-2</v>
          </cell>
          <cell r="J67">
            <v>0.2923</v>
          </cell>
          <cell r="K67">
            <v>189.21340000000001</v>
          </cell>
          <cell r="L67">
            <v>6.8659999999999997</v>
          </cell>
          <cell r="M67">
            <v>19.122120009231569</v>
          </cell>
          <cell r="N67">
            <v>4.2640000000000002</v>
          </cell>
          <cell r="O67">
            <v>0.74590000000000001</v>
          </cell>
          <cell r="P67">
            <v>1.1648999994277949</v>
          </cell>
          <cell r="Q67">
            <v>0</v>
          </cell>
          <cell r="R67">
            <v>0</v>
          </cell>
          <cell r="S67">
            <v>3.9713800002574922</v>
          </cell>
          <cell r="T67">
            <v>0.73077999994754805</v>
          </cell>
          <cell r="U67">
            <v>0.18220000000000003</v>
          </cell>
          <cell r="V67">
            <v>0</v>
          </cell>
          <cell r="W67">
            <v>0</v>
          </cell>
          <cell r="X67">
            <v>1.47</v>
          </cell>
          <cell r="Y67">
            <v>0.67200000000000004</v>
          </cell>
          <cell r="Z67">
            <v>36.585999999999999</v>
          </cell>
          <cell r="AA67">
            <v>0.16400000000000001</v>
          </cell>
          <cell r="AB67">
            <v>0.92</v>
          </cell>
          <cell r="AC67">
            <v>14.029</v>
          </cell>
          <cell r="AD67">
            <v>9.5000000000000001E-2</v>
          </cell>
          <cell r="AE67">
            <v>0</v>
          </cell>
          <cell r="AF67">
            <v>0.14699999999999999</v>
          </cell>
          <cell r="AG67">
            <v>7.5679999999999996</v>
          </cell>
          <cell r="AH67">
            <v>0.38100000000000001</v>
          </cell>
          <cell r="AI67">
            <v>1.0009999999999999</v>
          </cell>
          <cell r="AJ67">
            <v>5.2999999999999999E-2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1.0999999999999999E-2</v>
          </cell>
          <cell r="AT67">
            <v>4.9453000000000005</v>
          </cell>
          <cell r="AU67">
            <v>0</v>
          </cell>
          <cell r="AV67">
            <v>3.077</v>
          </cell>
          <cell r="AW67">
            <v>0</v>
          </cell>
          <cell r="AX67" t="str">
            <v>*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1.04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</row>
        <row r="68">
          <cell r="B68" t="str">
            <v>EEFPO</v>
          </cell>
          <cell r="D68">
            <v>498.70249999999999</v>
          </cell>
          <cell r="E68">
            <v>510.72099999999995</v>
          </cell>
          <cell r="F68">
            <v>254.85870000000003</v>
          </cell>
          <cell r="G68">
            <v>195.89850000000001</v>
          </cell>
          <cell r="H68">
            <v>22.6035</v>
          </cell>
          <cell r="I68">
            <v>1.0999999999999999E-2</v>
          </cell>
          <cell r="J68">
            <v>22.6157</v>
          </cell>
          <cell r="K68">
            <v>12.715299999999999</v>
          </cell>
          <cell r="L68">
            <v>44.338299999999997</v>
          </cell>
          <cell r="M68">
            <v>78.688199999999995</v>
          </cell>
          <cell r="N68">
            <v>15.0116</v>
          </cell>
          <cell r="O68">
            <v>3.9657</v>
          </cell>
          <cell r="P68">
            <v>7.3864000000000001</v>
          </cell>
          <cell r="Q68">
            <v>0</v>
          </cell>
          <cell r="R68">
            <v>0</v>
          </cell>
          <cell r="S68">
            <v>6.0537000000000001</v>
          </cell>
          <cell r="T68">
            <v>0.76170000000000004</v>
          </cell>
          <cell r="U68">
            <v>0.17430000000000001</v>
          </cell>
          <cell r="V68">
            <v>0</v>
          </cell>
          <cell r="W68">
            <v>1.7399999999999999E-2</v>
          </cell>
          <cell r="X68">
            <v>0</v>
          </cell>
          <cell r="Y68">
            <v>0.4446</v>
          </cell>
          <cell r="Z68">
            <v>0</v>
          </cell>
          <cell r="AA68">
            <v>1.556</v>
          </cell>
          <cell r="AB68">
            <v>0.8972</v>
          </cell>
          <cell r="AC68">
            <v>25.943100000000001</v>
          </cell>
          <cell r="AD68">
            <v>0.1535</v>
          </cell>
          <cell r="AE68">
            <v>0</v>
          </cell>
          <cell r="AF68">
            <v>0</v>
          </cell>
          <cell r="AG68">
            <v>5.6417999999999999</v>
          </cell>
          <cell r="AH68">
            <v>4.0940000000000003</v>
          </cell>
          <cell r="AI68">
            <v>1.2819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26.382899999999999</v>
          </cell>
          <cell r="AU68">
            <v>0</v>
          </cell>
          <cell r="AV68">
            <v>0.1026</v>
          </cell>
          <cell r="AW68">
            <v>0</v>
          </cell>
          <cell r="AX68" t="str">
            <v>*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0.64179999999999993</v>
          </cell>
          <cell r="BM68">
            <v>1.2710000000000001</v>
          </cell>
          <cell r="BN68">
            <v>0</v>
          </cell>
          <cell r="BO68">
            <v>0</v>
          </cell>
          <cell r="BP68">
            <v>0</v>
          </cell>
        </row>
        <row r="69">
          <cell r="B69" t="str">
            <v>Fleetwood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 t="str">
            <v>*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</row>
        <row r="70">
          <cell r="B70" t="str">
            <v>FPO</v>
          </cell>
          <cell r="D70">
            <v>12.739800000000001</v>
          </cell>
          <cell r="E70">
            <v>12.4544</v>
          </cell>
          <cell r="F70">
            <v>8.1981999999999999</v>
          </cell>
          <cell r="G70">
            <v>594.99109999999996</v>
          </cell>
          <cell r="H70">
            <v>8.5699999999999998E-2</v>
          </cell>
          <cell r="I70">
            <v>0</v>
          </cell>
          <cell r="J70">
            <v>14.2737</v>
          </cell>
          <cell r="K70">
            <v>0</v>
          </cell>
          <cell r="L70">
            <v>0</v>
          </cell>
          <cell r="M70">
            <v>3.5236000000000001</v>
          </cell>
          <cell r="N70">
            <v>2.4802</v>
          </cell>
          <cell r="O70">
            <v>0</v>
          </cell>
          <cell r="P70">
            <v>0.13569999999999999</v>
          </cell>
          <cell r="Q70">
            <v>0</v>
          </cell>
          <cell r="R70">
            <v>0</v>
          </cell>
          <cell r="S70">
            <v>0.1991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1.0672999999999999</v>
          </cell>
          <cell r="AT70">
            <v>9.1809999999999992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</row>
        <row r="71">
          <cell r="B71" t="str">
            <v>NIFPO</v>
          </cell>
          <cell r="D71">
            <v>166.1592</v>
          </cell>
          <cell r="E71">
            <v>146.03039999999999</v>
          </cell>
          <cell r="F71">
            <v>42.78</v>
          </cell>
          <cell r="G71">
            <v>60.003399999999999</v>
          </cell>
          <cell r="H71">
            <v>3.8761000000000001</v>
          </cell>
          <cell r="I71">
            <v>1.2699999999999999E-2</v>
          </cell>
          <cell r="J71">
            <v>64.907799999999995</v>
          </cell>
          <cell r="K71">
            <v>63.7791</v>
          </cell>
          <cell r="L71">
            <v>0.99109999999999998</v>
          </cell>
          <cell r="M71">
            <v>41.6265</v>
          </cell>
          <cell r="N71">
            <v>3.2633000000000001</v>
          </cell>
          <cell r="O71">
            <v>0.87090000000000001</v>
          </cell>
          <cell r="P71">
            <v>5.3117000000000001</v>
          </cell>
          <cell r="Q71">
            <v>0</v>
          </cell>
          <cell r="R71">
            <v>0</v>
          </cell>
          <cell r="S71">
            <v>1.7435999999999998</v>
          </cell>
          <cell r="T71">
            <v>0.11600000000000001</v>
          </cell>
          <cell r="U71">
            <v>3.78E-2</v>
          </cell>
          <cell r="V71">
            <v>0</v>
          </cell>
          <cell r="W71">
            <v>0</v>
          </cell>
          <cell r="X71">
            <v>0</v>
          </cell>
          <cell r="Y71">
            <v>1.0371999999999999</v>
          </cell>
          <cell r="Z71">
            <v>0</v>
          </cell>
          <cell r="AA71">
            <v>5.0952999999999999</v>
          </cell>
          <cell r="AB71">
            <v>0</v>
          </cell>
          <cell r="AC71">
            <v>40.025599999999997</v>
          </cell>
          <cell r="AD71">
            <v>0</v>
          </cell>
          <cell r="AE71">
            <v>0</v>
          </cell>
          <cell r="AF71">
            <v>47.428100000000001</v>
          </cell>
          <cell r="AG71">
            <v>15.290199999999999</v>
          </cell>
          <cell r="AH71">
            <v>60.459899999999998</v>
          </cell>
          <cell r="AI71">
            <v>8.8320000000000007</v>
          </cell>
          <cell r="AJ71">
            <v>2.7774999999999999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16.247599999999998</v>
          </cell>
          <cell r="AU71">
            <v>0</v>
          </cell>
          <cell r="AV71">
            <v>25.280200000000004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1.427</v>
          </cell>
          <cell r="BI71">
            <v>0</v>
          </cell>
          <cell r="BJ71">
            <v>0</v>
          </cell>
          <cell r="BK71">
            <v>0</v>
          </cell>
          <cell r="BL71">
            <v>0.4415</v>
          </cell>
          <cell r="BM71">
            <v>0.624</v>
          </cell>
          <cell r="BN71">
            <v>0</v>
          </cell>
          <cell r="BO71">
            <v>0</v>
          </cell>
          <cell r="BP71">
            <v>3.5169999999999999</v>
          </cell>
        </row>
        <row r="72">
          <cell r="B72" t="str">
            <v>ANIFPO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152.9564</v>
          </cell>
          <cell r="K72">
            <v>8.1587999999999994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2.2800000000000001E-2</v>
          </cell>
          <cell r="Z72">
            <v>0</v>
          </cell>
          <cell r="AA72">
            <v>3.5407999999999999</v>
          </cell>
          <cell r="AB72">
            <v>0</v>
          </cell>
          <cell r="AC72">
            <v>8.3000000000000001E-3</v>
          </cell>
          <cell r="AD72">
            <v>0</v>
          </cell>
          <cell r="AE72">
            <v>0</v>
          </cell>
          <cell r="AF72">
            <v>312.50690000000003</v>
          </cell>
          <cell r="AG72">
            <v>7.6700000000000004E-2</v>
          </cell>
          <cell r="AH72">
            <v>14.776899999999999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5.6345000000000001</v>
          </cell>
          <cell r="AU72">
            <v>0</v>
          </cell>
          <cell r="AV72">
            <v>64.425399999999996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0.78480000000000005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</row>
        <row r="73">
          <cell r="B73" t="str">
            <v>Cornish</v>
          </cell>
          <cell r="D73">
            <v>155.92399999999998</v>
          </cell>
          <cell r="E73">
            <v>133.0076</v>
          </cell>
          <cell r="F73">
            <v>69.625100000000003</v>
          </cell>
          <cell r="G73">
            <v>58.896500000000003</v>
          </cell>
          <cell r="H73">
            <v>1.6344000000000001</v>
          </cell>
          <cell r="I73">
            <v>0</v>
          </cell>
          <cell r="J73">
            <v>0.34650000000000003</v>
          </cell>
          <cell r="K73">
            <v>1.8320000000000001</v>
          </cell>
          <cell r="L73">
            <v>0.21590000000000001</v>
          </cell>
          <cell r="M73">
            <v>19.741800000000001</v>
          </cell>
          <cell r="N73">
            <v>1.0024999999999999</v>
          </cell>
          <cell r="O73">
            <v>0.30549999999999999</v>
          </cell>
          <cell r="P73">
            <v>1.0224</v>
          </cell>
          <cell r="Q73">
            <v>0</v>
          </cell>
          <cell r="R73">
            <v>0</v>
          </cell>
          <cell r="S73">
            <v>4.0234000000000005</v>
          </cell>
          <cell r="T73">
            <v>1.0800000000000001E-2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381.42469999999997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5.5352999999999994</v>
          </cell>
          <cell r="AU73">
            <v>0</v>
          </cell>
          <cell r="AV73">
            <v>31.098400000000002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5.4999999999999997E-3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6.8400000000000002E-2</v>
          </cell>
          <cell r="BN73">
            <v>0</v>
          </cell>
          <cell r="BO73">
            <v>5.0724999999999998</v>
          </cell>
          <cell r="BP73">
            <v>0</v>
          </cell>
        </row>
        <row r="74">
          <cell r="B74" t="str">
            <v>South West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0.22570000000000001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2.3193999999999999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</row>
        <row r="75">
          <cell r="B75" t="str">
            <v>North sea</v>
          </cell>
          <cell r="D75">
            <v>11.5656</v>
          </cell>
          <cell r="E75">
            <v>0.11080000000000001</v>
          </cell>
          <cell r="F75">
            <v>0.91310000000000002</v>
          </cell>
          <cell r="G75">
            <v>4.5999999999999999E-3</v>
          </cell>
          <cell r="H75">
            <v>758.47659999999996</v>
          </cell>
          <cell r="I75">
            <v>22.174700000000001</v>
          </cell>
          <cell r="J75">
            <v>0</v>
          </cell>
          <cell r="K75">
            <v>1.2609999999999999</v>
          </cell>
          <cell r="L75">
            <v>0</v>
          </cell>
          <cell r="M75">
            <v>0.17899999999999999</v>
          </cell>
          <cell r="N75">
            <v>0</v>
          </cell>
          <cell r="O75">
            <v>3.6028000000000002</v>
          </cell>
          <cell r="P75">
            <v>4.5161999999999995</v>
          </cell>
          <cell r="Q75">
            <v>14.984999999999999</v>
          </cell>
          <cell r="R75">
            <v>0.14899999999999999</v>
          </cell>
          <cell r="S75">
            <v>5.1125999999999996</v>
          </cell>
          <cell r="T75">
            <v>15.165299999999998</v>
          </cell>
          <cell r="U75">
            <v>8.8769000000000009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3.3399999999999999E-2</v>
          </cell>
          <cell r="AU75">
            <v>0</v>
          </cell>
          <cell r="AV75">
            <v>2.8500000000000001E-2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</row>
        <row r="76">
          <cell r="B76" t="str">
            <v>Lowestoft</v>
          </cell>
          <cell r="D76">
            <v>3.5070000000000001</v>
          </cell>
          <cell r="E76">
            <v>1.1000000000000001E-3</v>
          </cell>
          <cell r="F76">
            <v>5.7106000000000003</v>
          </cell>
          <cell r="G76">
            <v>0</v>
          </cell>
          <cell r="H76">
            <v>473.25389999999999</v>
          </cell>
          <cell r="I76">
            <v>27.165900000000001</v>
          </cell>
          <cell r="J76">
            <v>0</v>
          </cell>
          <cell r="K76">
            <v>4.9099999999999998E-2</v>
          </cell>
          <cell r="L76">
            <v>0</v>
          </cell>
          <cell r="M76">
            <v>1.3100000000000001E-2</v>
          </cell>
          <cell r="N76">
            <v>0</v>
          </cell>
          <cell r="O76">
            <v>2.1930999999999998</v>
          </cell>
          <cell r="P76">
            <v>4.0204000000000004</v>
          </cell>
          <cell r="Q76">
            <v>0</v>
          </cell>
          <cell r="R76">
            <v>0</v>
          </cell>
          <cell r="S76">
            <v>8.9599999999999999E-2</v>
          </cell>
          <cell r="T76">
            <v>14.2224</v>
          </cell>
          <cell r="U76">
            <v>4.6109999999999998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1.54E-2</v>
          </cell>
          <cell r="AU76">
            <v>0</v>
          </cell>
          <cell r="AV76">
            <v>0</v>
          </cell>
          <cell r="AW76">
            <v>0</v>
          </cell>
          <cell r="AX76" t="str">
            <v>*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</row>
        <row r="77">
          <cell r="B77" t="str">
            <v>Wales &amp; WC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126.11770000000001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39.010400000000004</v>
          </cell>
          <cell r="AW77">
            <v>0</v>
          </cell>
          <cell r="AX77" t="str">
            <v>*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0.99090000000000011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</row>
        <row r="78">
          <cell r="B78" t="str">
            <v>Interfish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3.15E-2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0.16569999999999999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</row>
        <row r="79">
          <cell r="B79" t="str">
            <v>North Atlantic FPO</v>
          </cell>
          <cell r="D79">
            <v>1.3702000000000001</v>
          </cell>
          <cell r="E79">
            <v>0</v>
          </cell>
          <cell r="F79">
            <v>1.7817000000000001</v>
          </cell>
          <cell r="G79">
            <v>0</v>
          </cell>
          <cell r="H79">
            <v>21.5627</v>
          </cell>
          <cell r="I79">
            <v>24.279599999999999</v>
          </cell>
          <cell r="J79">
            <v>0</v>
          </cell>
          <cell r="K79">
            <v>0</v>
          </cell>
          <cell r="L79">
            <v>0</v>
          </cell>
          <cell r="M79">
            <v>3.8699999999999998E-2</v>
          </cell>
          <cell r="N79">
            <v>0</v>
          </cell>
          <cell r="O79">
            <v>1.7645</v>
          </cell>
          <cell r="P79">
            <v>0.17319999999999999</v>
          </cell>
          <cell r="Q79">
            <v>0</v>
          </cell>
          <cell r="R79">
            <v>0</v>
          </cell>
          <cell r="S79">
            <v>0</v>
          </cell>
          <cell r="T79">
            <v>2.0943000000000001</v>
          </cell>
          <cell r="U79">
            <v>3.7966000000000002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0.65469999999999995</v>
          </cell>
          <cell r="AD79">
            <v>0</v>
          </cell>
          <cell r="AE79">
            <v>0</v>
          </cell>
          <cell r="AF79">
            <v>0.58589999999999998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1.8E-3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</row>
        <row r="80">
          <cell r="B80" t="str">
            <v>UK sector Total</v>
          </cell>
          <cell r="D80">
            <v>3303.9181700021736</v>
          </cell>
          <cell r="E80">
            <v>4826.8784899898783</v>
          </cell>
          <cell r="F80">
            <v>2607.6341000078191</v>
          </cell>
          <cell r="G80">
            <v>2289.808</v>
          </cell>
          <cell r="H80">
            <v>1546.3999399924755</v>
          </cell>
          <cell r="I80">
            <v>80.4529</v>
          </cell>
          <cell r="J80">
            <v>527.45059999999989</v>
          </cell>
          <cell r="K80">
            <v>1155.9494000061034</v>
          </cell>
          <cell r="L80">
            <v>140.9203</v>
          </cell>
          <cell r="M80">
            <v>1911.0893600199699</v>
          </cell>
          <cell r="N80">
            <v>212.41740000000001</v>
          </cell>
          <cell r="O80">
            <v>89.062700000762931</v>
          </cell>
          <cell r="P80">
            <v>74.063559997749337</v>
          </cell>
          <cell r="Q80">
            <v>17.567999999999998</v>
          </cell>
          <cell r="R80">
            <v>0.14899999999999999</v>
          </cell>
          <cell r="S80">
            <v>250.09906000132565</v>
          </cell>
          <cell r="T80">
            <v>40.874079997658733</v>
          </cell>
          <cell r="U80">
            <v>19.592099999999999</v>
          </cell>
          <cell r="V80">
            <v>0</v>
          </cell>
          <cell r="W80">
            <v>1.7399999999999999E-2</v>
          </cell>
          <cell r="X80">
            <v>4.7300000000000004</v>
          </cell>
          <cell r="Y80">
            <v>45.1036</v>
          </cell>
          <cell r="Z80">
            <v>147.898</v>
          </cell>
          <cell r="AA80">
            <v>499.91060000000004</v>
          </cell>
          <cell r="AB80">
            <v>32.398199999999996</v>
          </cell>
          <cell r="AC80">
            <v>883.02009999999996</v>
          </cell>
          <cell r="AD80">
            <v>7.3226999999999984</v>
          </cell>
          <cell r="AE80">
            <v>1.9E-2</v>
          </cell>
          <cell r="AF80">
            <v>1124.4857</v>
          </cell>
          <cell r="AG80">
            <v>617.53840000152582</v>
          </cell>
          <cell r="AH80">
            <v>596.81690000000003</v>
          </cell>
          <cell r="AI80">
            <v>212.4085</v>
          </cell>
          <cell r="AJ80">
            <v>6.8140999999999998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5.3543000000000003</v>
          </cell>
          <cell r="AT80">
            <v>425.52210000000002</v>
          </cell>
          <cell r="AU80">
            <v>6.7720000000000002</v>
          </cell>
          <cell r="AV80">
            <v>452.14060000000001</v>
          </cell>
          <cell r="AW80">
            <v>26.872</v>
          </cell>
          <cell r="AX80">
            <v>0</v>
          </cell>
          <cell r="AY80">
            <v>1.6</v>
          </cell>
          <cell r="AZ80">
            <v>4.6050000000000004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0.58599999999999997</v>
          </cell>
          <cell r="BH80">
            <v>15.850200000000003</v>
          </cell>
          <cell r="BI80">
            <v>0</v>
          </cell>
          <cell r="BJ80">
            <v>0</v>
          </cell>
          <cell r="BK80">
            <v>0.108</v>
          </cell>
          <cell r="BL80">
            <v>6.0513000000000003</v>
          </cell>
          <cell r="BM80">
            <v>3.7993999999999999</v>
          </cell>
          <cell r="BN80">
            <v>0</v>
          </cell>
          <cell r="BO80">
            <v>5.0724999999999998</v>
          </cell>
          <cell r="BP80">
            <v>106.69</v>
          </cell>
        </row>
        <row r="82">
          <cell r="B82" t="str">
            <v>Non Sector - England</v>
          </cell>
          <cell r="D82">
            <v>1.9171</v>
          </cell>
          <cell r="E82">
            <v>4.5499999999999999E-2</v>
          </cell>
          <cell r="F82">
            <v>1.0263</v>
          </cell>
          <cell r="G82">
            <v>0</v>
          </cell>
          <cell r="H82">
            <v>0.44190000000000002</v>
          </cell>
          <cell r="I82">
            <v>0.13059999999999999</v>
          </cell>
          <cell r="J82">
            <v>1.1900000000000001E-2</v>
          </cell>
          <cell r="K82">
            <v>7.7</v>
          </cell>
          <cell r="L82">
            <v>0</v>
          </cell>
          <cell r="M82">
            <v>0.13919999999999999</v>
          </cell>
          <cell r="N82">
            <v>0</v>
          </cell>
          <cell r="O82">
            <v>6.1028000000000002</v>
          </cell>
          <cell r="P82">
            <v>6.4199999999999993E-2</v>
          </cell>
          <cell r="Q82">
            <v>0</v>
          </cell>
          <cell r="R82">
            <v>0</v>
          </cell>
          <cell r="S82">
            <v>8.3000000000000001E-3</v>
          </cell>
          <cell r="T82">
            <v>0.18529999999999999</v>
          </cell>
          <cell r="U82">
            <v>1.23E-2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9.5999999999999992E-3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1.9900000000000001E-2</v>
          </cell>
          <cell r="AU82">
            <v>0</v>
          </cell>
          <cell r="AV82">
            <v>0.2596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</row>
        <row r="83">
          <cell r="B83" t="str">
            <v>Non Sector - Wales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</row>
        <row r="84">
          <cell r="B84" t="str">
            <v>Non Sector - Scotland</v>
          </cell>
          <cell r="D84">
            <v>4.1000000000000002E-2</v>
          </cell>
          <cell r="E84">
            <v>7.0000000000000001E-3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34.183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26.605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</row>
        <row r="85">
          <cell r="B85" t="str">
            <v>Non Sector - N.Ireland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</row>
        <row r="87">
          <cell r="B87" t="str">
            <v>Isle of Man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</row>
        <row r="89">
          <cell r="B89" t="str">
            <v>Under 10m - England</v>
          </cell>
          <cell r="D89">
            <v>15.4696</v>
          </cell>
          <cell r="E89">
            <v>1.0324</v>
          </cell>
          <cell r="F89">
            <v>14.6896</v>
          </cell>
          <cell r="G89">
            <v>2.2499999999999999E-2</v>
          </cell>
          <cell r="H89">
            <v>7.3922999999999996</v>
          </cell>
          <cell r="I89">
            <v>2.6985000000000001</v>
          </cell>
          <cell r="J89">
            <v>6.3E-3</v>
          </cell>
          <cell r="K89">
            <v>70.950299999999999</v>
          </cell>
          <cell r="L89">
            <v>0</v>
          </cell>
          <cell r="M89">
            <v>0.88829999999999998</v>
          </cell>
          <cell r="N89">
            <v>0</v>
          </cell>
          <cell r="O89">
            <v>45.103400000000001</v>
          </cell>
          <cell r="P89">
            <v>0.98370000000000002</v>
          </cell>
          <cell r="Q89">
            <v>0</v>
          </cell>
          <cell r="R89">
            <v>0</v>
          </cell>
          <cell r="S89">
            <v>4.0000000000000001E-3</v>
          </cell>
          <cell r="T89">
            <v>0.86639999999999995</v>
          </cell>
          <cell r="U89">
            <v>0.42259999999999998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0.29430000000000001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0.1762</v>
          </cell>
          <cell r="AU89">
            <v>0</v>
          </cell>
          <cell r="AV89">
            <v>11.716200000000001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3.44E-2</v>
          </cell>
          <cell r="BP89">
            <v>0</v>
          </cell>
        </row>
        <row r="90">
          <cell r="B90" t="str">
            <v>Under 10m - Wales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</row>
        <row r="91">
          <cell r="B91" t="str">
            <v>Under 10m - Scotland</v>
          </cell>
          <cell r="D91">
            <v>10.95</v>
          </cell>
          <cell r="E91">
            <v>0</v>
          </cell>
          <cell r="F91">
            <v>1.4999999999999999E-2</v>
          </cell>
          <cell r="G91">
            <v>1.3140000000000001</v>
          </cell>
          <cell r="H91">
            <v>0</v>
          </cell>
          <cell r="I91">
            <v>0</v>
          </cell>
          <cell r="J91">
            <v>0</v>
          </cell>
          <cell r="K91">
            <v>33.414999999999999</v>
          </cell>
          <cell r="L91">
            <v>0</v>
          </cell>
          <cell r="M91">
            <v>0</v>
          </cell>
          <cell r="N91">
            <v>0</v>
          </cell>
          <cell r="O91">
            <v>0.188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90.185000000000002</v>
          </cell>
          <cell r="AI91">
            <v>0</v>
          </cell>
          <cell r="AJ91">
            <v>2E-3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0.20100000000000001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</row>
        <row r="92">
          <cell r="B92" t="str">
            <v>Under 10m - N.Ireland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3.3E-3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</row>
        <row r="94">
          <cell r="B94" t="str">
            <v>TOTAL</v>
          </cell>
          <cell r="D94">
            <v>3332.2958700021736</v>
          </cell>
          <cell r="E94">
            <v>4827.9633899898772</v>
          </cell>
          <cell r="F94">
            <v>2623.3650000078192</v>
          </cell>
          <cell r="G94">
            <v>2291.1445000000003</v>
          </cell>
          <cell r="H94">
            <v>1554.2341399924755</v>
          </cell>
          <cell r="I94">
            <v>83.282000000000011</v>
          </cell>
          <cell r="J94">
            <v>527.46879999999987</v>
          </cell>
          <cell r="K94">
            <v>1302.1977000061033</v>
          </cell>
          <cell r="L94">
            <v>140.9203</v>
          </cell>
          <cell r="M94">
            <v>1912.1168600199699</v>
          </cell>
          <cell r="N94">
            <v>212.41740000000001</v>
          </cell>
          <cell r="O94">
            <v>140.45690000076291</v>
          </cell>
          <cell r="P94">
            <v>75.111459997749336</v>
          </cell>
          <cell r="Q94">
            <v>17.567999999999998</v>
          </cell>
          <cell r="R94">
            <v>0.14899999999999999</v>
          </cell>
          <cell r="S94">
            <v>250.11136000132564</v>
          </cell>
          <cell r="T94">
            <v>41.925779997658729</v>
          </cell>
          <cell r="U94">
            <v>20.027000000000001</v>
          </cell>
          <cell r="V94">
            <v>0</v>
          </cell>
          <cell r="W94">
            <v>1.7399999999999999E-2</v>
          </cell>
          <cell r="X94">
            <v>4.7300000000000004</v>
          </cell>
          <cell r="Y94">
            <v>45.1036</v>
          </cell>
          <cell r="Z94">
            <v>147.898</v>
          </cell>
          <cell r="AA94">
            <v>499.91060000000004</v>
          </cell>
          <cell r="AB94">
            <v>32.398199999999996</v>
          </cell>
          <cell r="AC94">
            <v>883.02009999999996</v>
          </cell>
          <cell r="AD94">
            <v>7.3226999999999984</v>
          </cell>
          <cell r="AE94">
            <v>1.9E-2</v>
          </cell>
          <cell r="AF94">
            <v>1124.7928999999999</v>
          </cell>
          <cell r="AG94">
            <v>617.53840000152582</v>
          </cell>
          <cell r="AH94">
            <v>713.60690000000011</v>
          </cell>
          <cell r="AI94">
            <v>212.4085</v>
          </cell>
          <cell r="AJ94">
            <v>6.8160999999999996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5.3543000000000003</v>
          </cell>
          <cell r="AT94">
            <v>425.91920000000005</v>
          </cell>
          <cell r="AU94">
            <v>6.7720000000000002</v>
          </cell>
          <cell r="AV94">
            <v>464.1164</v>
          </cell>
          <cell r="AW94">
            <v>26.872</v>
          </cell>
          <cell r="AX94">
            <v>0</v>
          </cell>
          <cell r="AY94">
            <v>1.6</v>
          </cell>
          <cell r="AZ94">
            <v>4.6050000000000004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0.58599999999999997</v>
          </cell>
          <cell r="BH94">
            <v>15.850200000000003</v>
          </cell>
          <cell r="BI94">
            <v>0</v>
          </cell>
          <cell r="BJ94">
            <v>0</v>
          </cell>
          <cell r="BK94">
            <v>0.108</v>
          </cell>
          <cell r="BL94">
            <v>6.0513000000000003</v>
          </cell>
          <cell r="BM94">
            <v>3.7993999999999999</v>
          </cell>
          <cell r="BN94">
            <v>0</v>
          </cell>
          <cell r="BO94">
            <v>5.1068999999999996</v>
          </cell>
          <cell r="BP94">
            <v>106.69</v>
          </cell>
        </row>
        <row r="105">
          <cell r="B105">
            <v>43173</v>
          </cell>
        </row>
        <row r="107">
          <cell r="B107" t="str">
            <v>SFO</v>
          </cell>
          <cell r="D107">
            <v>722.48461000671387</v>
          </cell>
          <cell r="E107">
            <v>1464.8425699877498</v>
          </cell>
          <cell r="F107">
            <v>708.94850000686654</v>
          </cell>
          <cell r="G107">
            <v>371.37</v>
          </cell>
          <cell r="H107">
            <v>32.536049999952319</v>
          </cell>
          <cell r="I107">
            <v>0</v>
          </cell>
          <cell r="J107">
            <v>114.298</v>
          </cell>
          <cell r="K107">
            <v>525.76780000152587</v>
          </cell>
          <cell r="L107">
            <v>60.25</v>
          </cell>
          <cell r="M107">
            <v>873.00088001737595</v>
          </cell>
          <cell r="N107">
            <v>51.725999999999999</v>
          </cell>
          <cell r="O107">
            <v>25.587200000762941</v>
          </cell>
          <cell r="P107">
            <v>16.872999999999998</v>
          </cell>
          <cell r="Q107">
            <v>2.391</v>
          </cell>
          <cell r="R107">
            <v>0</v>
          </cell>
          <cell r="S107">
            <v>156.35188000106811</v>
          </cell>
          <cell r="T107">
            <v>1.6884999977111819</v>
          </cell>
          <cell r="U107">
            <v>0.41270000000000001</v>
          </cell>
          <cell r="V107">
            <v>0</v>
          </cell>
          <cell r="W107">
            <v>0</v>
          </cell>
          <cell r="X107">
            <v>0.62</v>
          </cell>
          <cell r="Y107">
            <v>32.821999999999996</v>
          </cell>
          <cell r="Z107">
            <v>37.613</v>
          </cell>
          <cell r="AA107">
            <v>319.11629999999997</v>
          </cell>
          <cell r="AB107">
            <v>18.131</v>
          </cell>
          <cell r="AC107">
            <v>580.74360000000001</v>
          </cell>
          <cell r="AD107">
            <v>3.9860000000000002</v>
          </cell>
          <cell r="AE107">
            <v>1.2E-2</v>
          </cell>
          <cell r="AF107">
            <v>116.5823</v>
          </cell>
          <cell r="AG107">
            <v>441.53690000152591</v>
          </cell>
          <cell r="AH107">
            <v>303.86809999999997</v>
          </cell>
          <cell r="AI107">
            <v>130.316</v>
          </cell>
          <cell r="AJ107">
            <v>3.4140999999999999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0.79700000000000004</v>
          </cell>
          <cell r="AT107">
            <v>107.9772</v>
          </cell>
          <cell r="AU107">
            <v>5.3760000000000003</v>
          </cell>
          <cell r="AV107">
            <v>197.6371</v>
          </cell>
          <cell r="AW107">
            <v>26.872</v>
          </cell>
          <cell r="AX107">
            <v>0</v>
          </cell>
          <cell r="AY107">
            <v>1.6</v>
          </cell>
          <cell r="AZ107">
            <v>4.6050000000000004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0.45300000000000001</v>
          </cell>
          <cell r="BH107">
            <v>8.9290000000000003</v>
          </cell>
          <cell r="BI107">
            <v>0</v>
          </cell>
          <cell r="BJ107">
            <v>0</v>
          </cell>
          <cell r="BK107">
            <v>0.108</v>
          </cell>
          <cell r="BL107">
            <v>2.5350000000000001</v>
          </cell>
          <cell r="BM107">
            <v>1.1659999999999999</v>
          </cell>
          <cell r="BN107">
            <v>0</v>
          </cell>
          <cell r="BO107">
            <v>0</v>
          </cell>
          <cell r="BP107">
            <v>74.983999999999995</v>
          </cell>
        </row>
        <row r="108">
          <cell r="B108" t="str">
            <v>Aberdeen</v>
          </cell>
          <cell r="D108">
            <v>128.3544</v>
          </cell>
          <cell r="E108">
            <v>171.14639999999997</v>
          </cell>
          <cell r="F108">
            <v>103.82849999999999</v>
          </cell>
          <cell r="G108">
            <v>122.0102</v>
          </cell>
          <cell r="H108">
            <v>7.5662000000000003</v>
          </cell>
          <cell r="I108">
            <v>0</v>
          </cell>
          <cell r="J108">
            <v>5.5067000000000004</v>
          </cell>
          <cell r="K108">
            <v>1.877</v>
          </cell>
          <cell r="L108">
            <v>0.27</v>
          </cell>
          <cell r="M108">
            <v>46.657200000000003</v>
          </cell>
          <cell r="N108">
            <v>7.7814999999999994</v>
          </cell>
          <cell r="O108">
            <v>5.9819999999999993</v>
          </cell>
          <cell r="P108">
            <v>1.6973</v>
          </cell>
          <cell r="Q108">
            <v>0</v>
          </cell>
          <cell r="R108">
            <v>0</v>
          </cell>
          <cell r="S108">
            <v>3.1513</v>
          </cell>
          <cell r="T108">
            <v>0.25219999999999998</v>
          </cell>
          <cell r="U108">
            <v>4.1000000000000003E-3</v>
          </cell>
          <cell r="V108">
            <v>0</v>
          </cell>
          <cell r="W108">
            <v>0</v>
          </cell>
          <cell r="X108">
            <v>0</v>
          </cell>
          <cell r="Y108">
            <v>2.0409999999999999</v>
          </cell>
          <cell r="Z108">
            <v>0</v>
          </cell>
          <cell r="AA108">
            <v>35.561199999999999</v>
          </cell>
          <cell r="AB108">
            <v>2.5489999999999999</v>
          </cell>
          <cell r="AC108">
            <v>20.919799999999999</v>
          </cell>
          <cell r="AD108">
            <v>1.0691999999999999</v>
          </cell>
          <cell r="AE108">
            <v>0</v>
          </cell>
          <cell r="AF108">
            <v>0.4849</v>
          </cell>
          <cell r="AG108">
            <v>20.501799999999999</v>
          </cell>
          <cell r="AH108">
            <v>0</v>
          </cell>
          <cell r="AI108">
            <v>8.0955999999999992</v>
          </cell>
          <cell r="AJ108">
            <v>0.14349999999999999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0.16800000000000001</v>
          </cell>
          <cell r="AT108">
            <v>11.242799999999999</v>
          </cell>
          <cell r="AU108">
            <v>0</v>
          </cell>
          <cell r="AV108">
            <v>0.93490000000000006</v>
          </cell>
          <cell r="AW108">
            <v>0</v>
          </cell>
          <cell r="AX108" t="str">
            <v>*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0.372</v>
          </cell>
          <cell r="BM108">
            <v>0</v>
          </cell>
          <cell r="BN108">
            <v>0</v>
          </cell>
          <cell r="BO108">
            <v>0</v>
          </cell>
          <cell r="BP108">
            <v>16.292999999999999</v>
          </cell>
        </row>
        <row r="109">
          <cell r="B109" t="str">
            <v>NESFO</v>
          </cell>
          <cell r="D109">
            <v>412.73700000000002</v>
          </cell>
          <cell r="E109">
            <v>614.87199999999996</v>
          </cell>
          <cell r="F109">
            <v>305.91300000000001</v>
          </cell>
          <cell r="G109">
            <v>160.34</v>
          </cell>
          <cell r="H109">
            <v>18.007999999999999</v>
          </cell>
          <cell r="I109">
            <v>0</v>
          </cell>
          <cell r="J109">
            <v>27.82</v>
          </cell>
          <cell r="K109">
            <v>37.645000000000003</v>
          </cell>
          <cell r="L109">
            <v>23.367999999999999</v>
          </cell>
          <cell r="M109">
            <v>146.893</v>
          </cell>
          <cell r="N109">
            <v>13.882999999999999</v>
          </cell>
          <cell r="O109">
            <v>2.9740000000000002</v>
          </cell>
          <cell r="P109">
            <v>3.282</v>
          </cell>
          <cell r="Q109">
            <v>0</v>
          </cell>
          <cell r="R109">
            <v>0</v>
          </cell>
          <cell r="S109">
            <v>20.096</v>
          </cell>
          <cell r="T109">
            <v>0.35199999999999998</v>
          </cell>
          <cell r="U109">
            <v>3.2000000000000001E-2</v>
          </cell>
          <cell r="V109">
            <v>0</v>
          </cell>
          <cell r="W109">
            <v>0</v>
          </cell>
          <cell r="X109">
            <v>0</v>
          </cell>
          <cell r="Y109">
            <v>1.99</v>
          </cell>
          <cell r="Z109">
            <v>0</v>
          </cell>
          <cell r="AA109">
            <v>23.401</v>
          </cell>
          <cell r="AB109">
            <v>2.3109999999999999</v>
          </cell>
          <cell r="AC109">
            <v>14.138</v>
          </cell>
          <cell r="AD109">
            <v>1.4510000000000001</v>
          </cell>
          <cell r="AE109">
            <v>0</v>
          </cell>
          <cell r="AF109">
            <v>2.415</v>
          </cell>
          <cell r="AG109">
            <v>42.779000000000003</v>
          </cell>
          <cell r="AH109">
            <v>0</v>
          </cell>
          <cell r="AI109">
            <v>28.579000000000001</v>
          </cell>
          <cell r="AJ109">
            <v>5.8999999999999997E-2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7.3999999999999996E-2</v>
          </cell>
          <cell r="AT109">
            <v>39.832999999999998</v>
          </cell>
          <cell r="AU109">
            <v>0</v>
          </cell>
          <cell r="AV109">
            <v>0.52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0.34200000000000003</v>
          </cell>
          <cell r="BM109">
            <v>0.246</v>
          </cell>
          <cell r="BN109">
            <v>0</v>
          </cell>
          <cell r="BO109">
            <v>0</v>
          </cell>
          <cell r="BP109">
            <v>0.47099999999999997</v>
          </cell>
        </row>
        <row r="110">
          <cell r="B110" t="str">
            <v>Shetland</v>
          </cell>
          <cell r="D110">
            <v>585.59</v>
          </cell>
          <cell r="E110">
            <v>561.48</v>
          </cell>
          <cell r="F110">
            <v>703.053</v>
          </cell>
          <cell r="G110">
            <v>426.596</v>
          </cell>
          <cell r="H110">
            <v>50.009</v>
          </cell>
          <cell r="I110">
            <v>0</v>
          </cell>
          <cell r="J110">
            <v>12.342000000000001</v>
          </cell>
          <cell r="K110">
            <v>1.226</v>
          </cell>
          <cell r="L110">
            <v>0</v>
          </cell>
          <cell r="M110">
            <v>407.53</v>
          </cell>
          <cell r="N110">
            <v>76.929000000000002</v>
          </cell>
          <cell r="O110">
            <v>32.744999999999997</v>
          </cell>
          <cell r="P110">
            <v>16.088000000000001</v>
          </cell>
          <cell r="Q110">
            <v>1.0999999999999999E-2</v>
          </cell>
          <cell r="R110">
            <v>0</v>
          </cell>
          <cell r="S110">
            <v>9.8550000000000004</v>
          </cell>
          <cell r="T110">
            <v>1.0980000000000001</v>
          </cell>
          <cell r="U110">
            <v>0.1</v>
          </cell>
          <cell r="V110">
            <v>0</v>
          </cell>
          <cell r="W110">
            <v>0</v>
          </cell>
          <cell r="X110">
            <v>0</v>
          </cell>
          <cell r="Y110">
            <v>9.7000000000000003E-2</v>
          </cell>
          <cell r="Z110">
            <v>0</v>
          </cell>
          <cell r="AA110">
            <v>0</v>
          </cell>
          <cell r="AB110">
            <v>0.159</v>
          </cell>
          <cell r="AC110">
            <v>19.867000000000001</v>
          </cell>
          <cell r="AD110">
            <v>0</v>
          </cell>
          <cell r="AE110">
            <v>0</v>
          </cell>
          <cell r="AF110">
            <v>0.36299999999999999</v>
          </cell>
          <cell r="AG110">
            <v>11.663</v>
          </cell>
          <cell r="AH110">
            <v>0</v>
          </cell>
          <cell r="AI110">
            <v>1.7849999999999999</v>
          </cell>
          <cell r="AJ110">
            <v>3.3000000000000002E-2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1.8049999999999999</v>
          </cell>
          <cell r="AT110">
            <v>118.663</v>
          </cell>
          <cell r="AU110">
            <v>0</v>
          </cell>
          <cell r="AV110">
            <v>2.7629999999999999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1.175</v>
          </cell>
        </row>
        <row r="111">
          <cell r="B111" t="str">
            <v>Fife</v>
          </cell>
          <cell r="D111">
            <v>13.123199997329714</v>
          </cell>
          <cell r="E111">
            <v>42.055549999237051</v>
          </cell>
          <cell r="F111">
            <v>38.092600000000004</v>
          </cell>
          <cell r="G111">
            <v>1.6020000000000001</v>
          </cell>
          <cell r="H111">
            <v>135.94343999404907</v>
          </cell>
          <cell r="I111">
            <v>6.7090000000000005</v>
          </cell>
          <cell r="J111">
            <v>0.161</v>
          </cell>
          <cell r="K111">
            <v>163.94400000610349</v>
          </cell>
          <cell r="L111">
            <v>0</v>
          </cell>
          <cell r="M111">
            <v>49.774610004043573</v>
          </cell>
          <cell r="N111">
            <v>0.245</v>
          </cell>
          <cell r="O111">
            <v>0.8355999999999999</v>
          </cell>
          <cell r="P111">
            <v>1.9089299991607671</v>
          </cell>
          <cell r="Q111">
            <v>0.115</v>
          </cell>
          <cell r="R111">
            <v>0</v>
          </cell>
          <cell r="S111">
            <v>9.1777999999999995</v>
          </cell>
          <cell r="T111">
            <v>3.7240000000000002</v>
          </cell>
          <cell r="U111">
            <v>1.2482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2.4670000000000001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3.4904000000000002</v>
          </cell>
          <cell r="AU111">
            <v>0</v>
          </cell>
          <cell r="AV111">
            <v>0.02</v>
          </cell>
          <cell r="AW111">
            <v>0</v>
          </cell>
          <cell r="AX111" t="str">
            <v>*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</row>
        <row r="112">
          <cell r="B112" t="str">
            <v>West Scotland</v>
          </cell>
          <cell r="D112">
            <v>7.3979999999999997</v>
          </cell>
          <cell r="E112">
            <v>12.442</v>
          </cell>
          <cell r="F112">
            <v>12.645</v>
          </cell>
          <cell r="G112">
            <v>3.6819999999999999</v>
          </cell>
          <cell r="H112">
            <v>1.319</v>
          </cell>
          <cell r="I112">
            <v>0</v>
          </cell>
          <cell r="J112">
            <v>0.36399999999999999</v>
          </cell>
          <cell r="K112">
            <v>47.505099999999999</v>
          </cell>
          <cell r="L112">
            <v>0</v>
          </cell>
          <cell r="M112">
            <v>15.118999996185304</v>
          </cell>
          <cell r="N112">
            <v>0.91100000000000003</v>
          </cell>
          <cell r="O112">
            <v>0.31900000000000001</v>
          </cell>
          <cell r="P112">
            <v>0.154</v>
          </cell>
          <cell r="Q112">
            <v>0.06</v>
          </cell>
          <cell r="R112">
            <v>0</v>
          </cell>
          <cell r="S112">
            <v>3.5289999999999999</v>
          </cell>
          <cell r="T112">
            <v>2.7E-2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0.26700000000000002</v>
          </cell>
          <cell r="Z112">
            <v>0</v>
          </cell>
          <cell r="AA112">
            <v>4.1970000000000001</v>
          </cell>
          <cell r="AB112">
            <v>2.5000000000000001E-2</v>
          </cell>
          <cell r="AC112">
            <v>0.97599999999999998</v>
          </cell>
          <cell r="AD112">
            <v>5.5E-2</v>
          </cell>
          <cell r="AE112">
            <v>7.0000000000000001E-3</v>
          </cell>
          <cell r="AF112">
            <v>0.26600000000000001</v>
          </cell>
          <cell r="AG112">
            <v>8.1419999999999995</v>
          </cell>
          <cell r="AH112">
            <v>69.856999999999999</v>
          </cell>
          <cell r="AI112">
            <v>3.4769999999999999</v>
          </cell>
          <cell r="AJ112">
            <v>0.14000000000000001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1.387</v>
          </cell>
          <cell r="AU112">
            <v>0</v>
          </cell>
          <cell r="AV112">
            <v>0.01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</row>
        <row r="113">
          <cell r="B113" t="str">
            <v>Orkney</v>
          </cell>
          <cell r="D113">
            <v>67.484999999999999</v>
          </cell>
          <cell r="E113">
            <v>241.68</v>
          </cell>
          <cell r="F113">
            <v>16.800999999999998</v>
          </cell>
          <cell r="G113">
            <v>26.509</v>
          </cell>
          <cell r="H113">
            <v>2.9430000000000001</v>
          </cell>
          <cell r="I113">
            <v>0</v>
          </cell>
          <cell r="J113">
            <v>4.1989999999999998</v>
          </cell>
          <cell r="K113">
            <v>8.4440000000000008</v>
          </cell>
          <cell r="L113">
            <v>4.3070000000000004</v>
          </cell>
          <cell r="M113">
            <v>13.984999999999999</v>
          </cell>
          <cell r="N113">
            <v>2.0529999999999999</v>
          </cell>
          <cell r="O113">
            <v>3.484</v>
          </cell>
          <cell r="P113">
            <v>2.5</v>
          </cell>
          <cell r="Q113">
            <v>0</v>
          </cell>
          <cell r="R113">
            <v>0</v>
          </cell>
          <cell r="S113">
            <v>5.6000000000000001E-2</v>
          </cell>
          <cell r="T113">
            <v>0.20899999999999999</v>
          </cell>
          <cell r="U113">
            <v>1.2E-2</v>
          </cell>
          <cell r="V113">
            <v>0</v>
          </cell>
          <cell r="W113">
            <v>0</v>
          </cell>
          <cell r="X113">
            <v>2.64</v>
          </cell>
          <cell r="Y113">
            <v>1.24</v>
          </cell>
          <cell r="Z113">
            <v>73.698999999999998</v>
          </cell>
          <cell r="AA113">
            <v>33.075000000000003</v>
          </cell>
          <cell r="AB113">
            <v>2.8450000000000002</v>
          </cell>
          <cell r="AC113">
            <v>26.565999999999999</v>
          </cell>
          <cell r="AD113">
            <v>0</v>
          </cell>
          <cell r="AE113">
            <v>0</v>
          </cell>
          <cell r="AF113">
            <v>2.2010000000000001</v>
          </cell>
          <cell r="AG113">
            <v>18.966999999999999</v>
          </cell>
          <cell r="AH113">
            <v>10.912000000000001</v>
          </cell>
          <cell r="AI113">
            <v>2.06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0.91</v>
          </cell>
          <cell r="AT113">
            <v>5.9429999999999996</v>
          </cell>
          <cell r="AU113">
            <v>0.47</v>
          </cell>
          <cell r="AV113">
            <v>10.019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0.67900000000000005</v>
          </cell>
          <cell r="BM113">
            <v>0.42399999999999999</v>
          </cell>
          <cell r="BN113">
            <v>0</v>
          </cell>
          <cell r="BO113">
            <v>0</v>
          </cell>
          <cell r="BP113">
            <v>0.112</v>
          </cell>
        </row>
        <row r="114">
          <cell r="B114" t="str">
            <v>Northern</v>
          </cell>
          <cell r="D114">
            <v>29.103999999999999</v>
          </cell>
          <cell r="E114">
            <v>66.977999999999994</v>
          </cell>
          <cell r="F114">
            <v>35.975000000000001</v>
          </cell>
          <cell r="G114">
            <v>20.771000000000001</v>
          </cell>
          <cell r="H114">
            <v>1.2290000000000001</v>
          </cell>
          <cell r="I114">
            <v>0</v>
          </cell>
          <cell r="J114">
            <v>86.227999999999994</v>
          </cell>
          <cell r="K114">
            <v>52.658999999999999</v>
          </cell>
          <cell r="L114">
            <v>0</v>
          </cell>
          <cell r="M114">
            <v>20.755599994659427</v>
          </cell>
          <cell r="N114">
            <v>0.318</v>
          </cell>
          <cell r="O114">
            <v>0.185</v>
          </cell>
          <cell r="P114">
            <v>0.66500000000000004</v>
          </cell>
          <cell r="Q114">
            <v>0</v>
          </cell>
          <cell r="R114">
            <v>0</v>
          </cell>
          <cell r="S114">
            <v>6.2859999999999996</v>
          </cell>
          <cell r="T114">
            <v>0.03</v>
          </cell>
          <cell r="U114">
            <v>2.8000000000000001E-2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0.187</v>
          </cell>
          <cell r="AB114">
            <v>0</v>
          </cell>
          <cell r="AC114">
            <v>0</v>
          </cell>
          <cell r="AD114">
            <v>4.2000000000000003E-2</v>
          </cell>
          <cell r="AE114">
            <v>0</v>
          </cell>
          <cell r="AF114">
            <v>96.320999999999998</v>
          </cell>
          <cell r="AG114">
            <v>0.36799999999999999</v>
          </cell>
          <cell r="AH114">
            <v>39.384</v>
          </cell>
          <cell r="AI114">
            <v>3.5000000000000003E-2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19.39</v>
          </cell>
          <cell r="AU114">
            <v>0.92600000000000005</v>
          </cell>
          <cell r="AV114">
            <v>52.47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3.7130000000000001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</row>
        <row r="115">
          <cell r="B115" t="str">
            <v>Klondyke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</row>
        <row r="116">
          <cell r="B116" t="str">
            <v>Lunar</v>
          </cell>
          <cell r="D116">
            <v>197.226</v>
          </cell>
          <cell r="E116">
            <v>126.994</v>
          </cell>
          <cell r="F116">
            <v>17.504000000000001</v>
          </cell>
          <cell r="G116">
            <v>86.043999999999997</v>
          </cell>
          <cell r="H116">
            <v>1.1919999999999999</v>
          </cell>
          <cell r="I116">
            <v>0</v>
          </cell>
          <cell r="J116">
            <v>4.6980000000000004</v>
          </cell>
          <cell r="K116">
            <v>0</v>
          </cell>
          <cell r="L116">
            <v>0</v>
          </cell>
          <cell r="M116">
            <v>2.4969999999999999</v>
          </cell>
          <cell r="N116">
            <v>0.13800000000000001</v>
          </cell>
          <cell r="O116">
            <v>0</v>
          </cell>
          <cell r="P116">
            <v>0.442</v>
          </cell>
          <cell r="Q116">
            <v>0</v>
          </cell>
          <cell r="R116">
            <v>0</v>
          </cell>
          <cell r="S116">
            <v>0.42699999999999999</v>
          </cell>
          <cell r="T116">
            <v>3.2000000000000001E-2</v>
          </cell>
          <cell r="U116">
            <v>4.3999999999999997E-2</v>
          </cell>
          <cell r="V116">
            <v>0</v>
          </cell>
          <cell r="W116">
            <v>0</v>
          </cell>
          <cell r="X116">
            <v>0</v>
          </cell>
          <cell r="Y116">
            <v>0.39800000000000002</v>
          </cell>
          <cell r="Z116">
            <v>0</v>
          </cell>
          <cell r="AA116">
            <v>0.14099999999999999</v>
          </cell>
          <cell r="AB116">
            <v>0.24299999999999999</v>
          </cell>
          <cell r="AC116">
            <v>52.173000000000002</v>
          </cell>
          <cell r="AD116">
            <v>0</v>
          </cell>
          <cell r="AE116">
            <v>0</v>
          </cell>
          <cell r="AF116">
            <v>5.42</v>
          </cell>
          <cell r="AG116">
            <v>6.0999999999999999E-2</v>
          </cell>
          <cell r="AH116">
            <v>0</v>
          </cell>
          <cell r="AI116">
            <v>0</v>
          </cell>
          <cell r="AJ116">
            <v>9.5000000000000001E-2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2.9000000000000001E-2</v>
          </cell>
          <cell r="AT116">
            <v>1.345</v>
          </cell>
          <cell r="AU116">
            <v>0</v>
          </cell>
          <cell r="AV116">
            <v>0.433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1.762</v>
          </cell>
        </row>
        <row r="117">
          <cell r="B117" t="str">
            <v>Anglo Scottish</v>
          </cell>
          <cell r="D117">
            <v>70.903959998512263</v>
          </cell>
          <cell r="E117">
            <v>380.65927000212668</v>
          </cell>
          <cell r="F117">
            <v>86.506600000953711</v>
          </cell>
          <cell r="G117">
            <v>48.258599999999994</v>
          </cell>
          <cell r="H117">
            <v>5.0498000011444093</v>
          </cell>
          <cell r="I117">
            <v>8.9099999999999999E-2</v>
          </cell>
          <cell r="J117">
            <v>0.26929999999999998</v>
          </cell>
          <cell r="K117">
            <v>181.51980000000003</v>
          </cell>
          <cell r="L117">
            <v>6.8659999999999997</v>
          </cell>
          <cell r="M117">
            <v>18.590820009231571</v>
          </cell>
          <cell r="N117">
            <v>4.12</v>
          </cell>
          <cell r="O117">
            <v>0.73140000000000005</v>
          </cell>
          <cell r="P117">
            <v>1.0660999994277951</v>
          </cell>
          <cell r="Q117">
            <v>0</v>
          </cell>
          <cell r="R117">
            <v>0</v>
          </cell>
          <cell r="S117">
            <v>3.9386800002574924</v>
          </cell>
          <cell r="T117">
            <v>0.66307999994754796</v>
          </cell>
          <cell r="U117">
            <v>0.1573</v>
          </cell>
          <cell r="V117">
            <v>0</v>
          </cell>
          <cell r="W117">
            <v>0</v>
          </cell>
          <cell r="X117">
            <v>1.47</v>
          </cell>
          <cell r="Y117">
            <v>0.67200000000000004</v>
          </cell>
          <cell r="Z117">
            <v>36.585999999999999</v>
          </cell>
          <cell r="AA117">
            <v>0.11700000000000001</v>
          </cell>
          <cell r="AB117">
            <v>0.92</v>
          </cell>
          <cell r="AC117">
            <v>14.029</v>
          </cell>
          <cell r="AD117">
            <v>9.5000000000000001E-2</v>
          </cell>
          <cell r="AE117">
            <v>0</v>
          </cell>
          <cell r="AF117">
            <v>0.13300000000000001</v>
          </cell>
          <cell r="AG117">
            <v>7.5030000000000001</v>
          </cell>
          <cell r="AH117">
            <v>0</v>
          </cell>
          <cell r="AI117">
            <v>0.98399999999999999</v>
          </cell>
          <cell r="AJ117">
            <v>5.2999999999999999E-2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1.0999999999999999E-2</v>
          </cell>
          <cell r="AT117">
            <v>4.9025000000000007</v>
          </cell>
          <cell r="AU117">
            <v>0</v>
          </cell>
          <cell r="AV117">
            <v>3.077</v>
          </cell>
          <cell r="AW117">
            <v>0</v>
          </cell>
          <cell r="AX117" t="str">
            <v>*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1.04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</row>
        <row r="118">
          <cell r="B118" t="str">
            <v>EEFPO</v>
          </cell>
          <cell r="D118">
            <v>404.48930000000001</v>
          </cell>
          <cell r="E118">
            <v>439.48879999999997</v>
          </cell>
          <cell r="F118">
            <v>189.44320000000002</v>
          </cell>
          <cell r="G118">
            <v>157.25919999999996</v>
          </cell>
          <cell r="H118">
            <v>18.375</v>
          </cell>
          <cell r="I118">
            <v>9.4999999999999998E-3</v>
          </cell>
          <cell r="J118">
            <v>21.7485</v>
          </cell>
          <cell r="K118">
            <v>12.411999999999999</v>
          </cell>
          <cell r="L118">
            <v>44.2943</v>
          </cell>
          <cell r="M118">
            <v>70.884</v>
          </cell>
          <cell r="N118">
            <v>13.3028</v>
          </cell>
          <cell r="O118">
            <v>3.0787</v>
          </cell>
          <cell r="P118">
            <v>5.7970000000000006</v>
          </cell>
          <cell r="Q118">
            <v>0</v>
          </cell>
          <cell r="R118">
            <v>0</v>
          </cell>
          <cell r="S118">
            <v>5.6898</v>
          </cell>
          <cell r="T118">
            <v>0.7177</v>
          </cell>
          <cell r="U118">
            <v>7.8799999999999995E-2</v>
          </cell>
          <cell r="V118">
            <v>0</v>
          </cell>
          <cell r="W118">
            <v>1.7399999999999999E-2</v>
          </cell>
          <cell r="X118">
            <v>0</v>
          </cell>
          <cell r="Y118">
            <v>0.4446</v>
          </cell>
          <cell r="Z118">
            <v>0</v>
          </cell>
          <cell r="AA118">
            <v>1.556</v>
          </cell>
          <cell r="AB118">
            <v>0.8972</v>
          </cell>
          <cell r="AC118">
            <v>25.943100000000001</v>
          </cell>
          <cell r="AD118">
            <v>0.1535</v>
          </cell>
          <cell r="AE118">
            <v>0</v>
          </cell>
          <cell r="AF118">
            <v>0</v>
          </cell>
          <cell r="AG118">
            <v>5.6417999999999999</v>
          </cell>
          <cell r="AH118">
            <v>4.0940000000000003</v>
          </cell>
          <cell r="AI118">
            <v>1.2819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20.660699999999999</v>
          </cell>
          <cell r="AU118">
            <v>0</v>
          </cell>
          <cell r="AV118">
            <v>0.1026</v>
          </cell>
          <cell r="AW118">
            <v>0</v>
          </cell>
          <cell r="AX118" t="str">
            <v>*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0.64179999999999993</v>
          </cell>
          <cell r="BM118">
            <v>1.2158</v>
          </cell>
          <cell r="BN118">
            <v>0</v>
          </cell>
          <cell r="BO118">
            <v>0</v>
          </cell>
          <cell r="BP118">
            <v>0</v>
          </cell>
        </row>
        <row r="119">
          <cell r="B119" t="str">
            <v>Fleetwood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 t="str">
            <v>*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</row>
        <row r="120">
          <cell r="B120" t="str">
            <v>FPO</v>
          </cell>
          <cell r="D120">
            <v>8.9236000000000004</v>
          </cell>
          <cell r="E120">
            <v>11.273099999999999</v>
          </cell>
          <cell r="F120">
            <v>8.1250999999999998</v>
          </cell>
          <cell r="G120">
            <v>491.8261</v>
          </cell>
          <cell r="H120">
            <v>4.4999999999999997E-3</v>
          </cell>
          <cell r="I120">
            <v>0</v>
          </cell>
          <cell r="J120">
            <v>13.7121</v>
          </cell>
          <cell r="K120">
            <v>0</v>
          </cell>
          <cell r="L120">
            <v>0</v>
          </cell>
          <cell r="M120">
            <v>3.1576</v>
          </cell>
          <cell r="N120">
            <v>2.1886999999999999</v>
          </cell>
          <cell r="O120">
            <v>0</v>
          </cell>
          <cell r="P120">
            <v>4.65E-2</v>
          </cell>
          <cell r="Q120">
            <v>0</v>
          </cell>
          <cell r="R120">
            <v>0</v>
          </cell>
          <cell r="S120">
            <v>0.18920000000000001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0.92259999999999998</v>
          </cell>
          <cell r="AT120">
            <v>8.1600999999999999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</row>
        <row r="121">
          <cell r="B121" t="str">
            <v>NIFPO</v>
          </cell>
          <cell r="D121">
            <v>136.4907</v>
          </cell>
          <cell r="E121">
            <v>124.709</v>
          </cell>
          <cell r="F121">
            <v>29.685499999999998</v>
          </cell>
          <cell r="G121">
            <v>27.779900000000001</v>
          </cell>
          <cell r="H121">
            <v>3.2508999999999997</v>
          </cell>
          <cell r="I121">
            <v>1.2699999999999999E-2</v>
          </cell>
          <cell r="J121">
            <v>61.049300000000002</v>
          </cell>
          <cell r="K121">
            <v>59.865500000000004</v>
          </cell>
          <cell r="L121">
            <v>0.94710000000000005</v>
          </cell>
          <cell r="M121">
            <v>41.348700000000001</v>
          </cell>
          <cell r="N121">
            <v>2.8477000000000001</v>
          </cell>
          <cell r="O121">
            <v>0.54330000000000001</v>
          </cell>
          <cell r="P121">
            <v>4.8654999999999999</v>
          </cell>
          <cell r="Q121">
            <v>0</v>
          </cell>
          <cell r="R121">
            <v>0</v>
          </cell>
          <cell r="S121">
            <v>1.71</v>
          </cell>
          <cell r="T121">
            <v>0.11600000000000001</v>
          </cell>
          <cell r="U121">
            <v>2.92E-2</v>
          </cell>
          <cell r="V121">
            <v>0</v>
          </cell>
          <cell r="W121">
            <v>0</v>
          </cell>
          <cell r="X121">
            <v>0</v>
          </cell>
          <cell r="Y121">
            <v>1.0371999999999999</v>
          </cell>
          <cell r="Z121">
            <v>0</v>
          </cell>
          <cell r="AA121">
            <v>5.0952999999999999</v>
          </cell>
          <cell r="AB121">
            <v>0</v>
          </cell>
          <cell r="AC121">
            <v>40.025599999999997</v>
          </cell>
          <cell r="AD121">
            <v>0</v>
          </cell>
          <cell r="AE121">
            <v>0</v>
          </cell>
          <cell r="AF121">
            <v>42.351799999999997</v>
          </cell>
          <cell r="AG121">
            <v>15.2402</v>
          </cell>
          <cell r="AH121">
            <v>52.3322</v>
          </cell>
          <cell r="AI121">
            <v>8.8320000000000007</v>
          </cell>
          <cell r="AJ121">
            <v>2.6406999999999998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12.298299999999999</v>
          </cell>
          <cell r="AU121">
            <v>0</v>
          </cell>
          <cell r="AV121">
            <v>22.043800000000005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1.427</v>
          </cell>
          <cell r="BI121">
            <v>0</v>
          </cell>
          <cell r="BJ121">
            <v>0</v>
          </cell>
          <cell r="BK121">
            <v>0</v>
          </cell>
          <cell r="BL121">
            <v>6.7100000000000007E-2</v>
          </cell>
          <cell r="BM121">
            <v>0.40799999999999997</v>
          </cell>
          <cell r="BN121">
            <v>0</v>
          </cell>
          <cell r="BO121">
            <v>0</v>
          </cell>
          <cell r="BP121">
            <v>3.5169999999999999</v>
          </cell>
        </row>
        <row r="122">
          <cell r="B122" t="str">
            <v>ANIFPO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152.9564</v>
          </cell>
          <cell r="K122">
            <v>8.1587999999999994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6.7000000000000002E-3</v>
          </cell>
          <cell r="Z122">
            <v>0</v>
          </cell>
          <cell r="AA122">
            <v>3.5329000000000002</v>
          </cell>
          <cell r="AB122">
            <v>0</v>
          </cell>
          <cell r="AC122">
            <v>8.3000000000000001E-3</v>
          </cell>
          <cell r="AD122">
            <v>0</v>
          </cell>
          <cell r="AE122">
            <v>0</v>
          </cell>
          <cell r="AF122">
            <v>301.46430000000004</v>
          </cell>
          <cell r="AG122">
            <v>7.6700000000000004E-2</v>
          </cell>
          <cell r="AH122">
            <v>10.414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5.6345000000000001</v>
          </cell>
          <cell r="AU122">
            <v>0</v>
          </cell>
          <cell r="AV122">
            <v>59.268699999999995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0.78480000000000005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</row>
        <row r="123">
          <cell r="B123" t="str">
            <v>Cornish</v>
          </cell>
          <cell r="D123">
            <v>133.43619999999999</v>
          </cell>
          <cell r="E123">
            <v>116.4049</v>
          </cell>
          <cell r="F123">
            <v>48.261600000000001</v>
          </cell>
          <cell r="G123">
            <v>34.535600000000002</v>
          </cell>
          <cell r="H123">
            <v>1.3295000000000001</v>
          </cell>
          <cell r="I123">
            <v>0</v>
          </cell>
          <cell r="J123">
            <v>0.2918</v>
          </cell>
          <cell r="K123">
            <v>1.8320000000000001</v>
          </cell>
          <cell r="L123">
            <v>0.21590000000000001</v>
          </cell>
          <cell r="M123">
            <v>19.391099999999998</v>
          </cell>
          <cell r="N123">
            <v>0.90849999999999997</v>
          </cell>
          <cell r="O123">
            <v>0.28939999999999999</v>
          </cell>
          <cell r="P123">
            <v>0.81269999999999998</v>
          </cell>
          <cell r="Q123">
            <v>0</v>
          </cell>
          <cell r="R123">
            <v>0</v>
          </cell>
          <cell r="S123">
            <v>3.9336000000000002</v>
          </cell>
          <cell r="T123">
            <v>1.0800000000000001E-2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345.1046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5.1606000000000005</v>
          </cell>
          <cell r="AU123">
            <v>0</v>
          </cell>
          <cell r="AV123">
            <v>22.494500000000002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5.4999999999999997E-3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6.8400000000000002E-2</v>
          </cell>
          <cell r="BN123">
            <v>0</v>
          </cell>
          <cell r="BO123">
            <v>4.8635999999999999</v>
          </cell>
          <cell r="BP123">
            <v>0</v>
          </cell>
        </row>
        <row r="124">
          <cell r="B124" t="str">
            <v>South West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0.15629999999999999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1.514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</row>
        <row r="125">
          <cell r="B125" t="str">
            <v>North sea</v>
          </cell>
          <cell r="D125">
            <v>11.342699999999999</v>
          </cell>
          <cell r="E125">
            <v>0.11080000000000001</v>
          </cell>
          <cell r="F125">
            <v>0.91310000000000002</v>
          </cell>
          <cell r="G125">
            <v>4.5999999999999999E-3</v>
          </cell>
          <cell r="H125">
            <v>736.7011</v>
          </cell>
          <cell r="I125">
            <v>20.819499999999998</v>
          </cell>
          <cell r="J125">
            <v>0</v>
          </cell>
          <cell r="K125">
            <v>1.2609999999999999</v>
          </cell>
          <cell r="L125">
            <v>0</v>
          </cell>
          <cell r="M125">
            <v>0.17899999999999999</v>
          </cell>
          <cell r="N125">
            <v>0</v>
          </cell>
          <cell r="O125">
            <v>3.6028000000000002</v>
          </cell>
          <cell r="P125">
            <v>4.3002000000000002</v>
          </cell>
          <cell r="Q125">
            <v>13.273</v>
          </cell>
          <cell r="R125">
            <v>0</v>
          </cell>
          <cell r="S125">
            <v>5.1125999999999996</v>
          </cell>
          <cell r="T125">
            <v>14.5655</v>
          </cell>
          <cell r="U125">
            <v>8.5088000000000008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3.3399999999999999E-2</v>
          </cell>
          <cell r="AU125">
            <v>0</v>
          </cell>
          <cell r="AV125">
            <v>2.8500000000000001E-2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</row>
        <row r="126">
          <cell r="B126" t="str">
            <v>Lowestoft</v>
          </cell>
          <cell r="D126">
            <v>3.4990999999999999</v>
          </cell>
          <cell r="E126">
            <v>1.1000000000000001E-3</v>
          </cell>
          <cell r="F126">
            <v>5.7073</v>
          </cell>
          <cell r="G126">
            <v>0</v>
          </cell>
          <cell r="H126">
            <v>357.4314</v>
          </cell>
          <cell r="I126">
            <v>22.287500000000001</v>
          </cell>
          <cell r="J126">
            <v>0</v>
          </cell>
          <cell r="K126">
            <v>4.9099999999999998E-2</v>
          </cell>
          <cell r="L126">
            <v>0</v>
          </cell>
          <cell r="M126">
            <v>1.3100000000000001E-2</v>
          </cell>
          <cell r="N126">
            <v>0</v>
          </cell>
          <cell r="O126">
            <v>2.1549</v>
          </cell>
          <cell r="P126">
            <v>2.9518</v>
          </cell>
          <cell r="Q126">
            <v>0</v>
          </cell>
          <cell r="R126">
            <v>0</v>
          </cell>
          <cell r="S126">
            <v>8.9599999999999999E-2</v>
          </cell>
          <cell r="T126">
            <v>12.5685</v>
          </cell>
          <cell r="U126">
            <v>4.5707000000000004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1.54E-2</v>
          </cell>
          <cell r="AU126">
            <v>0</v>
          </cell>
          <cell r="AV126">
            <v>0</v>
          </cell>
          <cell r="AW126">
            <v>0</v>
          </cell>
          <cell r="AX126" t="str">
            <v>*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</row>
        <row r="127">
          <cell r="B127" t="str">
            <v>Wales &amp; WC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107.4282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32.992699999999999</v>
          </cell>
          <cell r="AW127">
            <v>0</v>
          </cell>
          <cell r="AX127" t="str">
            <v>*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0.99090000000000011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</row>
        <row r="128">
          <cell r="B128" t="str">
            <v>Interfish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3.15E-2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0.12180000000000001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</row>
        <row r="129">
          <cell r="B129" t="str">
            <v>North Atlantic FPO</v>
          </cell>
          <cell r="D129">
            <v>1.3678999999999999</v>
          </cell>
          <cell r="E129">
            <v>0</v>
          </cell>
          <cell r="F129">
            <v>1.7817000000000001</v>
          </cell>
          <cell r="G129">
            <v>0</v>
          </cell>
          <cell r="H129">
            <v>20.218900000000001</v>
          </cell>
          <cell r="I129">
            <v>21.848199999999999</v>
          </cell>
          <cell r="J129">
            <v>0</v>
          </cell>
          <cell r="K129">
            <v>0</v>
          </cell>
          <cell r="L129">
            <v>0</v>
          </cell>
          <cell r="M129">
            <v>3.8699999999999998E-2</v>
          </cell>
          <cell r="N129">
            <v>0</v>
          </cell>
          <cell r="O129">
            <v>1.7645</v>
          </cell>
          <cell r="P129">
            <v>0.17319999999999999</v>
          </cell>
          <cell r="Q129">
            <v>0</v>
          </cell>
          <cell r="R129">
            <v>0</v>
          </cell>
          <cell r="S129">
            <v>0</v>
          </cell>
          <cell r="T129">
            <v>1.9789000000000001</v>
          </cell>
          <cell r="U129">
            <v>3.7292000000000001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0.65469999999999995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1.8E-3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</row>
        <row r="130">
          <cell r="B130" t="str">
            <v>UK sector Total</v>
          </cell>
          <cell r="D130">
            <v>2933.9556700025551</v>
          </cell>
          <cell r="E130">
            <v>4375.1374899891143</v>
          </cell>
          <cell r="F130">
            <v>2313.1847000078196</v>
          </cell>
          <cell r="G130">
            <v>1978.5881999999999</v>
          </cell>
          <cell r="H130">
            <v>1393.1067899951458</v>
          </cell>
          <cell r="I130">
            <v>71.775499999999994</v>
          </cell>
          <cell r="J130">
            <v>505.64410000000004</v>
          </cell>
          <cell r="K130">
            <v>1104.166100007629</v>
          </cell>
          <cell r="L130">
            <v>140.51829999999998</v>
          </cell>
          <cell r="M130">
            <v>1729.8153100214956</v>
          </cell>
          <cell r="N130">
            <v>177.35220000000001</v>
          </cell>
          <cell r="O130">
            <v>84.276800000762933</v>
          </cell>
          <cell r="P130">
            <v>63.623229998588563</v>
          </cell>
          <cell r="Q130">
            <v>15.85</v>
          </cell>
          <cell r="R130">
            <v>0</v>
          </cell>
          <cell r="S130">
            <v>229.59346000132564</v>
          </cell>
          <cell r="T130">
            <v>38.033179997658728</v>
          </cell>
          <cell r="U130">
            <v>18.954999999999998</v>
          </cell>
          <cell r="V130">
            <v>0</v>
          </cell>
          <cell r="W130">
            <v>1.7399999999999999E-2</v>
          </cell>
          <cell r="X130">
            <v>4.7300000000000004</v>
          </cell>
          <cell r="Y130">
            <v>41.01550000000001</v>
          </cell>
          <cell r="Z130">
            <v>147.898</v>
          </cell>
          <cell r="AA130">
            <v>425.97970000000004</v>
          </cell>
          <cell r="AB130">
            <v>28.080199999999998</v>
          </cell>
          <cell r="AC130">
            <v>796.04410000000007</v>
          </cell>
          <cell r="AD130">
            <v>6.8516999999999992</v>
          </cell>
          <cell r="AE130">
            <v>1.9E-2</v>
          </cell>
          <cell r="AF130">
            <v>1020.7229000000001</v>
          </cell>
          <cell r="AG130">
            <v>572.48040000152605</v>
          </cell>
          <cell r="AH130">
            <v>493.3282999999999</v>
          </cell>
          <cell r="AI130">
            <v>185.44550000000001</v>
          </cell>
          <cell r="AJ130">
            <v>6.5782999999999996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4.7165999999999997</v>
          </cell>
          <cell r="AT130">
            <v>366.13870000000009</v>
          </cell>
          <cell r="AU130">
            <v>6.7720000000000002</v>
          </cell>
          <cell r="AV130">
            <v>406.45060000000001</v>
          </cell>
          <cell r="AW130">
            <v>26.872</v>
          </cell>
          <cell r="AX130">
            <v>0</v>
          </cell>
          <cell r="AY130">
            <v>1.6</v>
          </cell>
          <cell r="AZ130">
            <v>4.6050000000000004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0.45300000000000001</v>
          </cell>
          <cell r="BH130">
            <v>15.850200000000003</v>
          </cell>
          <cell r="BI130">
            <v>0</v>
          </cell>
          <cell r="BJ130">
            <v>0</v>
          </cell>
          <cell r="BK130">
            <v>0.108</v>
          </cell>
          <cell r="BL130">
            <v>5.6769000000000007</v>
          </cell>
          <cell r="BM130">
            <v>3.5282</v>
          </cell>
          <cell r="BN130">
            <v>0</v>
          </cell>
          <cell r="BO130">
            <v>4.8635999999999999</v>
          </cell>
          <cell r="BP130">
            <v>98.313999999999979</v>
          </cell>
        </row>
        <row r="132">
          <cell r="B132" t="str">
            <v>Non Sector - England</v>
          </cell>
          <cell r="D132">
            <v>1.7276</v>
          </cell>
          <cell r="E132">
            <v>3.6200000000000003E-2</v>
          </cell>
          <cell r="F132">
            <v>0.83450000000000002</v>
          </cell>
          <cell r="G132">
            <v>0</v>
          </cell>
          <cell r="H132">
            <v>0.33389999999999997</v>
          </cell>
          <cell r="I132">
            <v>0.11509999999999999</v>
          </cell>
          <cell r="J132">
            <v>1.1900000000000001E-2</v>
          </cell>
          <cell r="K132">
            <v>7.1597999999999997</v>
          </cell>
          <cell r="L132">
            <v>0</v>
          </cell>
          <cell r="M132">
            <v>0.13070000000000001</v>
          </cell>
          <cell r="N132">
            <v>0</v>
          </cell>
          <cell r="O132">
            <v>4.1412000000000004</v>
          </cell>
          <cell r="P132">
            <v>3.5400000000000001E-2</v>
          </cell>
          <cell r="Q132">
            <v>0</v>
          </cell>
          <cell r="R132">
            <v>0</v>
          </cell>
          <cell r="S132">
            <v>5.7000000000000002E-3</v>
          </cell>
          <cell r="T132">
            <v>0.1807</v>
          </cell>
          <cell r="U132">
            <v>1.23E-2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9.5999999999999992E-3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1.2E-2</v>
          </cell>
          <cell r="AU132">
            <v>0</v>
          </cell>
          <cell r="AV132">
            <v>0.1913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</row>
        <row r="133">
          <cell r="B133" t="str">
            <v>Non Sector - Wales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</row>
        <row r="134">
          <cell r="B134" t="str">
            <v>Non Sector - Scotland</v>
          </cell>
          <cell r="D134">
            <v>4.1000000000000002E-2</v>
          </cell>
          <cell r="E134">
            <v>7.0000000000000001E-3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32.732999999999997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21.417999999999999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</row>
        <row r="135">
          <cell r="B135" t="str">
            <v>Non Sector - N.Ireland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</row>
        <row r="137">
          <cell r="B137" t="str">
            <v>Isle of Man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</row>
        <row r="139">
          <cell r="B139" t="str">
            <v>Under 10m - England</v>
          </cell>
          <cell r="D139">
            <v>12.910399999999999</v>
          </cell>
          <cell r="E139">
            <v>0.79859999999999998</v>
          </cell>
          <cell r="F139">
            <v>9.6120999999999999</v>
          </cell>
          <cell r="G139">
            <v>2.2499999999999999E-2</v>
          </cell>
          <cell r="H139">
            <v>6.8365</v>
          </cell>
          <cell r="I139">
            <v>2.6154999999999999</v>
          </cell>
          <cell r="J139">
            <v>4.5999999999999999E-3</v>
          </cell>
          <cell r="K139">
            <v>48.7624</v>
          </cell>
          <cell r="L139">
            <v>0</v>
          </cell>
          <cell r="M139">
            <v>0.4713</v>
          </cell>
          <cell r="N139">
            <v>0</v>
          </cell>
          <cell r="O139">
            <v>39.1539</v>
          </cell>
          <cell r="P139">
            <v>0.4163</v>
          </cell>
          <cell r="Q139">
            <v>0</v>
          </cell>
          <cell r="R139">
            <v>0</v>
          </cell>
          <cell r="S139">
            <v>1.9E-3</v>
          </cell>
          <cell r="T139">
            <v>0.60660000000000003</v>
          </cell>
          <cell r="U139">
            <v>0.26740000000000003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0.23780000000000001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6.88E-2</v>
          </cell>
          <cell r="AU139">
            <v>0</v>
          </cell>
          <cell r="AV139">
            <v>9.1372999999999998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3.44E-2</v>
          </cell>
          <cell r="BP139">
            <v>0</v>
          </cell>
        </row>
        <row r="140">
          <cell r="B140" t="str">
            <v>Under 10m - Wales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</row>
        <row r="141">
          <cell r="B141" t="str">
            <v>Under 10m - Scotland</v>
          </cell>
          <cell r="D141">
            <v>10.545999999999999</v>
          </cell>
          <cell r="E141">
            <v>0</v>
          </cell>
          <cell r="F141">
            <v>1.4999999999999999E-2</v>
          </cell>
          <cell r="G141">
            <v>1.29</v>
          </cell>
          <cell r="H141">
            <v>0</v>
          </cell>
          <cell r="I141">
            <v>0</v>
          </cell>
          <cell r="J141">
            <v>0</v>
          </cell>
          <cell r="K141">
            <v>25.602</v>
          </cell>
          <cell r="L141">
            <v>0</v>
          </cell>
          <cell r="M141">
            <v>0</v>
          </cell>
          <cell r="N141">
            <v>0</v>
          </cell>
          <cell r="O141">
            <v>0.13200000000000001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73.025000000000006</v>
          </cell>
          <cell r="AI141">
            <v>0</v>
          </cell>
          <cell r="AJ141">
            <v>2E-3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0.20100000000000001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</row>
        <row r="142">
          <cell r="B142" t="str">
            <v>Under 10m - N.Ireland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3.3E-3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</row>
        <row r="144">
          <cell r="B144" t="str">
            <v>TOTAL</v>
          </cell>
          <cell r="D144">
            <v>2959.1806700025554</v>
          </cell>
          <cell r="E144">
            <v>4375.9792899891145</v>
          </cell>
          <cell r="F144">
            <v>2323.6463000078197</v>
          </cell>
          <cell r="G144">
            <v>1979.9006999999999</v>
          </cell>
          <cell r="H144">
            <v>1400.2771899951458</v>
          </cell>
          <cell r="I144">
            <v>74.506100000000004</v>
          </cell>
          <cell r="J144">
            <v>505.6606000000001</v>
          </cell>
          <cell r="K144">
            <v>1218.423300007629</v>
          </cell>
          <cell r="L144">
            <v>140.51829999999998</v>
          </cell>
          <cell r="M144">
            <v>1730.4173100214957</v>
          </cell>
          <cell r="N144">
            <v>177.35220000000001</v>
          </cell>
          <cell r="O144">
            <v>127.70390000076293</v>
          </cell>
          <cell r="P144">
            <v>64.074929998588573</v>
          </cell>
          <cell r="Q144">
            <v>15.85</v>
          </cell>
          <cell r="R144">
            <v>0</v>
          </cell>
          <cell r="S144">
            <v>229.60106000132564</v>
          </cell>
          <cell r="T144">
            <v>38.82047999765873</v>
          </cell>
          <cell r="U144">
            <v>19.2347</v>
          </cell>
          <cell r="V144">
            <v>0</v>
          </cell>
          <cell r="W144">
            <v>1.7399999999999999E-2</v>
          </cell>
          <cell r="X144">
            <v>4.7300000000000004</v>
          </cell>
          <cell r="Y144">
            <v>41.01550000000001</v>
          </cell>
          <cell r="Z144">
            <v>147.898</v>
          </cell>
          <cell r="AA144">
            <v>425.97970000000004</v>
          </cell>
          <cell r="AB144">
            <v>28.080199999999998</v>
          </cell>
          <cell r="AC144">
            <v>796.04410000000007</v>
          </cell>
          <cell r="AD144">
            <v>6.8516999999999992</v>
          </cell>
          <cell r="AE144">
            <v>1.9E-2</v>
          </cell>
          <cell r="AF144">
            <v>1020.9736</v>
          </cell>
          <cell r="AG144">
            <v>572.48040000152605</v>
          </cell>
          <cell r="AH144">
            <v>587.77129999999988</v>
          </cell>
          <cell r="AI144">
            <v>185.44550000000001</v>
          </cell>
          <cell r="AJ144">
            <v>6.5802999999999994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4.7165999999999997</v>
          </cell>
          <cell r="AT144">
            <v>366.42050000000006</v>
          </cell>
          <cell r="AU144">
            <v>6.7720000000000002</v>
          </cell>
          <cell r="AV144">
            <v>415.77920000000006</v>
          </cell>
          <cell r="AW144">
            <v>26.872</v>
          </cell>
          <cell r="AX144">
            <v>0</v>
          </cell>
          <cell r="AY144">
            <v>1.6</v>
          </cell>
          <cell r="AZ144">
            <v>4.6050000000000004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0.45300000000000001</v>
          </cell>
          <cell r="BH144">
            <v>15.850200000000003</v>
          </cell>
          <cell r="BI144">
            <v>0</v>
          </cell>
          <cell r="BJ144">
            <v>0</v>
          </cell>
          <cell r="BK144">
            <v>0.108</v>
          </cell>
          <cell r="BL144">
            <v>5.6769000000000007</v>
          </cell>
          <cell r="BM144">
            <v>3.5282</v>
          </cell>
          <cell r="BN144">
            <v>0</v>
          </cell>
          <cell r="BO144">
            <v>4.8979999999999997</v>
          </cell>
          <cell r="BP144">
            <v>98.313999999999979</v>
          </cell>
        </row>
        <row r="154">
          <cell r="B154">
            <v>43166</v>
          </cell>
        </row>
        <row r="156">
          <cell r="B156" t="str">
            <v>SFO</v>
          </cell>
          <cell r="D156">
            <v>697.10361000671389</v>
          </cell>
          <cell r="E156">
            <v>1390.5375699877497</v>
          </cell>
          <cell r="F156">
            <v>641.20350000686642</v>
          </cell>
          <cell r="G156">
            <v>353.59899999999999</v>
          </cell>
          <cell r="H156">
            <v>31.732049999952316</v>
          </cell>
          <cell r="I156">
            <v>0</v>
          </cell>
          <cell r="J156">
            <v>109.968</v>
          </cell>
          <cell r="K156">
            <v>492.33480000152593</v>
          </cell>
          <cell r="L156">
            <v>60.25</v>
          </cell>
          <cell r="M156">
            <v>783.07248001585015</v>
          </cell>
          <cell r="N156">
            <v>43.572000000000003</v>
          </cell>
          <cell r="O156">
            <v>24.164200000762939</v>
          </cell>
          <cell r="P156">
            <v>15.450000000000001</v>
          </cell>
          <cell r="Q156">
            <v>2.391</v>
          </cell>
          <cell r="R156">
            <v>0</v>
          </cell>
          <cell r="S156">
            <v>137.9858800010681</v>
          </cell>
          <cell r="T156">
            <v>1.634499997711182</v>
          </cell>
          <cell r="U156">
            <v>0.41270000000000001</v>
          </cell>
          <cell r="V156">
            <v>0</v>
          </cell>
          <cell r="W156">
            <v>0</v>
          </cell>
          <cell r="X156">
            <v>0</v>
          </cell>
          <cell r="Y156">
            <v>27.872</v>
          </cell>
          <cell r="Z156">
            <v>16.12</v>
          </cell>
          <cell r="AA156">
            <v>208.97130000000001</v>
          </cell>
          <cell r="AB156">
            <v>11.349</v>
          </cell>
          <cell r="AC156">
            <v>527.9316</v>
          </cell>
          <cell r="AD156">
            <v>2.2970000000000002</v>
          </cell>
          <cell r="AE156">
            <v>1.2E-2</v>
          </cell>
          <cell r="AF156">
            <v>99.1083</v>
          </cell>
          <cell r="AG156">
            <v>404.80200000000002</v>
          </cell>
          <cell r="AH156">
            <v>247.17910000000001</v>
          </cell>
          <cell r="AI156">
            <v>118.283</v>
          </cell>
          <cell r="AJ156">
            <v>2.7701000000000002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0.74</v>
          </cell>
          <cell r="AT156">
            <v>95.353200000000001</v>
          </cell>
          <cell r="AU156">
            <v>4.1100000000000003</v>
          </cell>
          <cell r="AV156">
            <v>176.9051</v>
          </cell>
          <cell r="AW156">
            <v>18.234999999999999</v>
          </cell>
          <cell r="AX156">
            <v>0</v>
          </cell>
          <cell r="AY156">
            <v>0.95499999999999996</v>
          </cell>
          <cell r="AZ156">
            <v>3.1520000000000001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0.436</v>
          </cell>
          <cell r="BH156">
            <v>7.9560000000000004</v>
          </cell>
          <cell r="BI156">
            <v>0</v>
          </cell>
          <cell r="BJ156">
            <v>0</v>
          </cell>
          <cell r="BK156">
            <v>0.108</v>
          </cell>
          <cell r="BL156">
            <v>2.5350000000000001</v>
          </cell>
          <cell r="BM156">
            <v>1.1659999999999999</v>
          </cell>
          <cell r="BN156">
            <v>0</v>
          </cell>
          <cell r="BO156">
            <v>0</v>
          </cell>
          <cell r="BP156">
            <v>73.349000000000004</v>
          </cell>
        </row>
        <row r="157">
          <cell r="B157" t="str">
            <v>Aberdeen</v>
          </cell>
          <cell r="D157">
            <v>111.77819999999998</v>
          </cell>
          <cell r="E157">
            <v>133.5016</v>
          </cell>
          <cell r="F157">
            <v>92.105499999999992</v>
          </cell>
          <cell r="G157">
            <v>115.8826</v>
          </cell>
          <cell r="H157">
            <v>6.3923999999999994</v>
          </cell>
          <cell r="I157">
            <v>0</v>
          </cell>
          <cell r="J157">
            <v>5.3204000000000002</v>
          </cell>
          <cell r="K157">
            <v>1.857</v>
          </cell>
          <cell r="L157">
            <v>0.27</v>
          </cell>
          <cell r="M157">
            <v>36.460099999999997</v>
          </cell>
          <cell r="N157">
            <v>6.1095000000000006</v>
          </cell>
          <cell r="O157">
            <v>5.0001999999999995</v>
          </cell>
          <cell r="P157">
            <v>1.1443999999999999</v>
          </cell>
          <cell r="Q157">
            <v>0</v>
          </cell>
          <cell r="R157">
            <v>0</v>
          </cell>
          <cell r="S157">
            <v>2.5212000000000003</v>
          </cell>
          <cell r="T157">
            <v>0.2016</v>
          </cell>
          <cell r="U157">
            <v>4.1000000000000003E-3</v>
          </cell>
          <cell r="V157">
            <v>0</v>
          </cell>
          <cell r="W157">
            <v>0</v>
          </cell>
          <cell r="X157">
            <v>0</v>
          </cell>
          <cell r="Y157">
            <v>1.9592000000000001</v>
          </cell>
          <cell r="Z157">
            <v>0</v>
          </cell>
          <cell r="AA157">
            <v>35.561199999999999</v>
          </cell>
          <cell r="AB157">
            <v>2.5489999999999999</v>
          </cell>
          <cell r="AC157">
            <v>20.584299999999999</v>
          </cell>
          <cell r="AD157">
            <v>0.88119999999999998</v>
          </cell>
          <cell r="AE157">
            <v>0</v>
          </cell>
          <cell r="AF157">
            <v>0.4849</v>
          </cell>
          <cell r="AG157">
            <v>17.323399999999999</v>
          </cell>
          <cell r="AH157">
            <v>0</v>
          </cell>
          <cell r="AI157">
            <v>6.2316000000000003</v>
          </cell>
          <cell r="AJ157">
            <v>0.14349999999999999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0.16800000000000001</v>
          </cell>
          <cell r="AT157">
            <v>9.6891999999999996</v>
          </cell>
          <cell r="AU157">
            <v>0</v>
          </cell>
          <cell r="AV157">
            <v>0.93490000000000006</v>
          </cell>
          <cell r="AW157">
            <v>0</v>
          </cell>
          <cell r="AX157" t="str">
            <v>*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0.372</v>
          </cell>
          <cell r="BM157">
            <v>0</v>
          </cell>
          <cell r="BN157">
            <v>0</v>
          </cell>
          <cell r="BO157">
            <v>0</v>
          </cell>
          <cell r="BP157">
            <v>16.292999999999999</v>
          </cell>
        </row>
        <row r="158">
          <cell r="B158" t="str">
            <v>NESFO</v>
          </cell>
          <cell r="D158">
            <v>375.786</v>
          </cell>
          <cell r="E158">
            <v>612.30799999999999</v>
          </cell>
          <cell r="F158">
            <v>302.79899999999998</v>
          </cell>
          <cell r="G158">
            <v>148.738</v>
          </cell>
          <cell r="H158">
            <v>17.533999999999999</v>
          </cell>
          <cell r="I158">
            <v>0</v>
          </cell>
          <cell r="J158">
            <v>27.588000000000001</v>
          </cell>
          <cell r="K158">
            <v>36.902000000000001</v>
          </cell>
          <cell r="L158">
            <v>23.367999999999999</v>
          </cell>
          <cell r="M158">
            <v>130.91499999999999</v>
          </cell>
          <cell r="N158">
            <v>11.808</v>
          </cell>
          <cell r="O158">
            <v>2.4430000000000001</v>
          </cell>
          <cell r="P158">
            <v>3.18</v>
          </cell>
          <cell r="Q158">
            <v>0</v>
          </cell>
          <cell r="R158">
            <v>0</v>
          </cell>
          <cell r="S158">
            <v>18.187999999999999</v>
          </cell>
          <cell r="T158">
            <v>0.33</v>
          </cell>
          <cell r="U158">
            <v>3.2000000000000001E-2</v>
          </cell>
          <cell r="V158">
            <v>0</v>
          </cell>
          <cell r="W158">
            <v>0</v>
          </cell>
          <cell r="X158">
            <v>0</v>
          </cell>
          <cell r="Y158">
            <v>11.87</v>
          </cell>
          <cell r="Z158">
            <v>0</v>
          </cell>
          <cell r="AA158">
            <v>18.890999999999998</v>
          </cell>
          <cell r="AB158">
            <v>2.0459999999999998</v>
          </cell>
          <cell r="AC158">
            <v>5.1059999999999999</v>
          </cell>
          <cell r="AD158">
            <v>0.91800000000000004</v>
          </cell>
          <cell r="AE158">
            <v>0</v>
          </cell>
          <cell r="AF158">
            <v>1.143</v>
          </cell>
          <cell r="AG158">
            <v>32.561</v>
          </cell>
          <cell r="AH158">
            <v>0</v>
          </cell>
          <cell r="AI158">
            <v>17.808</v>
          </cell>
          <cell r="AJ158">
            <v>3.5000000000000003E-2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7.3999999999999996E-2</v>
          </cell>
          <cell r="AT158">
            <v>36.722999999999999</v>
          </cell>
          <cell r="AU158">
            <v>0</v>
          </cell>
          <cell r="AV158">
            <v>0.49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0.34200000000000003</v>
          </cell>
          <cell r="BM158">
            <v>0.246</v>
          </cell>
          <cell r="BN158">
            <v>0</v>
          </cell>
          <cell r="BO158">
            <v>0</v>
          </cell>
          <cell r="BP158">
            <v>5.0999999999999997E-2</v>
          </cell>
        </row>
        <row r="159">
          <cell r="B159" t="str">
            <v>Shetland</v>
          </cell>
          <cell r="D159">
            <v>541.14200000000005</v>
          </cell>
          <cell r="E159">
            <v>517.75099999999998</v>
          </cell>
          <cell r="F159">
            <v>664.46900000000005</v>
          </cell>
          <cell r="G159">
            <v>376.93799999999999</v>
          </cell>
          <cell r="H159">
            <v>47.341000000000001</v>
          </cell>
          <cell r="I159">
            <v>0</v>
          </cell>
          <cell r="J159">
            <v>10.848000000000001</v>
          </cell>
          <cell r="K159">
            <v>1.226</v>
          </cell>
          <cell r="L159">
            <v>0</v>
          </cell>
          <cell r="M159">
            <v>349.90600000000001</v>
          </cell>
          <cell r="N159">
            <v>63.161000000000001</v>
          </cell>
          <cell r="O159">
            <v>29.311</v>
          </cell>
          <cell r="P159">
            <v>14.148</v>
          </cell>
          <cell r="Q159">
            <v>1.0999999999999999E-2</v>
          </cell>
          <cell r="R159">
            <v>0</v>
          </cell>
          <cell r="S159">
            <v>9.7799999999999994</v>
          </cell>
          <cell r="T159">
            <v>0.93300000000000005</v>
          </cell>
          <cell r="U159">
            <v>9.9000000000000005E-2</v>
          </cell>
          <cell r="V159">
            <v>0</v>
          </cell>
          <cell r="W159">
            <v>0</v>
          </cell>
          <cell r="X159">
            <v>0</v>
          </cell>
          <cell r="Y159">
            <v>4.7E-2</v>
          </cell>
          <cell r="Z159">
            <v>0</v>
          </cell>
          <cell r="AA159">
            <v>0</v>
          </cell>
          <cell r="AB159">
            <v>0.159</v>
          </cell>
          <cell r="AC159">
            <v>6.8540000000000001</v>
          </cell>
          <cell r="AD159">
            <v>0</v>
          </cell>
          <cell r="AE159">
            <v>0</v>
          </cell>
          <cell r="AF159">
            <v>0.18</v>
          </cell>
          <cell r="AG159">
            <v>2.9649999999999999</v>
          </cell>
          <cell r="AH159">
            <v>0</v>
          </cell>
          <cell r="AI159">
            <v>0.85299999999999998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1.712</v>
          </cell>
          <cell r="AT159">
            <v>100.202</v>
          </cell>
          <cell r="AU159">
            <v>0</v>
          </cell>
          <cell r="AV159">
            <v>0.82099999999999995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0.42099999999999999</v>
          </cell>
        </row>
        <row r="160">
          <cell r="B160" t="str">
            <v>Fife</v>
          </cell>
          <cell r="D160">
            <v>9.6863999984741209</v>
          </cell>
          <cell r="E160">
            <v>38.67694999923706</v>
          </cell>
          <cell r="F160">
            <v>31.544599999999999</v>
          </cell>
          <cell r="G160">
            <v>1.1659999999999999</v>
          </cell>
          <cell r="H160">
            <v>135.82372999458315</v>
          </cell>
          <cell r="I160">
            <v>6.7069000000000001</v>
          </cell>
          <cell r="J160">
            <v>7.1999999999999995E-2</v>
          </cell>
          <cell r="K160">
            <v>149.4700000061035</v>
          </cell>
          <cell r="L160">
            <v>0</v>
          </cell>
          <cell r="M160">
            <v>35.768450003814699</v>
          </cell>
          <cell r="N160">
            <v>0.20200000000000001</v>
          </cell>
          <cell r="O160">
            <v>0.8355999999999999</v>
          </cell>
          <cell r="P160">
            <v>1.7877000000000001</v>
          </cell>
          <cell r="Q160">
            <v>0.115</v>
          </cell>
          <cell r="R160">
            <v>0</v>
          </cell>
          <cell r="S160">
            <v>7.2026000000000003</v>
          </cell>
          <cell r="T160">
            <v>3.7185000000000001</v>
          </cell>
          <cell r="U160">
            <v>1.2473999999999998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2.4670000000000001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1.2384000000000002</v>
          </cell>
          <cell r="AU160">
            <v>0</v>
          </cell>
          <cell r="AV160">
            <v>0.02</v>
          </cell>
          <cell r="AW160">
            <v>0</v>
          </cell>
          <cell r="AX160" t="str">
            <v>*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</row>
        <row r="161">
          <cell r="B161" t="str">
            <v>West Scotland</v>
          </cell>
          <cell r="D161">
            <v>7.3780000000000001</v>
          </cell>
          <cell r="E161">
            <v>11.928000000000001</v>
          </cell>
          <cell r="F161">
            <v>12.472999999999999</v>
          </cell>
          <cell r="G161">
            <v>3.6819999999999999</v>
          </cell>
          <cell r="H161">
            <v>0.90700000000000003</v>
          </cell>
          <cell r="I161">
            <v>0</v>
          </cell>
          <cell r="J161">
            <v>0.36399999999999999</v>
          </cell>
          <cell r="K161">
            <v>43.823</v>
          </cell>
          <cell r="L161">
            <v>0</v>
          </cell>
          <cell r="M161">
            <v>14.477999996185304</v>
          </cell>
          <cell r="N161">
            <v>0.91100000000000003</v>
          </cell>
          <cell r="O161">
            <v>0.31900000000000001</v>
          </cell>
          <cell r="P161">
            <v>0.152</v>
          </cell>
          <cell r="Q161">
            <v>0.02</v>
          </cell>
          <cell r="R161">
            <v>0</v>
          </cell>
          <cell r="S161">
            <v>3.5179999999999998</v>
          </cell>
          <cell r="T161">
            <v>2.7E-2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0.17399999999999999</v>
          </cell>
          <cell r="Z161">
            <v>0</v>
          </cell>
          <cell r="AA161">
            <v>2.5289999999999999</v>
          </cell>
          <cell r="AB161">
            <v>2.4E-2</v>
          </cell>
          <cell r="AC161">
            <v>0.97599999999999998</v>
          </cell>
          <cell r="AD161">
            <v>4.5999999999999999E-2</v>
          </cell>
          <cell r="AE161">
            <v>2E-3</v>
          </cell>
          <cell r="AF161">
            <v>0.153</v>
          </cell>
          <cell r="AG161">
            <v>7.5869999999999997</v>
          </cell>
          <cell r="AH161">
            <v>55.438000000000002</v>
          </cell>
          <cell r="AI161">
            <v>3.4529999999999998</v>
          </cell>
          <cell r="AJ161">
            <v>0.14000000000000001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1.387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</row>
        <row r="162">
          <cell r="B162" t="str">
            <v>Orkney</v>
          </cell>
          <cell r="D162">
            <v>61.494999999999997</v>
          </cell>
          <cell r="E162">
            <v>241.68</v>
          </cell>
          <cell r="F162">
            <v>16.800999999999998</v>
          </cell>
          <cell r="G162">
            <v>26.510999999999999</v>
          </cell>
          <cell r="H162">
            <v>2.9430000000000001</v>
          </cell>
          <cell r="I162">
            <v>0</v>
          </cell>
          <cell r="J162">
            <v>4.1989999999999998</v>
          </cell>
          <cell r="K162">
            <v>8.3800000000000008</v>
          </cell>
          <cell r="L162">
            <v>4.4580000000000002</v>
          </cell>
          <cell r="M162">
            <v>13.984999999999999</v>
          </cell>
          <cell r="N162">
            <v>2.0529999999999999</v>
          </cell>
          <cell r="O162">
            <v>3.484</v>
          </cell>
          <cell r="P162">
            <v>2.448</v>
          </cell>
          <cell r="Q162">
            <v>0</v>
          </cell>
          <cell r="R162">
            <v>0</v>
          </cell>
          <cell r="S162">
            <v>5.6000000000000001E-2</v>
          </cell>
          <cell r="T162">
            <v>0.20899999999999999</v>
          </cell>
          <cell r="U162">
            <v>1.2E-2</v>
          </cell>
          <cell r="V162">
            <v>0</v>
          </cell>
          <cell r="W162">
            <v>0</v>
          </cell>
          <cell r="X162">
            <v>2.14</v>
          </cell>
          <cell r="Y162">
            <v>1.018</v>
          </cell>
          <cell r="Z162">
            <v>42.320999999999998</v>
          </cell>
          <cell r="AA162">
            <v>17.917999999999999</v>
          </cell>
          <cell r="AB162">
            <v>2.1280000000000001</v>
          </cell>
          <cell r="AC162">
            <v>20.969000000000001</v>
          </cell>
          <cell r="AD162">
            <v>0</v>
          </cell>
          <cell r="AE162">
            <v>0</v>
          </cell>
          <cell r="AF162">
            <v>2.2010000000000001</v>
          </cell>
          <cell r="AG162">
            <v>13.143000000000001</v>
          </cell>
          <cell r="AH162">
            <v>6.1740000000000004</v>
          </cell>
          <cell r="AI162">
            <v>1.9630000000000001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0.91</v>
          </cell>
          <cell r="AT162">
            <v>5.9429999999999996</v>
          </cell>
          <cell r="AU162">
            <v>0.20100000000000001</v>
          </cell>
          <cell r="AV162">
            <v>7.5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0.67900000000000005</v>
          </cell>
          <cell r="BM162">
            <v>0.42399999999999999</v>
          </cell>
          <cell r="BN162">
            <v>0</v>
          </cell>
          <cell r="BO162">
            <v>0</v>
          </cell>
          <cell r="BP162">
            <v>0.112</v>
          </cell>
        </row>
        <row r="163">
          <cell r="B163" t="str">
            <v>Northern</v>
          </cell>
          <cell r="D163">
            <v>29.103999999999999</v>
          </cell>
          <cell r="E163">
            <v>66.977999999999994</v>
          </cell>
          <cell r="F163">
            <v>35.975000000000001</v>
          </cell>
          <cell r="G163">
            <v>20.771000000000001</v>
          </cell>
          <cell r="H163">
            <v>1.2290000000000001</v>
          </cell>
          <cell r="I163">
            <v>0</v>
          </cell>
          <cell r="J163">
            <v>75.102999999999994</v>
          </cell>
          <cell r="K163">
            <v>52.658999999999999</v>
          </cell>
          <cell r="L163">
            <v>0</v>
          </cell>
          <cell r="M163">
            <v>20.755599994659427</v>
          </cell>
          <cell r="N163">
            <v>0.318</v>
          </cell>
          <cell r="O163">
            <v>0.185</v>
          </cell>
          <cell r="P163">
            <v>0.66500000000000004</v>
          </cell>
          <cell r="Q163">
            <v>0</v>
          </cell>
          <cell r="R163">
            <v>0</v>
          </cell>
          <cell r="S163">
            <v>6.2859999999999996</v>
          </cell>
          <cell r="T163">
            <v>0.03</v>
          </cell>
          <cell r="U163">
            <v>2.8000000000000001E-2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0.187</v>
          </cell>
          <cell r="AB163">
            <v>0</v>
          </cell>
          <cell r="AC163">
            <v>0</v>
          </cell>
          <cell r="AD163">
            <v>4.2000000000000003E-2</v>
          </cell>
          <cell r="AE163">
            <v>0</v>
          </cell>
          <cell r="AF163">
            <v>75.861999999999995</v>
          </cell>
          <cell r="AG163">
            <v>0.36799999999999999</v>
          </cell>
          <cell r="AH163">
            <v>36.634</v>
          </cell>
          <cell r="AI163">
            <v>3.5000000000000003E-2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19.39</v>
          </cell>
          <cell r="AU163">
            <v>0</v>
          </cell>
          <cell r="AV163">
            <v>28.263000000000002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1.6779999999999999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</row>
        <row r="164">
          <cell r="B164" t="str">
            <v>Klondyke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</row>
        <row r="165">
          <cell r="B165" t="str">
            <v>Lunar</v>
          </cell>
          <cell r="D165">
            <v>163.43299999999999</v>
          </cell>
          <cell r="E165">
            <v>123.76900000000001</v>
          </cell>
          <cell r="F165">
            <v>17.268000000000001</v>
          </cell>
          <cell r="G165">
            <v>76.524000000000001</v>
          </cell>
          <cell r="H165">
            <v>1.1499999999999999</v>
          </cell>
          <cell r="I165">
            <v>0</v>
          </cell>
          <cell r="J165">
            <v>2.2130000000000001</v>
          </cell>
          <cell r="K165">
            <v>0</v>
          </cell>
          <cell r="L165">
            <v>0</v>
          </cell>
          <cell r="M165">
            <v>2.4609999999999999</v>
          </cell>
          <cell r="N165">
            <v>0.127</v>
          </cell>
          <cell r="O165">
            <v>0</v>
          </cell>
          <cell r="P165">
            <v>0.442</v>
          </cell>
          <cell r="Q165">
            <v>0</v>
          </cell>
          <cell r="R165">
            <v>0</v>
          </cell>
          <cell r="S165">
            <v>0.42699999999999999</v>
          </cell>
          <cell r="T165">
            <v>3.2000000000000001E-2</v>
          </cell>
          <cell r="U165">
            <v>4.3999999999999997E-2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0.14099999999999999</v>
          </cell>
          <cell r="AB165">
            <v>0.24299999999999999</v>
          </cell>
          <cell r="AC165">
            <v>28.195</v>
          </cell>
          <cell r="AD165">
            <v>0</v>
          </cell>
          <cell r="AE165">
            <v>0</v>
          </cell>
          <cell r="AF165">
            <v>5.0410000000000004</v>
          </cell>
          <cell r="AG165">
            <v>6.0999999999999999E-2</v>
          </cell>
          <cell r="AH165">
            <v>0</v>
          </cell>
          <cell r="AI165">
            <v>0</v>
          </cell>
          <cell r="AJ165">
            <v>9.5000000000000001E-2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2.9000000000000001E-2</v>
          </cell>
          <cell r="AT165">
            <v>1.077</v>
          </cell>
          <cell r="AU165">
            <v>0</v>
          </cell>
          <cell r="AV165">
            <v>0.433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1.286</v>
          </cell>
        </row>
        <row r="166">
          <cell r="B166" t="str">
            <v>Anglo Scottish</v>
          </cell>
          <cell r="D166">
            <v>48.761359998512269</v>
          </cell>
          <cell r="E166">
            <v>371.89007000212666</v>
          </cell>
          <cell r="F166">
            <v>79.418099999999995</v>
          </cell>
          <cell r="G166">
            <v>46.430599999999998</v>
          </cell>
          <cell r="H166">
            <v>3.8953000011444088</v>
          </cell>
          <cell r="I166">
            <v>8.6900000000000005E-2</v>
          </cell>
          <cell r="J166">
            <v>0.22399999999999998</v>
          </cell>
          <cell r="K166">
            <v>171.91300000000001</v>
          </cell>
          <cell r="L166">
            <v>6.8659999999999997</v>
          </cell>
          <cell r="M166">
            <v>12.913320009231569</v>
          </cell>
          <cell r="N166">
            <v>0.99299999999999999</v>
          </cell>
          <cell r="O166">
            <v>0.72239999999999993</v>
          </cell>
          <cell r="P166">
            <v>0.80654999942779504</v>
          </cell>
          <cell r="Q166">
            <v>0</v>
          </cell>
          <cell r="R166">
            <v>0</v>
          </cell>
          <cell r="S166">
            <v>3.5366800002574919</v>
          </cell>
          <cell r="T166">
            <v>0.57533999996185303</v>
          </cell>
          <cell r="U166">
            <v>0.15000000000000002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1.0999999999999999E-2</v>
          </cell>
          <cell r="AT166">
            <v>2.4485999999999999</v>
          </cell>
          <cell r="AU166">
            <v>0</v>
          </cell>
          <cell r="AV166">
            <v>0</v>
          </cell>
          <cell r="AW166">
            <v>0</v>
          </cell>
          <cell r="AX166" t="str">
            <v>*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1.04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</row>
        <row r="167">
          <cell r="B167" t="str">
            <v>EEFPO</v>
          </cell>
          <cell r="D167">
            <v>366.15820000000002</v>
          </cell>
          <cell r="E167">
            <v>432.71609999999998</v>
          </cell>
          <cell r="F167">
            <v>187.51830000000001</v>
          </cell>
          <cell r="G167">
            <v>154.46829999999997</v>
          </cell>
          <cell r="H167">
            <v>14.6684</v>
          </cell>
          <cell r="I167">
            <v>9.4999999999999998E-3</v>
          </cell>
          <cell r="J167">
            <v>21.5932</v>
          </cell>
          <cell r="K167">
            <v>12.379</v>
          </cell>
          <cell r="L167">
            <v>44.2943</v>
          </cell>
          <cell r="M167">
            <v>56.764499999999998</v>
          </cell>
          <cell r="N167">
            <v>10.696999999999999</v>
          </cell>
          <cell r="O167">
            <v>2.7357</v>
          </cell>
          <cell r="P167">
            <v>4.5872000000000002</v>
          </cell>
          <cell r="Q167">
            <v>0</v>
          </cell>
          <cell r="R167">
            <v>0</v>
          </cell>
          <cell r="S167">
            <v>4.9050000000000002</v>
          </cell>
          <cell r="T167">
            <v>0.66090000000000004</v>
          </cell>
          <cell r="U167">
            <v>7.8799999999999995E-2</v>
          </cell>
          <cell r="V167">
            <v>0</v>
          </cell>
          <cell r="W167">
            <v>1.7399999999999999E-2</v>
          </cell>
          <cell r="X167">
            <v>0</v>
          </cell>
          <cell r="Y167">
            <v>0.4446</v>
          </cell>
          <cell r="Z167">
            <v>0</v>
          </cell>
          <cell r="AA167">
            <v>1.556</v>
          </cell>
          <cell r="AB167">
            <v>0.8972</v>
          </cell>
          <cell r="AC167">
            <v>25.943100000000001</v>
          </cell>
          <cell r="AD167">
            <v>0.1535</v>
          </cell>
          <cell r="AE167">
            <v>0</v>
          </cell>
          <cell r="AF167">
            <v>0</v>
          </cell>
          <cell r="AG167">
            <v>5.1668000000000003</v>
          </cell>
          <cell r="AH167">
            <v>2.2799999999999998</v>
          </cell>
          <cell r="AI167">
            <v>1.2819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16.479199999999999</v>
          </cell>
          <cell r="AU167">
            <v>0</v>
          </cell>
          <cell r="AV167">
            <v>0.1026</v>
          </cell>
          <cell r="AW167">
            <v>0</v>
          </cell>
          <cell r="AX167" t="str">
            <v>*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0.64179999999999993</v>
          </cell>
          <cell r="BM167">
            <v>1.2158</v>
          </cell>
          <cell r="BN167">
            <v>0</v>
          </cell>
          <cell r="BO167">
            <v>0</v>
          </cell>
          <cell r="BP167">
            <v>0</v>
          </cell>
        </row>
        <row r="168">
          <cell r="B168" t="str">
            <v>Fleetwood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 t="str">
            <v>*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</row>
        <row r="169">
          <cell r="B169" t="str">
            <v>FPO</v>
          </cell>
          <cell r="D169">
            <v>8.9236000000000004</v>
          </cell>
          <cell r="E169">
            <v>11.273099999999999</v>
          </cell>
          <cell r="F169">
            <v>8.1250999999999998</v>
          </cell>
          <cell r="G169">
            <v>491.8261</v>
          </cell>
          <cell r="H169">
            <v>4.4999999999999997E-3</v>
          </cell>
          <cell r="I169">
            <v>0</v>
          </cell>
          <cell r="J169">
            <v>13.7121</v>
          </cell>
          <cell r="K169">
            <v>0</v>
          </cell>
          <cell r="L169">
            <v>0</v>
          </cell>
          <cell r="M169">
            <v>3.1576</v>
          </cell>
          <cell r="N169">
            <v>2.1886999999999999</v>
          </cell>
          <cell r="O169">
            <v>0</v>
          </cell>
          <cell r="P169">
            <v>4.65E-2</v>
          </cell>
          <cell r="Q169">
            <v>0</v>
          </cell>
          <cell r="R169">
            <v>0</v>
          </cell>
          <cell r="S169">
            <v>0.18920000000000001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0.92259999999999998</v>
          </cell>
          <cell r="AT169">
            <v>8.1600999999999999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</row>
        <row r="170">
          <cell r="B170" t="str">
            <v>NIFPO</v>
          </cell>
          <cell r="D170">
            <v>136.25990000000002</v>
          </cell>
          <cell r="E170">
            <v>123.8186</v>
          </cell>
          <cell r="F170">
            <v>28.760499999999997</v>
          </cell>
          <cell r="G170">
            <v>27.561900000000001</v>
          </cell>
          <cell r="H170">
            <v>3.1440999999999999</v>
          </cell>
          <cell r="I170">
            <v>2.3E-3</v>
          </cell>
          <cell r="J170">
            <v>59.724700000000006</v>
          </cell>
          <cell r="K170">
            <v>53.334099999999999</v>
          </cell>
          <cell r="L170">
            <v>0.94710000000000005</v>
          </cell>
          <cell r="M170">
            <v>30.723599999999998</v>
          </cell>
          <cell r="N170">
            <v>1.7867000000000002</v>
          </cell>
          <cell r="O170">
            <v>0.53769999999999996</v>
          </cell>
          <cell r="P170">
            <v>4.8550000000000004</v>
          </cell>
          <cell r="Q170">
            <v>0</v>
          </cell>
          <cell r="R170">
            <v>0</v>
          </cell>
          <cell r="S170">
            <v>1.657</v>
          </cell>
          <cell r="T170">
            <v>9.4200000000000006E-2</v>
          </cell>
          <cell r="U170">
            <v>9.1999999999999998E-3</v>
          </cell>
          <cell r="V170">
            <v>0</v>
          </cell>
          <cell r="W170">
            <v>0</v>
          </cell>
          <cell r="X170">
            <v>0</v>
          </cell>
          <cell r="Y170">
            <v>0.98120000000000007</v>
          </cell>
          <cell r="Z170">
            <v>0</v>
          </cell>
          <cell r="AA170">
            <v>5.0952999999999999</v>
          </cell>
          <cell r="AB170">
            <v>0</v>
          </cell>
          <cell r="AC170">
            <v>37.403599999999997</v>
          </cell>
          <cell r="AD170">
            <v>0</v>
          </cell>
          <cell r="AE170">
            <v>0</v>
          </cell>
          <cell r="AF170">
            <v>27.887899999999998</v>
          </cell>
          <cell r="AG170">
            <v>13.7422</v>
          </cell>
          <cell r="AH170">
            <v>44.095399999999998</v>
          </cell>
          <cell r="AI170">
            <v>7.6189999999999998</v>
          </cell>
          <cell r="AJ170">
            <v>2.6406999999999998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12.392300000000001</v>
          </cell>
          <cell r="AU170">
            <v>0</v>
          </cell>
          <cell r="AV170">
            <v>5.3945999999999996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6.7100000000000007E-2</v>
          </cell>
          <cell r="BM170">
            <v>0.40799999999999997</v>
          </cell>
          <cell r="BN170">
            <v>0</v>
          </cell>
          <cell r="BO170">
            <v>0</v>
          </cell>
          <cell r="BP170">
            <v>3.2109999999999999</v>
          </cell>
        </row>
        <row r="171">
          <cell r="B171" t="str">
            <v>ANIFPO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152.9564</v>
          </cell>
          <cell r="K171">
            <v>8.1587999999999994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6.7000000000000002E-3</v>
          </cell>
          <cell r="Z171">
            <v>0</v>
          </cell>
          <cell r="AA171">
            <v>3.5329000000000002</v>
          </cell>
          <cell r="AB171">
            <v>0</v>
          </cell>
          <cell r="AC171">
            <v>8.3000000000000001E-3</v>
          </cell>
          <cell r="AD171">
            <v>0</v>
          </cell>
          <cell r="AE171">
            <v>0</v>
          </cell>
          <cell r="AF171">
            <v>301.33580000000001</v>
          </cell>
          <cell r="AG171">
            <v>7.6700000000000004E-2</v>
          </cell>
          <cell r="AH171">
            <v>10.414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5.6345000000000001</v>
          </cell>
          <cell r="AU171">
            <v>0</v>
          </cell>
          <cell r="AV171">
            <v>59.255199999999995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0.78480000000000005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</row>
        <row r="172">
          <cell r="B172" t="str">
            <v>Cornish</v>
          </cell>
          <cell r="D172">
            <v>132.30119999999999</v>
          </cell>
          <cell r="E172">
            <v>114.5249</v>
          </cell>
          <cell r="F172">
            <v>45.8386</v>
          </cell>
          <cell r="G172">
            <v>29.194600000000001</v>
          </cell>
          <cell r="H172">
            <v>1.3295000000000001</v>
          </cell>
          <cell r="I172">
            <v>0</v>
          </cell>
          <cell r="J172">
            <v>0.2918</v>
          </cell>
          <cell r="K172">
            <v>1.8320000000000001</v>
          </cell>
          <cell r="L172">
            <v>0.21590000000000001</v>
          </cell>
          <cell r="M172">
            <v>16.399100000000001</v>
          </cell>
          <cell r="N172">
            <v>0.78149999999999997</v>
          </cell>
          <cell r="O172">
            <v>0.28939999999999999</v>
          </cell>
          <cell r="P172">
            <v>0.81269999999999998</v>
          </cell>
          <cell r="Q172">
            <v>0</v>
          </cell>
          <cell r="R172">
            <v>0</v>
          </cell>
          <cell r="S172">
            <v>3.8006000000000002</v>
          </cell>
          <cell r="T172">
            <v>1.0800000000000001E-2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337.3929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4.5706000000000007</v>
          </cell>
          <cell r="AU172">
            <v>0</v>
          </cell>
          <cell r="AV172">
            <v>19.608899999999998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5.4999999999999997E-3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6.8400000000000002E-2</v>
          </cell>
          <cell r="BN172">
            <v>0</v>
          </cell>
          <cell r="BO172">
            <v>4.8273999999999999</v>
          </cell>
          <cell r="BP172">
            <v>0</v>
          </cell>
        </row>
        <row r="173">
          <cell r="B173" t="str">
            <v>South West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0.14099999999999999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1.1443000000000001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</row>
        <row r="174">
          <cell r="B174" t="str">
            <v>North sea</v>
          </cell>
          <cell r="D174">
            <v>8.8035999999999994</v>
          </cell>
          <cell r="E174">
            <v>0.1038</v>
          </cell>
          <cell r="F174">
            <v>0.88329999999999997</v>
          </cell>
          <cell r="G174">
            <v>0</v>
          </cell>
          <cell r="H174">
            <v>671.77890000000002</v>
          </cell>
          <cell r="I174">
            <v>18.9815</v>
          </cell>
          <cell r="J174">
            <v>0</v>
          </cell>
          <cell r="K174">
            <v>1.2130000000000001</v>
          </cell>
          <cell r="L174">
            <v>0</v>
          </cell>
          <cell r="M174">
            <v>0.17899999999999999</v>
          </cell>
          <cell r="N174">
            <v>0</v>
          </cell>
          <cell r="O174">
            <v>3.4958999999999998</v>
          </cell>
          <cell r="P174">
            <v>3.6139000000000001</v>
          </cell>
          <cell r="Q174">
            <v>10.895</v>
          </cell>
          <cell r="R174">
            <v>0</v>
          </cell>
          <cell r="S174">
            <v>5.0041000000000002</v>
          </cell>
          <cell r="T174">
            <v>12.7155</v>
          </cell>
          <cell r="U174">
            <v>7.6121999999999996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3.2399999999999998E-2</v>
          </cell>
          <cell r="AU174">
            <v>0</v>
          </cell>
          <cell r="AV174">
            <v>2.8500000000000001E-2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</row>
        <row r="175">
          <cell r="B175" t="str">
            <v>Lowestoft</v>
          </cell>
          <cell r="D175">
            <v>2.9367000000000001</v>
          </cell>
          <cell r="E175">
            <v>0</v>
          </cell>
          <cell r="F175">
            <v>5.6483999999999996</v>
          </cell>
          <cell r="G175">
            <v>0</v>
          </cell>
          <cell r="H175">
            <v>329.17869999999999</v>
          </cell>
          <cell r="I175">
            <v>19.9603</v>
          </cell>
          <cell r="J175">
            <v>0</v>
          </cell>
          <cell r="K175">
            <v>4.9099999999999998E-2</v>
          </cell>
          <cell r="L175">
            <v>0</v>
          </cell>
          <cell r="M175">
            <v>1.0800000000000001E-2</v>
          </cell>
          <cell r="N175">
            <v>0</v>
          </cell>
          <cell r="O175">
            <v>1.9650000000000001</v>
          </cell>
          <cell r="P175">
            <v>2.7113999999999998</v>
          </cell>
          <cell r="Q175">
            <v>0</v>
          </cell>
          <cell r="R175">
            <v>0</v>
          </cell>
          <cell r="S175">
            <v>6.7500000000000004E-2</v>
          </cell>
          <cell r="T175">
            <v>10.713900000000001</v>
          </cell>
          <cell r="U175">
            <v>3.9333999999999998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1.0999999999999999E-2</v>
          </cell>
          <cell r="AU175">
            <v>0</v>
          </cell>
          <cell r="AV175">
            <v>0</v>
          </cell>
          <cell r="AW175">
            <v>0</v>
          </cell>
          <cell r="AX175" t="str">
            <v>*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</row>
        <row r="176">
          <cell r="B176" t="str">
            <v>Wales &amp; WC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104.98500000000001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32.728400000000001</v>
          </cell>
          <cell r="AW176">
            <v>0</v>
          </cell>
          <cell r="AX176" t="str">
            <v>*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0.80569999999999997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</row>
        <row r="177">
          <cell r="B177" t="str">
            <v>Interfish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3.15E-2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0.12180000000000001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</row>
        <row r="178">
          <cell r="B178" t="str">
            <v>North Atlantic FPO</v>
          </cell>
          <cell r="D178">
            <v>1.3678999999999999</v>
          </cell>
          <cell r="E178">
            <v>0</v>
          </cell>
          <cell r="F178">
            <v>1.7817000000000001</v>
          </cell>
          <cell r="G178">
            <v>0</v>
          </cell>
          <cell r="H178">
            <v>20.218900000000001</v>
          </cell>
          <cell r="I178">
            <v>21.848199999999999</v>
          </cell>
          <cell r="J178">
            <v>0</v>
          </cell>
          <cell r="K178">
            <v>0</v>
          </cell>
          <cell r="L178">
            <v>0</v>
          </cell>
          <cell r="M178">
            <v>3.8699999999999998E-2</v>
          </cell>
          <cell r="N178">
            <v>0</v>
          </cell>
          <cell r="O178">
            <v>1.7645</v>
          </cell>
          <cell r="P178">
            <v>0.17319999999999999</v>
          </cell>
          <cell r="Q178">
            <v>0</v>
          </cell>
          <cell r="R178">
            <v>0</v>
          </cell>
          <cell r="S178">
            <v>0</v>
          </cell>
          <cell r="T178">
            <v>1.9789000000000001</v>
          </cell>
          <cell r="U178">
            <v>3.7292000000000001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0.65469999999999995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1.8E-3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</row>
        <row r="179">
          <cell r="B179" t="str">
            <v>UK sector Total</v>
          </cell>
          <cell r="D179">
            <v>2702.4186700037003</v>
          </cell>
          <cell r="E179">
            <v>4191.4566899891142</v>
          </cell>
          <cell r="F179">
            <v>2172.6126000068662</v>
          </cell>
          <cell r="G179">
            <v>1873.2930999999999</v>
          </cell>
          <cell r="H179">
            <v>1289.2704799956798</v>
          </cell>
          <cell r="I179">
            <v>67.595600000000005</v>
          </cell>
          <cell r="J179">
            <v>484.17760000000004</v>
          </cell>
          <cell r="K179">
            <v>1035.5308000076293</v>
          </cell>
          <cell r="L179">
            <v>140.66929999999999</v>
          </cell>
          <cell r="M179">
            <v>1507.9882500197409</v>
          </cell>
          <cell r="N179">
            <v>144.70839999999998</v>
          </cell>
          <cell r="O179">
            <v>77.252600000762968</v>
          </cell>
          <cell r="P179">
            <v>57.0235499994278</v>
          </cell>
          <cell r="Q179">
            <v>13.432</v>
          </cell>
          <cell r="R179">
            <v>0</v>
          </cell>
          <cell r="S179">
            <v>205.1247600013256</v>
          </cell>
          <cell r="T179">
            <v>33.865139997673033</v>
          </cell>
          <cell r="U179">
            <v>17.391999999999999</v>
          </cell>
          <cell r="V179">
            <v>0</v>
          </cell>
          <cell r="W179">
            <v>1.7399999999999999E-2</v>
          </cell>
          <cell r="X179">
            <v>2.14</v>
          </cell>
          <cell r="Y179">
            <v>44.372699999999995</v>
          </cell>
          <cell r="Z179">
            <v>58.441000000000003</v>
          </cell>
          <cell r="AA179">
            <v>294.38270000000006</v>
          </cell>
          <cell r="AB179">
            <v>19.395199999999999</v>
          </cell>
          <cell r="AC179">
            <v>674.62560000000019</v>
          </cell>
          <cell r="AD179">
            <v>4.3376999999999999</v>
          </cell>
          <cell r="AE179">
            <v>1.4E-2</v>
          </cell>
          <cell r="AF179">
            <v>955.94730000000004</v>
          </cell>
          <cell r="AG179">
            <v>497.79609999999991</v>
          </cell>
          <cell r="AH179">
            <v>404.68149999999997</v>
          </cell>
          <cell r="AI179">
            <v>157.5275</v>
          </cell>
          <cell r="AJ179">
            <v>5.8243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4.5666000000000002</v>
          </cell>
          <cell r="AT179">
            <v>320.73329999999999</v>
          </cell>
          <cell r="AU179">
            <v>4.3109999999999999</v>
          </cell>
          <cell r="AV179">
            <v>333.75130000000007</v>
          </cell>
          <cell r="AW179">
            <v>18.234999999999999</v>
          </cell>
          <cell r="AX179">
            <v>0</v>
          </cell>
          <cell r="AY179">
            <v>0.95499999999999996</v>
          </cell>
          <cell r="AZ179">
            <v>3.1520000000000001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0.436</v>
          </cell>
          <cell r="BH179">
            <v>11.230000000000002</v>
          </cell>
          <cell r="BI179">
            <v>0</v>
          </cell>
          <cell r="BJ179">
            <v>0</v>
          </cell>
          <cell r="BK179">
            <v>0.108</v>
          </cell>
          <cell r="BL179">
            <v>5.6769000000000007</v>
          </cell>
          <cell r="BM179">
            <v>3.5282</v>
          </cell>
          <cell r="BN179">
            <v>0</v>
          </cell>
          <cell r="BO179">
            <v>4.8273999999999999</v>
          </cell>
          <cell r="BP179">
            <v>94.722999999999999</v>
          </cell>
        </row>
        <row r="181">
          <cell r="B181" t="str">
            <v>Non Sector - England</v>
          </cell>
          <cell r="D181">
            <v>1.6976</v>
          </cell>
          <cell r="E181">
            <v>3.6200000000000003E-2</v>
          </cell>
          <cell r="F181">
            <v>0.74750000000000005</v>
          </cell>
          <cell r="G181">
            <v>0</v>
          </cell>
          <cell r="H181">
            <v>0.32390000000000002</v>
          </cell>
          <cell r="I181">
            <v>0.111</v>
          </cell>
          <cell r="J181">
            <v>1.1900000000000001E-2</v>
          </cell>
          <cell r="K181">
            <v>6.0114000000000001</v>
          </cell>
          <cell r="L181">
            <v>0</v>
          </cell>
          <cell r="M181">
            <v>0.1177</v>
          </cell>
          <cell r="N181">
            <v>0</v>
          </cell>
          <cell r="O181">
            <v>4.1307999999999998</v>
          </cell>
          <cell r="P181">
            <v>3.5400000000000001E-2</v>
          </cell>
          <cell r="Q181">
            <v>0</v>
          </cell>
          <cell r="R181">
            <v>0</v>
          </cell>
          <cell r="S181">
            <v>5.7000000000000002E-3</v>
          </cell>
          <cell r="T181">
            <v>0.1517</v>
          </cell>
          <cell r="U181">
            <v>9.5999999999999992E-3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7.7000000000000002E-3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7.4999999999999997E-3</v>
          </cell>
          <cell r="AU181">
            <v>0</v>
          </cell>
          <cell r="AV181">
            <v>0.1419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</row>
        <row r="182">
          <cell r="B182" t="str">
            <v>Non Sector - Wales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</row>
        <row r="183">
          <cell r="B183" t="str">
            <v>Non Sector - Scotland</v>
          </cell>
          <cell r="D183">
            <v>4.1000000000000002E-2</v>
          </cell>
          <cell r="E183">
            <v>7.0000000000000001E-3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28.972000000000001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16.422000000000001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</row>
        <row r="184">
          <cell r="B184" t="str">
            <v>Non Sector - N.Ireland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</row>
        <row r="186">
          <cell r="B186" t="str">
            <v>Isle of Man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</row>
        <row r="188">
          <cell r="B188" t="str">
            <v>Under 10m - England</v>
          </cell>
          <cell r="D188">
            <v>11.7986</v>
          </cell>
          <cell r="E188">
            <v>0.79859999999999998</v>
          </cell>
          <cell r="F188">
            <v>9.5942000000000007</v>
          </cell>
          <cell r="G188">
            <v>2.2499999999999999E-2</v>
          </cell>
          <cell r="H188">
            <v>6.5290999999999997</v>
          </cell>
          <cell r="I188">
            <v>2.5083000000000002</v>
          </cell>
          <cell r="J188">
            <v>4.5999999999999999E-3</v>
          </cell>
          <cell r="K188">
            <v>48.7624</v>
          </cell>
          <cell r="L188">
            <v>0</v>
          </cell>
          <cell r="M188">
            <v>0.4713</v>
          </cell>
          <cell r="N188">
            <v>0</v>
          </cell>
          <cell r="O188">
            <v>37.529600000000002</v>
          </cell>
          <cell r="P188">
            <v>0.4163</v>
          </cell>
          <cell r="Q188">
            <v>0</v>
          </cell>
          <cell r="R188">
            <v>0</v>
          </cell>
          <cell r="S188">
            <v>1.9E-3</v>
          </cell>
          <cell r="T188">
            <v>0.6048</v>
          </cell>
          <cell r="U188">
            <v>0.26740000000000003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0.19289999999999999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6.88E-2</v>
          </cell>
          <cell r="AU188">
            <v>0</v>
          </cell>
          <cell r="AV188">
            <v>7.83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1.12E-2</v>
          </cell>
          <cell r="BP188">
            <v>0</v>
          </cell>
        </row>
        <row r="189">
          <cell r="B189" t="str">
            <v>Under 10m - Wales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</row>
        <row r="190">
          <cell r="B190" t="str">
            <v>Under 10m - Scotland</v>
          </cell>
          <cell r="D190">
            <v>8.8800000000000008</v>
          </cell>
          <cell r="E190">
            <v>0</v>
          </cell>
          <cell r="F190">
            <v>0</v>
          </cell>
          <cell r="G190">
            <v>0.90800000000000003</v>
          </cell>
          <cell r="H190">
            <v>0</v>
          </cell>
          <cell r="I190">
            <v>0</v>
          </cell>
          <cell r="J190">
            <v>0</v>
          </cell>
          <cell r="K190">
            <v>22.087</v>
          </cell>
          <cell r="L190">
            <v>0</v>
          </cell>
          <cell r="M190">
            <v>0</v>
          </cell>
          <cell r="N190">
            <v>0</v>
          </cell>
          <cell r="O190">
            <v>7.5999999999999998E-2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53.539000000000001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0.08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</row>
        <row r="191">
          <cell r="B191" t="str">
            <v>Under 10m - N.Ireland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2.2000000000000001E-3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</row>
        <row r="193">
          <cell r="B193" t="str">
            <v>TOTAL</v>
          </cell>
          <cell r="D193">
            <v>2724.8358700037002</v>
          </cell>
          <cell r="E193">
            <v>4192.2984899891135</v>
          </cell>
          <cell r="F193">
            <v>2182.9543000068661</v>
          </cell>
          <cell r="G193">
            <v>1874.2235999999998</v>
          </cell>
          <cell r="H193">
            <v>1296.1234799956796</v>
          </cell>
          <cell r="I193">
            <v>70.2149</v>
          </cell>
          <cell r="J193">
            <v>484.19410000000005</v>
          </cell>
          <cell r="K193">
            <v>1141.3636000076292</v>
          </cell>
          <cell r="L193">
            <v>140.66929999999999</v>
          </cell>
          <cell r="M193">
            <v>1508.5772500197411</v>
          </cell>
          <cell r="N193">
            <v>144.70839999999998</v>
          </cell>
          <cell r="O193">
            <v>118.98900000076297</v>
          </cell>
          <cell r="P193">
            <v>57.475249999427803</v>
          </cell>
          <cell r="Q193">
            <v>13.432</v>
          </cell>
          <cell r="R193">
            <v>0</v>
          </cell>
          <cell r="S193">
            <v>205.13236000132562</v>
          </cell>
          <cell r="T193">
            <v>34.621639997673036</v>
          </cell>
          <cell r="U193">
            <v>17.669</v>
          </cell>
          <cell r="V193">
            <v>0</v>
          </cell>
          <cell r="W193">
            <v>1.7399999999999999E-2</v>
          </cell>
          <cell r="X193">
            <v>2.14</v>
          </cell>
          <cell r="Y193">
            <v>44.372699999999995</v>
          </cell>
          <cell r="Z193">
            <v>58.441000000000003</v>
          </cell>
          <cell r="AA193">
            <v>294.38270000000006</v>
          </cell>
          <cell r="AB193">
            <v>19.395199999999999</v>
          </cell>
          <cell r="AC193">
            <v>674.62560000000019</v>
          </cell>
          <cell r="AD193">
            <v>4.3376999999999999</v>
          </cell>
          <cell r="AE193">
            <v>1.4E-2</v>
          </cell>
          <cell r="AF193">
            <v>956.15010000000007</v>
          </cell>
          <cell r="AG193">
            <v>497.79609999999991</v>
          </cell>
          <cell r="AH193">
            <v>474.64249999999998</v>
          </cell>
          <cell r="AI193">
            <v>157.5275</v>
          </cell>
          <cell r="AJ193">
            <v>5.8243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4.5666000000000002</v>
          </cell>
          <cell r="AT193">
            <v>320.88959999999997</v>
          </cell>
          <cell r="AU193">
            <v>4.3109999999999999</v>
          </cell>
          <cell r="AV193">
            <v>341.72320000000002</v>
          </cell>
          <cell r="AW193">
            <v>18.234999999999999</v>
          </cell>
          <cell r="AX193">
            <v>0</v>
          </cell>
          <cell r="AY193">
            <v>0.95499999999999996</v>
          </cell>
          <cell r="AZ193">
            <v>3.1520000000000001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0.436</v>
          </cell>
          <cell r="BH193">
            <v>11.230000000000002</v>
          </cell>
          <cell r="BI193">
            <v>0</v>
          </cell>
          <cell r="BJ193">
            <v>0</v>
          </cell>
          <cell r="BK193">
            <v>0.108</v>
          </cell>
          <cell r="BL193">
            <v>5.6769000000000007</v>
          </cell>
          <cell r="BM193">
            <v>3.5282</v>
          </cell>
          <cell r="BN193">
            <v>0</v>
          </cell>
          <cell r="BO193">
            <v>4.8385999999999996</v>
          </cell>
          <cell r="BP193">
            <v>94.722999999999999</v>
          </cell>
        </row>
        <row r="206">
          <cell r="B206" t="str">
            <v>SFO</v>
          </cell>
          <cell r="D206">
            <v>628.13181000671386</v>
          </cell>
          <cell r="E206">
            <v>1202.2365699877498</v>
          </cell>
          <cell r="F206">
            <v>525.36550000686645</v>
          </cell>
          <cell r="G206">
            <v>314.11200000000002</v>
          </cell>
          <cell r="H206">
            <v>29.265049999952314</v>
          </cell>
          <cell r="I206">
            <v>0</v>
          </cell>
          <cell r="J206">
            <v>106.715</v>
          </cell>
          <cell r="K206">
            <v>434.7480000015259</v>
          </cell>
          <cell r="L206">
            <v>58.204999999999998</v>
          </cell>
          <cell r="M206">
            <v>678.20148001585005</v>
          </cell>
          <cell r="N206">
            <v>37.774000000000001</v>
          </cell>
          <cell r="O206">
            <v>23.02220000076294</v>
          </cell>
          <cell r="P206">
            <v>12.855</v>
          </cell>
          <cell r="Q206">
            <v>2.391</v>
          </cell>
          <cell r="R206">
            <v>0</v>
          </cell>
          <cell r="S206">
            <v>104.47388000106811</v>
          </cell>
          <cell r="T206">
            <v>1.5203999977111819</v>
          </cell>
          <cell r="U206">
            <v>0.37319999999999998</v>
          </cell>
          <cell r="V206">
            <v>0</v>
          </cell>
          <cell r="W206">
            <v>0</v>
          </cell>
          <cell r="X206">
            <v>0</v>
          </cell>
          <cell r="Y206">
            <v>24.876000000000001</v>
          </cell>
          <cell r="Z206">
            <v>16.12</v>
          </cell>
          <cell r="AA206">
            <v>95.912300000000002</v>
          </cell>
          <cell r="AB206">
            <v>8.7430000000000003</v>
          </cell>
          <cell r="AC206">
            <v>469.36160000000001</v>
          </cell>
          <cell r="AD206">
            <v>1.893</v>
          </cell>
          <cell r="AE206">
            <v>1.2E-2</v>
          </cell>
          <cell r="AF206">
            <v>83.465300003051766</v>
          </cell>
          <cell r="AG206">
            <v>343.41699999999997</v>
          </cell>
          <cell r="AH206">
            <v>204.114</v>
          </cell>
          <cell r="AI206">
            <v>88.674999999999997</v>
          </cell>
          <cell r="AJ206">
            <v>2.3451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0.68300000000000005</v>
          </cell>
          <cell r="AT206">
            <v>78.519199999999998</v>
          </cell>
          <cell r="AU206">
            <v>3.9870000000000001</v>
          </cell>
          <cell r="AV206">
            <v>149.52859999923706</v>
          </cell>
          <cell r="AW206">
            <v>18.234999999999999</v>
          </cell>
          <cell r="AX206">
            <v>0</v>
          </cell>
          <cell r="AY206">
            <v>0.95499999999999996</v>
          </cell>
          <cell r="AZ206">
            <v>3.1520000000000001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0.23599999999999999</v>
          </cell>
          <cell r="BH206">
            <v>7.9560000000000004</v>
          </cell>
          <cell r="BI206">
            <v>0</v>
          </cell>
          <cell r="BJ206">
            <v>0</v>
          </cell>
          <cell r="BK206">
            <v>4.8000000000000001E-2</v>
          </cell>
          <cell r="BL206">
            <v>2.4740000000000002</v>
          </cell>
          <cell r="BM206">
            <v>1.0089999999999999</v>
          </cell>
          <cell r="BN206">
            <v>0</v>
          </cell>
          <cell r="BO206">
            <v>0</v>
          </cell>
          <cell r="BP206">
            <v>69.978999999999999</v>
          </cell>
        </row>
        <row r="207">
          <cell r="B207" t="str">
            <v>Aberdeen</v>
          </cell>
          <cell r="D207">
            <v>110.79509999999999</v>
          </cell>
          <cell r="E207">
            <v>129.73239999999998</v>
          </cell>
          <cell r="F207">
            <v>91.4054</v>
          </cell>
          <cell r="G207">
            <v>115.0449</v>
          </cell>
          <cell r="H207">
            <v>6.3793999999999995</v>
          </cell>
          <cell r="I207">
            <v>0</v>
          </cell>
          <cell r="J207">
            <v>5.2705000000000002</v>
          </cell>
          <cell r="K207">
            <v>1.857</v>
          </cell>
          <cell r="L207">
            <v>0.27</v>
          </cell>
          <cell r="M207">
            <v>35.671100000000003</v>
          </cell>
          <cell r="N207">
            <v>5.9020999999999999</v>
          </cell>
          <cell r="O207">
            <v>4.6707999999999998</v>
          </cell>
          <cell r="P207">
            <v>1.1443999999999999</v>
          </cell>
          <cell r="Q207">
            <v>0</v>
          </cell>
          <cell r="R207">
            <v>0</v>
          </cell>
          <cell r="S207">
            <v>2.4792000000000001</v>
          </cell>
          <cell r="T207">
            <v>0.2016</v>
          </cell>
          <cell r="U207">
            <v>4.1000000000000003E-3</v>
          </cell>
          <cell r="V207">
            <v>0</v>
          </cell>
          <cell r="W207">
            <v>0</v>
          </cell>
          <cell r="X207">
            <v>0</v>
          </cell>
          <cell r="Y207">
            <v>1.7010000000000001</v>
          </cell>
          <cell r="Z207">
            <v>0</v>
          </cell>
          <cell r="AA207">
            <v>35.343000000000004</v>
          </cell>
          <cell r="AB207">
            <v>2.5489999999999999</v>
          </cell>
          <cell r="AC207">
            <v>20.085999999999999</v>
          </cell>
          <cell r="AD207">
            <v>0.63300000000000001</v>
          </cell>
          <cell r="AE207">
            <v>0</v>
          </cell>
          <cell r="AF207">
            <v>0.435</v>
          </cell>
          <cell r="AG207">
            <v>12.426</v>
          </cell>
          <cell r="AH207">
            <v>0</v>
          </cell>
          <cell r="AI207">
            <v>3.06</v>
          </cell>
          <cell r="AJ207">
            <v>0.124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0.16800000000000001</v>
          </cell>
          <cell r="AT207">
            <v>9.5402000000000005</v>
          </cell>
          <cell r="AU207">
            <v>0</v>
          </cell>
          <cell r="AV207">
            <v>0.89500000000000002</v>
          </cell>
          <cell r="AW207">
            <v>0</v>
          </cell>
          <cell r="AX207" t="str">
            <v>*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0.372</v>
          </cell>
          <cell r="BM207">
            <v>0</v>
          </cell>
          <cell r="BN207">
            <v>0</v>
          </cell>
          <cell r="BO207">
            <v>0</v>
          </cell>
          <cell r="BP207">
            <v>16.292999999999999</v>
          </cell>
        </row>
        <row r="208">
          <cell r="B208" t="str">
            <v>NESFO</v>
          </cell>
          <cell r="D208">
            <v>349.61</v>
          </cell>
          <cell r="E208">
            <v>588.67100000000005</v>
          </cell>
          <cell r="F208">
            <v>262.767</v>
          </cell>
          <cell r="G208">
            <v>139.27699999999999</v>
          </cell>
          <cell r="H208">
            <v>16.888999999999999</v>
          </cell>
          <cell r="I208">
            <v>0</v>
          </cell>
          <cell r="J208">
            <v>27.247</v>
          </cell>
          <cell r="K208">
            <v>30.609000000000002</v>
          </cell>
          <cell r="L208">
            <v>23.367999999999999</v>
          </cell>
          <cell r="M208">
            <v>118.23699999999999</v>
          </cell>
          <cell r="N208">
            <v>11.01</v>
          </cell>
          <cell r="O208">
            <v>2.4009999999999998</v>
          </cell>
          <cell r="P208">
            <v>2.7360000000000002</v>
          </cell>
          <cell r="Q208">
            <v>0</v>
          </cell>
          <cell r="R208">
            <v>0</v>
          </cell>
          <cell r="S208">
            <v>14.738</v>
          </cell>
          <cell r="T208">
            <v>0.29799999999999999</v>
          </cell>
          <cell r="U208">
            <v>3.2000000000000001E-2</v>
          </cell>
          <cell r="V208">
            <v>0</v>
          </cell>
          <cell r="W208">
            <v>0</v>
          </cell>
          <cell r="X208">
            <v>0</v>
          </cell>
          <cell r="Y208">
            <v>11.391999999999999</v>
          </cell>
          <cell r="Z208">
            <v>0</v>
          </cell>
          <cell r="AA208">
            <v>16.152000000000001</v>
          </cell>
          <cell r="AB208">
            <v>1.9390000000000001</v>
          </cell>
          <cell r="AC208">
            <v>0.95099999999999996</v>
          </cell>
          <cell r="AD208">
            <v>0.52600000000000002</v>
          </cell>
          <cell r="AE208">
            <v>0</v>
          </cell>
          <cell r="AF208">
            <v>5.6000000000000001E-2</v>
          </cell>
          <cell r="AG208">
            <v>17.225999999999999</v>
          </cell>
          <cell r="AH208">
            <v>0</v>
          </cell>
          <cell r="AI208">
            <v>7.0620000000000003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7.3999999999999996E-2</v>
          </cell>
          <cell r="AT208">
            <v>34.843000000000004</v>
          </cell>
          <cell r="AU208">
            <v>0</v>
          </cell>
          <cell r="AV208">
            <v>0.182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0.34200000000000003</v>
          </cell>
          <cell r="BM208">
            <v>0.246</v>
          </cell>
          <cell r="BN208">
            <v>0</v>
          </cell>
          <cell r="BO208">
            <v>0</v>
          </cell>
          <cell r="BP208">
            <v>0</v>
          </cell>
        </row>
        <row r="209">
          <cell r="B209" t="str">
            <v>Shetland</v>
          </cell>
          <cell r="D209">
            <v>498.50200000000001</v>
          </cell>
          <cell r="E209">
            <v>473.04500000000002</v>
          </cell>
          <cell r="F209">
            <v>610.17600000000004</v>
          </cell>
          <cell r="G209">
            <v>350.68099999999998</v>
          </cell>
          <cell r="H209">
            <v>44.942</v>
          </cell>
          <cell r="I209">
            <v>0</v>
          </cell>
          <cell r="J209">
            <v>9.6690000000000005</v>
          </cell>
          <cell r="K209">
            <v>1.107</v>
          </cell>
          <cell r="L209">
            <v>0</v>
          </cell>
          <cell r="M209">
            <v>309.41800000000001</v>
          </cell>
          <cell r="N209">
            <v>51.784999999999997</v>
          </cell>
          <cell r="O209">
            <v>26.132000000000001</v>
          </cell>
          <cell r="P209">
            <v>12.61</v>
          </cell>
          <cell r="Q209">
            <v>1.0999999999999999E-2</v>
          </cell>
          <cell r="R209">
            <v>0</v>
          </cell>
          <cell r="S209">
            <v>9.0440000000000005</v>
          </cell>
          <cell r="T209">
            <v>0.83799999999999997</v>
          </cell>
          <cell r="U209">
            <v>9.9000000000000005E-2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1.611</v>
          </cell>
          <cell r="AT209">
            <v>88.491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</row>
        <row r="210">
          <cell r="B210" t="str">
            <v>Fife</v>
          </cell>
          <cell r="D210">
            <v>8.4581999984741199</v>
          </cell>
          <cell r="E210">
            <v>36.54594999923706</v>
          </cell>
          <cell r="F210">
            <v>28.226499999999998</v>
          </cell>
          <cell r="G210">
            <v>1.0589999999999999</v>
          </cell>
          <cell r="H210">
            <v>69.66912999458313</v>
          </cell>
          <cell r="I210">
            <v>3.5832999999999999</v>
          </cell>
          <cell r="J210">
            <v>4.2999999999999997E-2</v>
          </cell>
          <cell r="K210">
            <v>142.44360000610351</v>
          </cell>
          <cell r="L210">
            <v>0</v>
          </cell>
          <cell r="M210">
            <v>32.107250003814698</v>
          </cell>
          <cell r="N210">
            <v>0.20200000000000001</v>
          </cell>
          <cell r="O210">
            <v>0.69879999999999998</v>
          </cell>
          <cell r="P210">
            <v>1.1434</v>
          </cell>
          <cell r="Q210">
            <v>0.115</v>
          </cell>
          <cell r="R210">
            <v>0</v>
          </cell>
          <cell r="S210">
            <v>5.5370999999999997</v>
          </cell>
          <cell r="T210">
            <v>1.7617</v>
          </cell>
          <cell r="U210">
            <v>0.4677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2.0489999999999999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1.1637</v>
          </cell>
          <cell r="AU210">
            <v>0</v>
          </cell>
          <cell r="AV210">
            <v>0.02</v>
          </cell>
          <cell r="AW210">
            <v>0</v>
          </cell>
          <cell r="AX210" t="str">
            <v>*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</row>
        <row r="211">
          <cell r="B211" t="str">
            <v>West Scotland</v>
          </cell>
          <cell r="D211">
            <v>6.49</v>
          </cell>
          <cell r="E211">
            <v>7.7629999999999999</v>
          </cell>
          <cell r="F211">
            <v>11.193</v>
          </cell>
          <cell r="G211">
            <v>3.4329999999999998</v>
          </cell>
          <cell r="H211">
            <v>0.86499999999999999</v>
          </cell>
          <cell r="I211">
            <v>0</v>
          </cell>
          <cell r="J211">
            <v>0.255</v>
          </cell>
          <cell r="K211">
            <v>42.639000000000003</v>
          </cell>
          <cell r="L211">
            <v>0</v>
          </cell>
          <cell r="M211">
            <v>12.315999996185303</v>
          </cell>
          <cell r="N211">
            <v>0.91100000000000003</v>
          </cell>
          <cell r="O211">
            <v>0.31900000000000001</v>
          </cell>
          <cell r="P211">
            <v>0.11</v>
          </cell>
          <cell r="Q211">
            <v>0.02</v>
          </cell>
          <cell r="R211">
            <v>0</v>
          </cell>
          <cell r="S211">
            <v>2.1709999999999998</v>
          </cell>
          <cell r="T211">
            <v>2.7E-2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0.17399999999999999</v>
          </cell>
          <cell r="Z211">
            <v>0</v>
          </cell>
          <cell r="AA211">
            <v>2.5</v>
          </cell>
          <cell r="AB211">
            <v>2.4E-2</v>
          </cell>
          <cell r="AC211">
            <v>0.97599999999999998</v>
          </cell>
          <cell r="AD211">
            <v>4.5999999999999999E-2</v>
          </cell>
          <cell r="AE211">
            <v>2E-3</v>
          </cell>
          <cell r="AF211">
            <v>0.153</v>
          </cell>
          <cell r="AG211">
            <v>7.4960000000000004</v>
          </cell>
          <cell r="AH211">
            <v>42.212000000000003</v>
          </cell>
          <cell r="AI211">
            <v>3.4529999999999998</v>
          </cell>
          <cell r="AJ211">
            <v>0.14000000000000001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0.90900000000000003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</row>
        <row r="212">
          <cell r="B212" t="str">
            <v>Orkney</v>
          </cell>
          <cell r="D212">
            <v>61.494999999999997</v>
          </cell>
          <cell r="E212">
            <v>241.68</v>
          </cell>
          <cell r="F212">
            <v>16.800999999999998</v>
          </cell>
          <cell r="G212">
            <v>26.510999999999999</v>
          </cell>
          <cell r="H212">
            <v>2.9430000000000001</v>
          </cell>
          <cell r="I212">
            <v>0</v>
          </cell>
          <cell r="J212">
            <v>4.1989999999999998</v>
          </cell>
          <cell r="K212">
            <v>8.3800000000000008</v>
          </cell>
          <cell r="L212">
            <v>4.4580000000000002</v>
          </cell>
          <cell r="M212">
            <v>13.984999999999999</v>
          </cell>
          <cell r="N212">
            <v>2.0529999999999999</v>
          </cell>
          <cell r="O212">
            <v>3.484</v>
          </cell>
          <cell r="P212">
            <v>2.448</v>
          </cell>
          <cell r="Q212">
            <v>0</v>
          </cell>
          <cell r="R212">
            <v>0</v>
          </cell>
          <cell r="S212">
            <v>5.6000000000000001E-2</v>
          </cell>
          <cell r="T212">
            <v>0.20899999999999999</v>
          </cell>
          <cell r="U212">
            <v>1.2E-2</v>
          </cell>
          <cell r="V212">
            <v>0</v>
          </cell>
          <cell r="W212">
            <v>0</v>
          </cell>
          <cell r="X212">
            <v>0</v>
          </cell>
          <cell r="Y212">
            <v>0.64600000000000002</v>
          </cell>
          <cell r="Z212">
            <v>0</v>
          </cell>
          <cell r="AA212">
            <v>2.8610000000000002</v>
          </cell>
          <cell r="AB212">
            <v>9.4E-2</v>
          </cell>
          <cell r="AC212">
            <v>10.628</v>
          </cell>
          <cell r="AD212">
            <v>0</v>
          </cell>
          <cell r="AE212">
            <v>0</v>
          </cell>
          <cell r="AF212">
            <v>1.9490000000000001</v>
          </cell>
          <cell r="AG212">
            <v>2.0680000000000001</v>
          </cell>
          <cell r="AH212">
            <v>2.3090000000000002</v>
          </cell>
          <cell r="AI212">
            <v>6.5000000000000002E-2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0.91</v>
          </cell>
          <cell r="AT212">
            <v>5.9429999999999996</v>
          </cell>
          <cell r="AU212">
            <v>0</v>
          </cell>
          <cell r="AV212">
            <v>3.1989999999999998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0.67900000000000005</v>
          </cell>
          <cell r="BM212">
            <v>0.42399999999999999</v>
          </cell>
          <cell r="BN212">
            <v>0</v>
          </cell>
          <cell r="BO212">
            <v>0</v>
          </cell>
          <cell r="BP212">
            <v>0.112</v>
          </cell>
        </row>
        <row r="213">
          <cell r="B213" t="str">
            <v>Northern</v>
          </cell>
          <cell r="D213">
            <v>27.710999999999999</v>
          </cell>
          <cell r="E213">
            <v>64.965000000000003</v>
          </cell>
          <cell r="F213">
            <v>33.908000000000001</v>
          </cell>
          <cell r="G213">
            <v>20.581</v>
          </cell>
          <cell r="H213">
            <v>1.2010000000000001</v>
          </cell>
          <cell r="I213">
            <v>0</v>
          </cell>
          <cell r="J213">
            <v>75.015000000000001</v>
          </cell>
          <cell r="K213">
            <v>43.720999999999997</v>
          </cell>
          <cell r="L213">
            <v>0</v>
          </cell>
          <cell r="M213">
            <v>15.038599994659423</v>
          </cell>
          <cell r="N213">
            <v>0.318</v>
          </cell>
          <cell r="O213">
            <v>0.14599999999999999</v>
          </cell>
          <cell r="P213">
            <v>0.49099999999999999</v>
          </cell>
          <cell r="Q213">
            <v>0</v>
          </cell>
          <cell r="R213">
            <v>0</v>
          </cell>
          <cell r="S213">
            <v>3.9750000000000001</v>
          </cell>
          <cell r="T213">
            <v>2.4E-2</v>
          </cell>
          <cell r="U213">
            <v>8.9999999999999993E-3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52.883000000000003</v>
          </cell>
          <cell r="AG213">
            <v>0</v>
          </cell>
          <cell r="AH213">
            <v>28.795999999999999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18.928000000000001</v>
          </cell>
          <cell r="AU213">
            <v>0</v>
          </cell>
          <cell r="AV213">
            <v>8.6069999999999993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0.24099999999999999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</row>
        <row r="214">
          <cell r="B214" t="str">
            <v>Klondyke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</row>
        <row r="215">
          <cell r="B215" t="str">
            <v>Lunar</v>
          </cell>
          <cell r="D215">
            <v>150.80600000000001</v>
          </cell>
          <cell r="E215">
            <v>122.06100000000001</v>
          </cell>
          <cell r="F215">
            <v>17.157</v>
          </cell>
          <cell r="G215">
            <v>67.504999999999995</v>
          </cell>
          <cell r="H215">
            <v>1.129</v>
          </cell>
          <cell r="I215">
            <v>0</v>
          </cell>
          <cell r="J215">
            <v>0.10299999999999999</v>
          </cell>
          <cell r="K215">
            <v>0</v>
          </cell>
          <cell r="L215">
            <v>0</v>
          </cell>
          <cell r="M215">
            <v>2.2530000000000001</v>
          </cell>
          <cell r="N215">
            <v>0.111</v>
          </cell>
          <cell r="O215">
            <v>0</v>
          </cell>
          <cell r="P215">
            <v>0.442</v>
          </cell>
          <cell r="Q215">
            <v>0</v>
          </cell>
          <cell r="R215">
            <v>0</v>
          </cell>
          <cell r="S215">
            <v>0.42699999999999999</v>
          </cell>
          <cell r="T215">
            <v>3.2000000000000001E-2</v>
          </cell>
          <cell r="U215">
            <v>4.3999999999999997E-2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2.9000000000000001E-2</v>
          </cell>
          <cell r="AT215">
            <v>1.0309999999999999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</row>
        <row r="216">
          <cell r="B216" t="str">
            <v>Anglo Scottish</v>
          </cell>
          <cell r="D216">
            <v>41.084659998512265</v>
          </cell>
          <cell r="E216">
            <v>358.67507000212663</v>
          </cell>
          <cell r="F216">
            <v>69.837199999999996</v>
          </cell>
          <cell r="G216">
            <v>44.479599999999998</v>
          </cell>
          <cell r="H216">
            <v>3.4614000011444088</v>
          </cell>
          <cell r="I216">
            <v>8.3599999999999994E-2</v>
          </cell>
          <cell r="J216">
            <v>0.13900000000000001</v>
          </cell>
          <cell r="K216">
            <v>161.69329999999999</v>
          </cell>
          <cell r="L216">
            <v>6.8659999999999997</v>
          </cell>
          <cell r="M216">
            <v>9.425420009231571</v>
          </cell>
          <cell r="N216">
            <v>0.81200000000000006</v>
          </cell>
          <cell r="O216">
            <v>0.61860000000000004</v>
          </cell>
          <cell r="P216">
            <v>0.68464999942779503</v>
          </cell>
          <cell r="Q216">
            <v>0</v>
          </cell>
          <cell r="R216">
            <v>0</v>
          </cell>
          <cell r="S216">
            <v>2.0736800002574918</v>
          </cell>
          <cell r="T216">
            <v>0.52813999996185301</v>
          </cell>
          <cell r="U216">
            <v>0.1449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1.0999999999999999E-2</v>
          </cell>
          <cell r="AT216">
            <v>2.2095999999999996</v>
          </cell>
          <cell r="AU216">
            <v>0</v>
          </cell>
          <cell r="AV216">
            <v>0</v>
          </cell>
          <cell r="AW216">
            <v>0</v>
          </cell>
          <cell r="AX216" t="str">
            <v>*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1.04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</row>
        <row r="217">
          <cell r="B217" t="str">
            <v>EEFPO</v>
          </cell>
          <cell r="D217">
            <v>291.07100000000003</v>
          </cell>
          <cell r="E217">
            <v>394.98160000000001</v>
          </cell>
          <cell r="F217">
            <v>138.0532</v>
          </cell>
          <cell r="G217">
            <v>127.9187</v>
          </cell>
          <cell r="H217">
            <v>13.8293</v>
          </cell>
          <cell r="I217">
            <v>9.4999999999999998E-3</v>
          </cell>
          <cell r="J217">
            <v>5.4868999999999994</v>
          </cell>
          <cell r="K217">
            <v>11.981999999999999</v>
          </cell>
          <cell r="L217">
            <v>44.174299999999995</v>
          </cell>
          <cell r="M217">
            <v>52.070500000000003</v>
          </cell>
          <cell r="N217">
            <v>9.5279999999999987</v>
          </cell>
          <cell r="O217">
            <v>2.7357</v>
          </cell>
          <cell r="P217">
            <v>4.1812000000000005</v>
          </cell>
          <cell r="Q217">
            <v>0</v>
          </cell>
          <cell r="R217">
            <v>0</v>
          </cell>
          <cell r="S217">
            <v>4.0786999999999995</v>
          </cell>
          <cell r="T217">
            <v>0.65710000000000002</v>
          </cell>
          <cell r="U217">
            <v>7.8799999999999995E-2</v>
          </cell>
          <cell r="V217">
            <v>0</v>
          </cell>
          <cell r="W217">
            <v>1.7399999999999999E-2</v>
          </cell>
          <cell r="X217">
            <v>0</v>
          </cell>
          <cell r="Y217">
            <v>0</v>
          </cell>
          <cell r="Z217">
            <v>0</v>
          </cell>
          <cell r="AA217">
            <v>0.97099999999999997</v>
          </cell>
          <cell r="AB217">
            <v>4.7199999999999999E-2</v>
          </cell>
          <cell r="AC217">
            <v>6.3E-2</v>
          </cell>
          <cell r="AD217">
            <v>0.1535</v>
          </cell>
          <cell r="AE217">
            <v>0</v>
          </cell>
          <cell r="AF217">
            <v>0</v>
          </cell>
          <cell r="AG217">
            <v>3.5669</v>
          </cell>
          <cell r="AH217">
            <v>0</v>
          </cell>
          <cell r="AI217">
            <v>1.1599999999999999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11.934399999999998</v>
          </cell>
          <cell r="AU217">
            <v>0</v>
          </cell>
          <cell r="AV217">
            <v>0</v>
          </cell>
          <cell r="AW217">
            <v>0</v>
          </cell>
          <cell r="AX217" t="str">
            <v>*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0.64179999999999993</v>
          </cell>
          <cell r="BM217">
            <v>1.2158</v>
          </cell>
          <cell r="BN217">
            <v>0</v>
          </cell>
          <cell r="BO217">
            <v>0</v>
          </cell>
          <cell r="BP217">
            <v>0</v>
          </cell>
        </row>
        <row r="218">
          <cell r="B218" t="str">
            <v>Fleetwood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 t="str">
            <v>*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</row>
        <row r="219">
          <cell r="B219" t="str">
            <v>FPO</v>
          </cell>
          <cell r="D219">
            <v>8.7318999999999996</v>
          </cell>
          <cell r="E219">
            <v>8.9334000000000007</v>
          </cell>
          <cell r="F219">
            <v>8.0485000000000007</v>
          </cell>
          <cell r="G219">
            <v>389.15390000000002</v>
          </cell>
          <cell r="H219">
            <v>4.4999999999999997E-3</v>
          </cell>
          <cell r="I219">
            <v>0</v>
          </cell>
          <cell r="J219">
            <v>13.3361</v>
          </cell>
          <cell r="K219">
            <v>0</v>
          </cell>
          <cell r="L219">
            <v>0</v>
          </cell>
          <cell r="M219">
            <v>2.7845</v>
          </cell>
          <cell r="N219">
            <v>1.5427</v>
          </cell>
          <cell r="O219">
            <v>0</v>
          </cell>
          <cell r="P219">
            <v>4.3200000000000002E-2</v>
          </cell>
          <cell r="Q219">
            <v>0</v>
          </cell>
          <cell r="R219">
            <v>0</v>
          </cell>
          <cell r="S219">
            <v>0.17630000000000001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0.71540000000000004</v>
          </cell>
          <cell r="AT219">
            <v>6.9676999999999998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</row>
        <row r="220">
          <cell r="B220" t="str">
            <v>NIFPO</v>
          </cell>
          <cell r="D220">
            <v>130.11680000000001</v>
          </cell>
          <cell r="E220">
            <v>95.336200000000005</v>
          </cell>
          <cell r="F220">
            <v>19.653199999999998</v>
          </cell>
          <cell r="G220">
            <v>25.921600000000002</v>
          </cell>
          <cell r="H220">
            <v>2.9721000000000002</v>
          </cell>
          <cell r="I220">
            <v>2.3E-3</v>
          </cell>
          <cell r="J220">
            <v>41.245999999999995</v>
          </cell>
          <cell r="K220">
            <v>52.003100000000003</v>
          </cell>
          <cell r="L220">
            <v>0.3387</v>
          </cell>
          <cell r="M220">
            <v>30.499199999999998</v>
          </cell>
          <cell r="N220">
            <v>1.6566000000000001</v>
          </cell>
          <cell r="O220">
            <v>0.53769999999999996</v>
          </cell>
          <cell r="P220">
            <v>4.7899000000000003</v>
          </cell>
          <cell r="Q220">
            <v>0</v>
          </cell>
          <cell r="R220">
            <v>0</v>
          </cell>
          <cell r="S220">
            <v>1.6042000000000001</v>
          </cell>
          <cell r="T220">
            <v>9.4200000000000006E-2</v>
          </cell>
          <cell r="U220">
            <v>9.1999999999999998E-3</v>
          </cell>
          <cell r="V220">
            <v>0</v>
          </cell>
          <cell r="W220">
            <v>0</v>
          </cell>
          <cell r="X220">
            <v>0</v>
          </cell>
          <cell r="Y220">
            <v>0.44889999999999997</v>
          </cell>
          <cell r="Z220">
            <v>0</v>
          </cell>
          <cell r="AA220">
            <v>5.0952999999999999</v>
          </cell>
          <cell r="AB220">
            <v>0</v>
          </cell>
          <cell r="AC220">
            <v>10.0336</v>
          </cell>
          <cell r="AD220">
            <v>0</v>
          </cell>
          <cell r="AE220">
            <v>0</v>
          </cell>
          <cell r="AF220">
            <v>27.117699999999996</v>
          </cell>
          <cell r="AG220">
            <v>13.7422</v>
          </cell>
          <cell r="AH220">
            <v>37.654399999999995</v>
          </cell>
          <cell r="AI220">
            <v>7.6189999999999998</v>
          </cell>
          <cell r="AJ220">
            <v>2.6406999999999998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12.205400000000001</v>
          </cell>
          <cell r="AU220">
            <v>0</v>
          </cell>
          <cell r="AV220">
            <v>5.2767999999999997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0.18</v>
          </cell>
          <cell r="BN220">
            <v>0</v>
          </cell>
          <cell r="BO220">
            <v>0</v>
          </cell>
          <cell r="BP220">
            <v>3.2109999999999999</v>
          </cell>
        </row>
        <row r="221">
          <cell r="B221" t="str">
            <v>ANIFPO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136.01130000000001</v>
          </cell>
          <cell r="K221">
            <v>8.1587999999999994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3.5238</v>
          </cell>
          <cell r="AB221">
            <v>0</v>
          </cell>
          <cell r="AC221">
            <v>8.3000000000000001E-3</v>
          </cell>
          <cell r="AD221">
            <v>0</v>
          </cell>
          <cell r="AE221">
            <v>0</v>
          </cell>
          <cell r="AF221">
            <v>206.6078</v>
          </cell>
          <cell r="AG221">
            <v>1.4500000000000001E-2</v>
          </cell>
          <cell r="AH221">
            <v>4.0328999999999997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5.6345000000000001</v>
          </cell>
          <cell r="AU221">
            <v>0</v>
          </cell>
          <cell r="AV221">
            <v>40.168999999999997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0.76600000000000001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</row>
        <row r="222">
          <cell r="B222" t="str">
            <v>Cornish</v>
          </cell>
          <cell r="D222">
            <v>130.30779999999999</v>
          </cell>
          <cell r="E222">
            <v>90.114699999999999</v>
          </cell>
          <cell r="F222">
            <v>44.447800000000001</v>
          </cell>
          <cell r="G222">
            <v>28.762599999999999</v>
          </cell>
          <cell r="H222">
            <v>1.1369</v>
          </cell>
          <cell r="I222">
            <v>0</v>
          </cell>
          <cell r="J222">
            <v>0.2918</v>
          </cell>
          <cell r="K222">
            <v>1.8320000000000001</v>
          </cell>
          <cell r="L222">
            <v>0.03</v>
          </cell>
          <cell r="M222">
            <v>16.3431</v>
          </cell>
          <cell r="N222">
            <v>0.78149999999999997</v>
          </cell>
          <cell r="O222">
            <v>0.28939999999999999</v>
          </cell>
          <cell r="P222">
            <v>0.71189999999999998</v>
          </cell>
          <cell r="Q222">
            <v>0</v>
          </cell>
          <cell r="R222">
            <v>0</v>
          </cell>
          <cell r="S222">
            <v>3.7793999999999999</v>
          </cell>
          <cell r="T222">
            <v>1.0800000000000001E-2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285.9991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4.5706000000000007</v>
          </cell>
          <cell r="AU222">
            <v>0</v>
          </cell>
          <cell r="AV222">
            <v>15.8232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3.3999999999999998E-3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6.8400000000000002E-2</v>
          </cell>
          <cell r="BN222">
            <v>0</v>
          </cell>
          <cell r="BO222">
            <v>3.7</v>
          </cell>
          <cell r="BP222">
            <v>0</v>
          </cell>
        </row>
        <row r="223">
          <cell r="B223" t="str">
            <v>South West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9.4299999999999995E-2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0.8659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</row>
        <row r="224">
          <cell r="B224" t="str">
            <v>North sea</v>
          </cell>
          <cell r="D224">
            <v>8.281600000000001</v>
          </cell>
          <cell r="E224">
            <v>0.1038</v>
          </cell>
          <cell r="F224">
            <v>0.85860000000000003</v>
          </cell>
          <cell r="G224">
            <v>0</v>
          </cell>
          <cell r="H224">
            <v>635.23509999999999</v>
          </cell>
          <cell r="I224">
            <v>16.157</v>
          </cell>
          <cell r="J224">
            <v>0</v>
          </cell>
          <cell r="K224">
            <v>1.1319999999999999</v>
          </cell>
          <cell r="L224">
            <v>0</v>
          </cell>
          <cell r="M224">
            <v>0.17899999999999999</v>
          </cell>
          <cell r="N224">
            <v>0</v>
          </cell>
          <cell r="O224">
            <v>3.3978999999999999</v>
          </cell>
          <cell r="P224">
            <v>3.4303999999999997</v>
          </cell>
          <cell r="Q224">
            <v>9.6910000000000007</v>
          </cell>
          <cell r="R224">
            <v>0</v>
          </cell>
          <cell r="S224">
            <v>4.9914000000000005</v>
          </cell>
          <cell r="T224">
            <v>11.3268</v>
          </cell>
          <cell r="U224">
            <v>7.0137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2.9000000000000001E-2</v>
          </cell>
          <cell r="AU224">
            <v>0</v>
          </cell>
          <cell r="AV224">
            <v>2.8500000000000001E-2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</row>
        <row r="225">
          <cell r="B225" t="str">
            <v>Lowestoft</v>
          </cell>
          <cell r="D225">
            <v>1.6409</v>
          </cell>
          <cell r="E225">
            <v>0</v>
          </cell>
          <cell r="F225">
            <v>3.2212999999999998</v>
          </cell>
          <cell r="G225">
            <v>0</v>
          </cell>
          <cell r="H225">
            <v>219.05969999999999</v>
          </cell>
          <cell r="I225">
            <v>13.135199999999999</v>
          </cell>
          <cell r="J225">
            <v>0</v>
          </cell>
          <cell r="K225">
            <v>2.8E-3</v>
          </cell>
          <cell r="L225">
            <v>0</v>
          </cell>
          <cell r="M225">
            <v>7.1999999999999998E-3</v>
          </cell>
          <cell r="N225">
            <v>0</v>
          </cell>
          <cell r="O225">
            <v>1.1061000000000001</v>
          </cell>
          <cell r="P225">
            <v>1.7725</v>
          </cell>
          <cell r="Q225">
            <v>0</v>
          </cell>
          <cell r="R225">
            <v>0</v>
          </cell>
          <cell r="S225">
            <v>2.9399999999999999E-2</v>
          </cell>
          <cell r="T225">
            <v>6.3357999999999999</v>
          </cell>
          <cell r="U225">
            <v>2.0326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8.8000000000000005E-3</v>
          </cell>
          <cell r="AU225">
            <v>0</v>
          </cell>
          <cell r="AV225">
            <v>0</v>
          </cell>
          <cell r="AW225">
            <v>0</v>
          </cell>
          <cell r="AX225" t="str">
            <v>*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</row>
        <row r="226">
          <cell r="B226" t="str">
            <v>Wales &amp; WC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76.206500000000005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31.671100000000003</v>
          </cell>
          <cell r="AW226">
            <v>0</v>
          </cell>
          <cell r="AX226" t="str">
            <v>*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0.70809999999999995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</row>
        <row r="227">
          <cell r="B227" t="str">
            <v>Interfish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3.15E-2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0.12180000000000001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</row>
        <row r="228">
          <cell r="B228" t="str">
            <v>North Atlantic FPO</v>
          </cell>
          <cell r="D228">
            <v>1.3305</v>
          </cell>
          <cell r="E228">
            <v>0</v>
          </cell>
          <cell r="F228">
            <v>1.6069</v>
          </cell>
          <cell r="G228">
            <v>0</v>
          </cell>
          <cell r="H228">
            <v>15.6996</v>
          </cell>
          <cell r="I228">
            <v>16.919</v>
          </cell>
          <cell r="J228">
            <v>0</v>
          </cell>
          <cell r="K228">
            <v>0</v>
          </cell>
          <cell r="L228">
            <v>0</v>
          </cell>
          <cell r="M228">
            <v>3.8699999999999998E-2</v>
          </cell>
          <cell r="N228">
            <v>0</v>
          </cell>
          <cell r="O228">
            <v>1.7537</v>
          </cell>
          <cell r="P228">
            <v>0.13669999999999999</v>
          </cell>
          <cell r="Q228">
            <v>0</v>
          </cell>
          <cell r="R228">
            <v>0</v>
          </cell>
          <cell r="S228">
            <v>0</v>
          </cell>
          <cell r="T228">
            <v>1.5859000000000001</v>
          </cell>
          <cell r="U228">
            <v>2.8957999999999999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0.65469999999999995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1.8E-3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</row>
        <row r="229">
          <cell r="B229" t="str">
            <v>UK sector Total</v>
          </cell>
          <cell r="D229">
            <v>2454.5642700037006</v>
          </cell>
          <cell r="E229">
            <v>3814.8446899891137</v>
          </cell>
          <cell r="F229">
            <v>1882.7261000068661</v>
          </cell>
          <cell r="G229">
            <v>1654.4403</v>
          </cell>
          <cell r="H229">
            <v>1064.6811799956799</v>
          </cell>
          <cell r="I229">
            <v>49.889900000000004</v>
          </cell>
          <cell r="J229">
            <v>425.02760000000006</v>
          </cell>
          <cell r="K229">
            <v>942.30860000762937</v>
          </cell>
          <cell r="L229">
            <v>137.70999999999998</v>
          </cell>
          <cell r="M229">
            <v>1328.5750500197407</v>
          </cell>
          <cell r="N229">
            <v>124.3869</v>
          </cell>
          <cell r="O229">
            <v>71.312900000762937</v>
          </cell>
          <cell r="P229">
            <v>49.730249999427798</v>
          </cell>
          <cell r="Q229">
            <v>12.228000000000002</v>
          </cell>
          <cell r="R229">
            <v>0</v>
          </cell>
          <cell r="S229">
            <v>159.6342600013256</v>
          </cell>
          <cell r="T229">
            <v>25.450439997673037</v>
          </cell>
          <cell r="U229">
            <v>13.216000000000001</v>
          </cell>
          <cell r="V229">
            <v>0</v>
          </cell>
          <cell r="W229">
            <v>1.7399999999999999E-2</v>
          </cell>
          <cell r="X229">
            <v>0</v>
          </cell>
          <cell r="Y229">
            <v>39.237899999999996</v>
          </cell>
          <cell r="Z229">
            <v>16.12</v>
          </cell>
          <cell r="AA229">
            <v>162.35839999999996</v>
          </cell>
          <cell r="AB229">
            <v>13.396199999999999</v>
          </cell>
          <cell r="AC229">
            <v>512.76220000000012</v>
          </cell>
          <cell r="AD229">
            <v>3.2514999999999996</v>
          </cell>
          <cell r="AE229">
            <v>1.4E-2</v>
          </cell>
          <cell r="AF229">
            <v>734.99820000305169</v>
          </cell>
          <cell r="AG229">
            <v>399.95659999999992</v>
          </cell>
          <cell r="AH229">
            <v>321.16730000000001</v>
          </cell>
          <cell r="AI229">
            <v>111.09399999999999</v>
          </cell>
          <cell r="AJ229">
            <v>5.2498000000000005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4.2014000000000005</v>
          </cell>
          <cell r="AT229">
            <v>282.92989999999992</v>
          </cell>
          <cell r="AU229">
            <v>3.9870000000000001</v>
          </cell>
          <cell r="AV229">
            <v>256.38789999923711</v>
          </cell>
          <cell r="AW229">
            <v>18.234999999999999</v>
          </cell>
          <cell r="AX229">
            <v>0</v>
          </cell>
          <cell r="AY229">
            <v>0.95499999999999996</v>
          </cell>
          <cell r="AZ229">
            <v>3.1520000000000001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0.23599999999999999</v>
          </cell>
          <cell r="BH229">
            <v>9.6745000000000019</v>
          </cell>
          <cell r="BI229">
            <v>0</v>
          </cell>
          <cell r="BJ229">
            <v>0</v>
          </cell>
          <cell r="BK229">
            <v>4.8000000000000001E-2</v>
          </cell>
          <cell r="BL229">
            <v>5.5488</v>
          </cell>
          <cell r="BM229">
            <v>3.1431999999999998</v>
          </cell>
          <cell r="BN229">
            <v>0</v>
          </cell>
          <cell r="BO229">
            <v>3.7</v>
          </cell>
          <cell r="BP229">
            <v>89.594999999999985</v>
          </cell>
        </row>
        <row r="231">
          <cell r="B231" t="str">
            <v>Non Sector - England</v>
          </cell>
          <cell r="D231">
            <v>1.1178999999999999</v>
          </cell>
          <cell r="E231">
            <v>3.6200000000000003E-2</v>
          </cell>
          <cell r="F231">
            <v>0.71699999999999997</v>
          </cell>
          <cell r="G231">
            <v>0</v>
          </cell>
          <cell r="H231">
            <v>0.32290000000000002</v>
          </cell>
          <cell r="I231">
            <v>4.2099999999999999E-2</v>
          </cell>
          <cell r="J231">
            <v>1.1900000000000001E-2</v>
          </cell>
          <cell r="K231">
            <v>5.569</v>
          </cell>
          <cell r="L231">
            <v>0</v>
          </cell>
          <cell r="M231">
            <v>0.11650000000000001</v>
          </cell>
          <cell r="N231">
            <v>0</v>
          </cell>
          <cell r="O231">
            <v>1.5401</v>
          </cell>
          <cell r="P231">
            <v>3.3399999999999999E-2</v>
          </cell>
          <cell r="Q231">
            <v>0</v>
          </cell>
          <cell r="R231">
            <v>0</v>
          </cell>
          <cell r="S231">
            <v>5.7000000000000002E-3</v>
          </cell>
          <cell r="T231">
            <v>0.13270000000000001</v>
          </cell>
          <cell r="U231">
            <v>9.5999999999999992E-3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7.4999999999999997E-3</v>
          </cell>
          <cell r="AU231">
            <v>0</v>
          </cell>
          <cell r="AV231">
            <v>0.1021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</row>
        <row r="232">
          <cell r="B232" t="str">
            <v>Non Sector - Wales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</row>
        <row r="233">
          <cell r="B233" t="str">
            <v>Non Sector - Scotland</v>
          </cell>
          <cell r="D233">
            <v>4.1000000000000002E-2</v>
          </cell>
          <cell r="E233">
            <v>7.0000000000000001E-3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25.256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13.271000000000001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</row>
        <row r="234">
          <cell r="B234" t="str">
            <v>Non Sector - N.Ireland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</row>
        <row r="236">
          <cell r="B236" t="str">
            <v>Isle of Man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</row>
        <row r="238">
          <cell r="B238" t="str">
            <v>Under 10m - England</v>
          </cell>
          <cell r="D238">
            <v>10.812099999999999</v>
          </cell>
          <cell r="E238">
            <v>0.56189999999999996</v>
          </cell>
          <cell r="F238">
            <v>9.0953999999999997</v>
          </cell>
          <cell r="G238">
            <v>2.2499999999999999E-2</v>
          </cell>
          <cell r="H238">
            <v>6.2731000000000003</v>
          </cell>
          <cell r="I238">
            <v>2.1974</v>
          </cell>
          <cell r="J238">
            <v>4.5999999999999999E-3</v>
          </cell>
          <cell r="K238">
            <v>45.1021</v>
          </cell>
          <cell r="L238">
            <v>0</v>
          </cell>
          <cell r="M238">
            <v>0.18720000000000001</v>
          </cell>
          <cell r="N238">
            <v>0</v>
          </cell>
          <cell r="O238">
            <v>33.921599999999998</v>
          </cell>
          <cell r="P238">
            <v>0.1487</v>
          </cell>
          <cell r="Q238">
            <v>0</v>
          </cell>
          <cell r="R238">
            <v>0</v>
          </cell>
          <cell r="S238">
            <v>1.9E-3</v>
          </cell>
          <cell r="T238">
            <v>0.59060000000000001</v>
          </cell>
          <cell r="U238">
            <v>0.25490000000000002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0.18240000000000001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5.0999999999999997E-2</v>
          </cell>
          <cell r="AU238">
            <v>0</v>
          </cell>
          <cell r="AV238">
            <v>6.5201000000000002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1.12E-2</v>
          </cell>
          <cell r="BP238">
            <v>0</v>
          </cell>
        </row>
        <row r="239">
          <cell r="B239" t="str">
            <v>Under 10m - Wales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</row>
        <row r="240">
          <cell r="B240" t="str">
            <v>Under 10m - Scotland</v>
          </cell>
          <cell r="D240">
            <v>8.8800000000000008</v>
          </cell>
          <cell r="E240">
            <v>0</v>
          </cell>
          <cell r="F240">
            <v>0</v>
          </cell>
          <cell r="G240">
            <v>0.90800000000000003</v>
          </cell>
          <cell r="H240">
            <v>0</v>
          </cell>
          <cell r="I240">
            <v>0</v>
          </cell>
          <cell r="J240">
            <v>0</v>
          </cell>
          <cell r="K240">
            <v>21.381</v>
          </cell>
          <cell r="L240">
            <v>0</v>
          </cell>
          <cell r="M240">
            <v>0</v>
          </cell>
          <cell r="N240">
            <v>0</v>
          </cell>
          <cell r="O240">
            <v>7.5999999999999998E-2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37.402999999999999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0.08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</row>
        <row r="241">
          <cell r="B241" t="str">
            <v>Under 10m - N.Ireland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</row>
        <row r="243">
          <cell r="B243" t="str">
            <v>TOTAL</v>
          </cell>
          <cell r="D243">
            <v>2475.4152700037007</v>
          </cell>
          <cell r="E243">
            <v>3815.4497899891135</v>
          </cell>
          <cell r="F243">
            <v>1892.5385000068661</v>
          </cell>
          <cell r="G243">
            <v>1655.3707999999997</v>
          </cell>
          <cell r="H243">
            <v>1071.2771799956799</v>
          </cell>
          <cell r="I243">
            <v>52.129400000000004</v>
          </cell>
          <cell r="J243">
            <v>425.04410000000007</v>
          </cell>
          <cell r="K243">
            <v>1039.6167000076293</v>
          </cell>
          <cell r="L243">
            <v>137.70999999999998</v>
          </cell>
          <cell r="M243">
            <v>1328.8787500197409</v>
          </cell>
          <cell r="N243">
            <v>124.3869</v>
          </cell>
          <cell r="O243">
            <v>106.85060000076294</v>
          </cell>
          <cell r="P243">
            <v>49.912349999427796</v>
          </cell>
          <cell r="Q243">
            <v>12.228000000000002</v>
          </cell>
          <cell r="R243">
            <v>0</v>
          </cell>
          <cell r="S243">
            <v>159.6418600013256</v>
          </cell>
          <cell r="T243">
            <v>26.173739997673035</v>
          </cell>
          <cell r="U243">
            <v>13.480499999999999</v>
          </cell>
          <cell r="V243">
            <v>0</v>
          </cell>
          <cell r="W243">
            <v>1.7399999999999999E-2</v>
          </cell>
          <cell r="X243">
            <v>0</v>
          </cell>
          <cell r="Y243">
            <v>39.237899999999996</v>
          </cell>
          <cell r="Z243">
            <v>16.12</v>
          </cell>
          <cell r="AA243">
            <v>162.35839999999996</v>
          </cell>
          <cell r="AB243">
            <v>13.396199999999999</v>
          </cell>
          <cell r="AC243">
            <v>512.76220000000012</v>
          </cell>
          <cell r="AD243">
            <v>3.2514999999999996</v>
          </cell>
          <cell r="AE243">
            <v>1.4E-2</v>
          </cell>
          <cell r="AF243">
            <v>735.18060000305172</v>
          </cell>
          <cell r="AG243">
            <v>399.95659999999992</v>
          </cell>
          <cell r="AH243">
            <v>371.84130000000005</v>
          </cell>
          <cell r="AI243">
            <v>111.09399999999999</v>
          </cell>
          <cell r="AJ243">
            <v>5.2498000000000005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4.2014000000000005</v>
          </cell>
          <cell r="AT243">
            <v>283.06839999999994</v>
          </cell>
          <cell r="AU243">
            <v>3.9870000000000001</v>
          </cell>
          <cell r="AV243">
            <v>263.01009999923707</v>
          </cell>
          <cell r="AW243">
            <v>18.234999999999999</v>
          </cell>
          <cell r="AX243">
            <v>0</v>
          </cell>
          <cell r="AY243">
            <v>0.95499999999999996</v>
          </cell>
          <cell r="AZ243">
            <v>3.1520000000000001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0.23599999999999999</v>
          </cell>
          <cell r="BH243">
            <v>9.6745000000000019</v>
          </cell>
          <cell r="BI243">
            <v>0</v>
          </cell>
          <cell r="BJ243">
            <v>0</v>
          </cell>
          <cell r="BK243">
            <v>4.8000000000000001E-2</v>
          </cell>
          <cell r="BL243">
            <v>5.5488</v>
          </cell>
          <cell r="BM243">
            <v>3.1431999999999998</v>
          </cell>
          <cell r="BN243">
            <v>0</v>
          </cell>
          <cell r="BO243">
            <v>3.7112000000000003</v>
          </cell>
          <cell r="BP243">
            <v>89.594999999999985</v>
          </cell>
        </row>
      </sheetData>
      <sheetData sheetId="2">
        <row r="5">
          <cell r="B5">
            <v>43187</v>
          </cell>
        </row>
        <row r="221">
          <cell r="D221">
            <v>1.9410000000000001</v>
          </cell>
          <cell r="E221">
            <v>6.4500000000000002E-2</v>
          </cell>
          <cell r="F221">
            <v>1.2475000000000001</v>
          </cell>
          <cell r="G221">
            <v>0</v>
          </cell>
          <cell r="H221">
            <v>0.45140000000000002</v>
          </cell>
          <cell r="I221">
            <v>0.1336</v>
          </cell>
          <cell r="J221">
            <v>1.1900000000000001E-2</v>
          </cell>
          <cell r="K221">
            <v>8.6661999999999999</v>
          </cell>
          <cell r="L221">
            <v>0</v>
          </cell>
          <cell r="M221">
            <v>0.17810000000000001</v>
          </cell>
          <cell r="N221">
            <v>0</v>
          </cell>
          <cell r="O221">
            <v>6.1028000000000002</v>
          </cell>
          <cell r="P221">
            <v>8.8599999999999998E-2</v>
          </cell>
          <cell r="Q221">
            <v>0</v>
          </cell>
          <cell r="R221">
            <v>0</v>
          </cell>
          <cell r="S221">
            <v>1.34E-2</v>
          </cell>
          <cell r="T221">
            <v>0.22059999999999999</v>
          </cell>
          <cell r="U221">
            <v>1.23E-2</v>
          </cell>
          <cell r="W221">
            <v>0</v>
          </cell>
          <cell r="X221">
            <v>0</v>
          </cell>
          <cell r="Y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X222">
            <v>0</v>
          </cell>
          <cell r="Y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</row>
        <row r="223">
          <cell r="D223">
            <v>4.1000000000000002E-2</v>
          </cell>
          <cell r="E223">
            <v>0.14699999999999999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37.874000000000002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W223">
            <v>0</v>
          </cell>
          <cell r="X223">
            <v>0</v>
          </cell>
          <cell r="Y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G223">
            <v>0</v>
          </cell>
          <cell r="AH223">
            <v>33.304000000000002</v>
          </cell>
          <cell r="AI223">
            <v>0</v>
          </cell>
          <cell r="AJ223">
            <v>0</v>
          </cell>
          <cell r="AK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  <cell r="X224">
            <v>0</v>
          </cell>
          <cell r="Y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</row>
        <row r="228">
          <cell r="D228">
            <v>16.184000000000001</v>
          </cell>
          <cell r="E228">
            <v>1.0384</v>
          </cell>
          <cell r="F228">
            <v>14.8186</v>
          </cell>
          <cell r="G228">
            <v>2.2499999999999999E-2</v>
          </cell>
          <cell r="H228">
            <v>7.5499000000000001</v>
          </cell>
          <cell r="I228">
            <v>2.8264999999999998</v>
          </cell>
          <cell r="J228">
            <v>6.3E-3</v>
          </cell>
          <cell r="K228">
            <v>71.308199999999999</v>
          </cell>
          <cell r="L228">
            <v>0</v>
          </cell>
          <cell r="M228">
            <v>0.89190000000000003</v>
          </cell>
          <cell r="N228">
            <v>0</v>
          </cell>
          <cell r="O228">
            <v>49.489400000000003</v>
          </cell>
          <cell r="P228">
            <v>1.0017</v>
          </cell>
          <cell r="Q228">
            <v>0</v>
          </cell>
          <cell r="R228">
            <v>0</v>
          </cell>
          <cell r="S228">
            <v>4.0000000000000001E-3</v>
          </cell>
          <cell r="T228">
            <v>0.92490000000000006</v>
          </cell>
          <cell r="U228">
            <v>0.42980000000000002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</row>
        <row r="230">
          <cell r="D230">
            <v>13.026</v>
          </cell>
          <cell r="E230">
            <v>0</v>
          </cell>
          <cell r="F230">
            <v>1.4999999999999999E-2</v>
          </cell>
          <cell r="G230">
            <v>1.3779999999999999</v>
          </cell>
          <cell r="H230">
            <v>1.4999999999999999E-2</v>
          </cell>
          <cell r="I230">
            <v>0</v>
          </cell>
          <cell r="J230">
            <v>0</v>
          </cell>
          <cell r="K230">
            <v>37.040999999999997</v>
          </cell>
          <cell r="L230">
            <v>0</v>
          </cell>
          <cell r="M230">
            <v>1E-3</v>
          </cell>
          <cell r="N230">
            <v>0</v>
          </cell>
          <cell r="O230">
            <v>0.623</v>
          </cell>
          <cell r="P230">
            <v>7.0000000000000001E-3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G230">
            <v>0</v>
          </cell>
          <cell r="AH230">
            <v>102.89700000000001</v>
          </cell>
          <cell r="AI230">
            <v>0</v>
          </cell>
          <cell r="AJ230">
            <v>2E-3</v>
          </cell>
          <cell r="AK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</row>
      </sheetData>
      <sheetData sheetId="3">
        <row r="1">
          <cell r="E1">
            <v>43187</v>
          </cell>
        </row>
        <row r="2">
          <cell r="B2" t="str">
            <v>Closure dates of fisheries</v>
          </cell>
        </row>
        <row r="4">
          <cell r="B4" t="str">
            <v>Name</v>
          </cell>
          <cell r="D4" t="str">
            <v>Area 4 - North Sea</v>
          </cell>
          <cell r="U4" t="str">
            <v>Area 6 - West Coast</v>
          </cell>
          <cell r="AI4" t="str">
            <v>Faroese</v>
          </cell>
          <cell r="AP4" t="str">
            <v>Deepwater Species</v>
          </cell>
          <cell r="BG4" t="str">
            <v>Norway</v>
          </cell>
        </row>
        <row r="5">
          <cell r="B5" t="str">
            <v>of PO</v>
          </cell>
          <cell r="D5" t="str">
            <v>NS Cod</v>
          </cell>
          <cell r="E5" t="str">
            <v>NS Had</v>
          </cell>
          <cell r="F5" t="str">
            <v>NS Whi</v>
          </cell>
          <cell r="G5" t="str">
            <v>NS Sai</v>
          </cell>
          <cell r="H5" t="str">
            <v>NS Plai</v>
          </cell>
          <cell r="I5" t="str">
            <v>NS Sole</v>
          </cell>
          <cell r="J5" t="str">
            <v>NS Hake</v>
          </cell>
          <cell r="K5" t="str">
            <v>NS Neph</v>
          </cell>
          <cell r="L5" t="str">
            <v>Nor Oth</v>
          </cell>
          <cell r="M5" t="str">
            <v>NS Monk</v>
          </cell>
          <cell r="N5" t="str">
            <v>NS Meg</v>
          </cell>
          <cell r="O5" t="str">
            <v>NS Lems/Wtch</v>
          </cell>
          <cell r="P5" t="str">
            <v>NS Sk/Rays</v>
          </cell>
          <cell r="Q5" t="str">
            <v>NS Dabs/Fldr</v>
          </cell>
          <cell r="R5" t="str">
            <v>NS Tur/Brll</v>
          </cell>
          <cell r="S5" t="str">
            <v>NS Dogs</v>
          </cell>
          <cell r="T5" t="str">
            <v>Northern Prawn</v>
          </cell>
          <cell r="U5" t="str">
            <v>Cod VIb</v>
          </cell>
          <cell r="V5" t="str">
            <v>Cod VIa</v>
          </cell>
          <cell r="W5" t="str">
            <v xml:space="preserve">WS Had VIb, XII, XIV </v>
          </cell>
          <cell r="X5" t="str">
            <v>Had VIa, Vb (EC)</v>
          </cell>
          <cell r="Y5" t="str">
            <v>WS Whi</v>
          </cell>
          <cell r="Z5" t="str">
            <v>WS Sai</v>
          </cell>
          <cell r="AA5" t="str">
            <v>WS Plai</v>
          </cell>
          <cell r="AB5" t="str">
            <v>WS Sole</v>
          </cell>
          <cell r="AC5" t="str">
            <v>WS Hake</v>
          </cell>
          <cell r="AD5" t="str">
            <v>WS Monk</v>
          </cell>
          <cell r="AE5" t="str">
            <v>WS Neph</v>
          </cell>
          <cell r="AF5" t="str">
            <v>WS Meg</v>
          </cell>
          <cell r="AG5" t="str">
            <v>WS Poll</v>
          </cell>
          <cell r="AH5" t="str">
            <v>GHL246</v>
          </cell>
          <cell r="AI5" t="str">
            <v>Far Cod/Had</v>
          </cell>
          <cell r="AJ5" t="str">
            <v>Far Saithe</v>
          </cell>
          <cell r="AK5" t="str">
            <v>Far Red</v>
          </cell>
          <cell r="AL5" t="str">
            <v>Far Ling</v>
          </cell>
          <cell r="AM5" t="str">
            <v>Far Flat</v>
          </cell>
          <cell r="AN5" t="str">
            <v>Far Oth</v>
          </cell>
          <cell r="AO5" t="str">
            <v>Far Blue Whiting</v>
          </cell>
          <cell r="AP5" t="str">
            <v>TUS4</v>
          </cell>
          <cell r="AQ5" t="str">
            <v>LIN4</v>
          </cell>
          <cell r="AR5" t="str">
            <v>TUS567</v>
          </cell>
          <cell r="AS5" t="str">
            <v>LIN714</v>
          </cell>
          <cell r="AT5" t="str">
            <v>BS5678</v>
          </cell>
          <cell r="AU5" t="str">
            <v>ARG567</v>
          </cell>
          <cell r="AV5" t="str">
            <v>RG5B67</v>
          </cell>
          <cell r="AW5" t="str">
            <v>BL67</v>
          </cell>
          <cell r="AX5" t="str">
            <v>ARG112</v>
          </cell>
          <cell r="AY5" t="str">
            <v>DSSHK</v>
          </cell>
          <cell r="AZ5" t="str">
            <v>DSSHK12</v>
          </cell>
          <cell r="BA5" t="str">
            <v>ALF312</v>
          </cell>
          <cell r="BB5" t="str">
            <v>RG814</v>
          </cell>
          <cell r="BC5" t="str">
            <v>ORY114</v>
          </cell>
          <cell r="BD5" t="str">
            <v>GFB14</v>
          </cell>
          <cell r="BE5" t="str">
            <v>GFB567</v>
          </cell>
          <cell r="BF5" t="str">
            <v>GFB12</v>
          </cell>
          <cell r="BG5" t="str">
            <v>TUS4N</v>
          </cell>
          <cell r="BH5" t="str">
            <v>MON4N</v>
          </cell>
          <cell r="BI5" t="str">
            <v>LIN4N</v>
          </cell>
        </row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</row>
        <row r="7">
          <cell r="B7" t="str">
            <v>SFO</v>
          </cell>
          <cell r="D7" t="str">
            <v>Open</v>
          </cell>
          <cell r="E7" t="str">
            <v>Open</v>
          </cell>
          <cell r="F7" t="str">
            <v>Open</v>
          </cell>
          <cell r="G7" t="str">
            <v>Open</v>
          </cell>
          <cell r="H7" t="str">
            <v>Open</v>
          </cell>
          <cell r="I7" t="str">
            <v>Open</v>
          </cell>
          <cell r="J7" t="str">
            <v>Open</v>
          </cell>
          <cell r="K7" t="str">
            <v>Open</v>
          </cell>
          <cell r="L7" t="str">
            <v>Open</v>
          </cell>
          <cell r="M7" t="str">
            <v>Open</v>
          </cell>
          <cell r="N7" t="str">
            <v>Open</v>
          </cell>
          <cell r="O7" t="str">
            <v>Open</v>
          </cell>
          <cell r="P7" t="str">
            <v>Open</v>
          </cell>
          <cell r="Q7" t="str">
            <v>Open</v>
          </cell>
          <cell r="R7" t="str">
            <v>Open</v>
          </cell>
          <cell r="S7">
            <v>40544</v>
          </cell>
          <cell r="T7" t="str">
            <v>Open</v>
          </cell>
          <cell r="U7" t="str">
            <v>Open</v>
          </cell>
          <cell r="V7" t="str">
            <v>Open</v>
          </cell>
          <cell r="W7" t="str">
            <v>Open</v>
          </cell>
          <cell r="X7" t="str">
            <v>Open</v>
          </cell>
          <cell r="Y7" t="str">
            <v>Open</v>
          </cell>
          <cell r="Z7" t="str">
            <v>Open</v>
          </cell>
          <cell r="AA7" t="str">
            <v>Open</v>
          </cell>
          <cell r="AB7" t="str">
            <v>Open</v>
          </cell>
          <cell r="AC7" t="str">
            <v>Open</v>
          </cell>
          <cell r="AD7" t="str">
            <v>Open</v>
          </cell>
          <cell r="AE7" t="str">
            <v>Open</v>
          </cell>
          <cell r="AF7" t="str">
            <v>Open</v>
          </cell>
          <cell r="AG7" t="str">
            <v>Open</v>
          </cell>
          <cell r="AH7" t="str">
            <v>Open</v>
          </cell>
          <cell r="AI7" t="str">
            <v>Open</v>
          </cell>
          <cell r="AJ7" t="str">
            <v>Open</v>
          </cell>
          <cell r="AK7" t="str">
            <v>Open</v>
          </cell>
          <cell r="AL7" t="str">
            <v>Open</v>
          </cell>
          <cell r="AM7" t="str">
            <v>Open</v>
          </cell>
          <cell r="AN7" t="str">
            <v>Open</v>
          </cell>
          <cell r="AO7" t="str">
            <v>Open</v>
          </cell>
          <cell r="AP7" t="str">
            <v>Open</v>
          </cell>
          <cell r="AQ7" t="str">
            <v>Open</v>
          </cell>
          <cell r="AR7" t="str">
            <v>Open</v>
          </cell>
          <cell r="AS7" t="str">
            <v>Open</v>
          </cell>
          <cell r="AT7" t="str">
            <v>Open</v>
          </cell>
          <cell r="AU7" t="str">
            <v>Open</v>
          </cell>
          <cell r="AV7" t="str">
            <v>Open</v>
          </cell>
          <cell r="AW7" t="str">
            <v>Open</v>
          </cell>
          <cell r="AX7" t="str">
            <v>Open</v>
          </cell>
          <cell r="AY7" t="str">
            <v>Open</v>
          </cell>
          <cell r="AZ7" t="str">
            <v>Open</v>
          </cell>
          <cell r="BA7" t="str">
            <v>Open</v>
          </cell>
          <cell r="BB7" t="str">
            <v>Open</v>
          </cell>
          <cell r="BC7" t="str">
            <v>Open</v>
          </cell>
          <cell r="BD7" t="str">
            <v>Open</v>
          </cell>
          <cell r="BE7" t="str">
            <v>Open</v>
          </cell>
          <cell r="BF7" t="str">
            <v>Open</v>
          </cell>
          <cell r="BG7" t="str">
            <v>Open</v>
          </cell>
          <cell r="BH7" t="str">
            <v>Open</v>
          </cell>
          <cell r="BI7" t="str">
            <v>Open</v>
          </cell>
        </row>
        <row r="8">
          <cell r="B8" t="str">
            <v>Aberdeen</v>
          </cell>
          <cell r="D8" t="str">
            <v>Open</v>
          </cell>
          <cell r="E8" t="str">
            <v>Open</v>
          </cell>
          <cell r="F8" t="str">
            <v>Open</v>
          </cell>
          <cell r="G8" t="str">
            <v>Open</v>
          </cell>
          <cell r="H8" t="str">
            <v>Open</v>
          </cell>
          <cell r="I8" t="str">
            <v>Open</v>
          </cell>
          <cell r="J8" t="str">
            <v>Open</v>
          </cell>
          <cell r="K8" t="str">
            <v>Open</v>
          </cell>
          <cell r="L8" t="str">
            <v>Open</v>
          </cell>
          <cell r="M8" t="str">
            <v>Open</v>
          </cell>
          <cell r="N8" t="str">
            <v>Open</v>
          </cell>
          <cell r="O8" t="str">
            <v>Open</v>
          </cell>
          <cell r="P8" t="str">
            <v>Open</v>
          </cell>
          <cell r="Q8" t="str">
            <v>Open</v>
          </cell>
          <cell r="R8" t="str">
            <v>Open</v>
          </cell>
          <cell r="S8">
            <v>40544</v>
          </cell>
          <cell r="T8">
            <v>39814</v>
          </cell>
          <cell r="U8" t="str">
            <v>Open</v>
          </cell>
          <cell r="V8" t="str">
            <v>Open</v>
          </cell>
          <cell r="W8" t="str">
            <v>Open</v>
          </cell>
          <cell r="X8" t="str">
            <v>Open</v>
          </cell>
          <cell r="Y8" t="str">
            <v>Open</v>
          </cell>
          <cell r="Z8" t="str">
            <v>Open</v>
          </cell>
          <cell r="AA8" t="str">
            <v>Open</v>
          </cell>
          <cell r="AB8">
            <v>39814</v>
          </cell>
          <cell r="AC8" t="str">
            <v>Open</v>
          </cell>
          <cell r="AD8" t="str">
            <v>Open</v>
          </cell>
          <cell r="AE8" t="str">
            <v>Open</v>
          </cell>
          <cell r="AF8" t="str">
            <v>Open</v>
          </cell>
          <cell r="AG8" t="str">
            <v>Open</v>
          </cell>
          <cell r="AH8">
            <v>39814</v>
          </cell>
          <cell r="AI8" t="str">
            <v>Open</v>
          </cell>
          <cell r="AJ8" t="str">
            <v>Open</v>
          </cell>
          <cell r="AK8" t="str">
            <v>Open</v>
          </cell>
          <cell r="AL8" t="str">
            <v>Open</v>
          </cell>
          <cell r="AM8" t="str">
            <v>Open</v>
          </cell>
          <cell r="AN8" t="str">
            <v>Open</v>
          </cell>
          <cell r="AO8" t="str">
            <v>Open</v>
          </cell>
          <cell r="AP8" t="str">
            <v>Open</v>
          </cell>
          <cell r="AQ8" t="str">
            <v>Open</v>
          </cell>
          <cell r="AR8" t="str">
            <v>Open</v>
          </cell>
          <cell r="AS8" t="str">
            <v>Open</v>
          </cell>
          <cell r="AT8" t="str">
            <v>Open</v>
          </cell>
          <cell r="AU8" t="str">
            <v>Open</v>
          </cell>
          <cell r="AV8" t="str">
            <v>Open</v>
          </cell>
          <cell r="AW8" t="str">
            <v>Open</v>
          </cell>
          <cell r="AX8" t="str">
            <v>Open</v>
          </cell>
          <cell r="AY8" t="str">
            <v>Open</v>
          </cell>
          <cell r="AZ8" t="str">
            <v>Open</v>
          </cell>
          <cell r="BA8" t="str">
            <v>Open</v>
          </cell>
          <cell r="BB8" t="str">
            <v>Open</v>
          </cell>
          <cell r="BC8" t="str">
            <v>Open</v>
          </cell>
          <cell r="BD8" t="str">
            <v>Open</v>
          </cell>
          <cell r="BE8" t="str">
            <v>Open</v>
          </cell>
          <cell r="BF8" t="str">
            <v>Open</v>
          </cell>
          <cell r="BG8">
            <v>40544</v>
          </cell>
          <cell r="BH8" t="str">
            <v>Open</v>
          </cell>
          <cell r="BI8" t="str">
            <v>Open</v>
          </cell>
        </row>
        <row r="9">
          <cell r="B9" t="str">
            <v>NESFO</v>
          </cell>
          <cell r="D9" t="str">
            <v>Open</v>
          </cell>
          <cell r="E9" t="str">
            <v>Open</v>
          </cell>
          <cell r="F9" t="str">
            <v>Open</v>
          </cell>
          <cell r="G9" t="str">
            <v>Open</v>
          </cell>
          <cell r="H9" t="str">
            <v>Open</v>
          </cell>
          <cell r="I9" t="str">
            <v>Open</v>
          </cell>
          <cell r="J9" t="str">
            <v>Open</v>
          </cell>
          <cell r="K9" t="str">
            <v>Open</v>
          </cell>
          <cell r="L9" t="str">
            <v>Open</v>
          </cell>
          <cell r="M9" t="str">
            <v>Open</v>
          </cell>
          <cell r="N9" t="str">
            <v>Open</v>
          </cell>
          <cell r="O9" t="str">
            <v>Open</v>
          </cell>
          <cell r="P9" t="str">
            <v>Open</v>
          </cell>
          <cell r="Q9" t="str">
            <v>Open</v>
          </cell>
          <cell r="R9" t="str">
            <v>Open</v>
          </cell>
          <cell r="S9">
            <v>40544</v>
          </cell>
          <cell r="T9" t="str">
            <v>Open</v>
          </cell>
          <cell r="U9" t="str">
            <v>Open</v>
          </cell>
          <cell r="V9" t="str">
            <v>Open</v>
          </cell>
          <cell r="W9" t="str">
            <v>Open</v>
          </cell>
          <cell r="X9" t="str">
            <v>Open</v>
          </cell>
          <cell r="Y9" t="str">
            <v>Open</v>
          </cell>
          <cell r="Z9" t="str">
            <v>Open</v>
          </cell>
          <cell r="AA9" t="str">
            <v>Open</v>
          </cell>
          <cell r="AB9">
            <v>39814</v>
          </cell>
          <cell r="AC9" t="str">
            <v>Open</v>
          </cell>
          <cell r="AD9" t="str">
            <v>Open</v>
          </cell>
          <cell r="AE9" t="str">
            <v>Open</v>
          </cell>
          <cell r="AF9" t="str">
            <v>Open</v>
          </cell>
          <cell r="AG9" t="str">
            <v>Open</v>
          </cell>
          <cell r="AH9">
            <v>39814</v>
          </cell>
          <cell r="AI9" t="str">
            <v>Open</v>
          </cell>
          <cell r="AJ9" t="str">
            <v>Open</v>
          </cell>
          <cell r="AK9" t="str">
            <v>Open</v>
          </cell>
          <cell r="AL9" t="str">
            <v>Open</v>
          </cell>
          <cell r="AM9" t="str">
            <v>Open</v>
          </cell>
          <cell r="AN9" t="str">
            <v>Open</v>
          </cell>
          <cell r="AO9" t="str">
            <v>Open</v>
          </cell>
          <cell r="AP9" t="str">
            <v>Open</v>
          </cell>
          <cell r="AQ9" t="str">
            <v>Open</v>
          </cell>
          <cell r="AR9" t="str">
            <v>Open</v>
          </cell>
          <cell r="AS9" t="str">
            <v>Open</v>
          </cell>
          <cell r="AT9">
            <v>40544</v>
          </cell>
          <cell r="AU9">
            <v>40544</v>
          </cell>
          <cell r="AV9">
            <v>40544</v>
          </cell>
          <cell r="AW9">
            <v>40179</v>
          </cell>
          <cell r="AX9" t="str">
            <v>Open</v>
          </cell>
          <cell r="AY9" t="str">
            <v>Open</v>
          </cell>
          <cell r="AZ9" t="str">
            <v>Open</v>
          </cell>
          <cell r="BA9" t="str">
            <v>Open</v>
          </cell>
          <cell r="BB9" t="str">
            <v>Open</v>
          </cell>
          <cell r="BC9" t="str">
            <v>Open</v>
          </cell>
          <cell r="BD9" t="str">
            <v>Open</v>
          </cell>
          <cell r="BE9" t="str">
            <v>Open</v>
          </cell>
          <cell r="BF9" t="str">
            <v>Open</v>
          </cell>
          <cell r="BG9" t="str">
            <v>Open</v>
          </cell>
          <cell r="BH9" t="str">
            <v>Open</v>
          </cell>
          <cell r="BI9" t="str">
            <v>Open</v>
          </cell>
        </row>
        <row r="10">
          <cell r="B10" t="str">
            <v>Shetland</v>
          </cell>
          <cell r="D10" t="str">
            <v>Open</v>
          </cell>
          <cell r="E10" t="str">
            <v>Open</v>
          </cell>
          <cell r="F10" t="str">
            <v>Open</v>
          </cell>
          <cell r="G10" t="str">
            <v>Open</v>
          </cell>
          <cell r="H10" t="str">
            <v>Open</v>
          </cell>
          <cell r="I10" t="str">
            <v>Open</v>
          </cell>
          <cell r="J10" t="str">
            <v>Open</v>
          </cell>
          <cell r="K10" t="str">
            <v>Open</v>
          </cell>
          <cell r="L10" t="str">
            <v>Open</v>
          </cell>
          <cell r="M10" t="str">
            <v>Open</v>
          </cell>
          <cell r="N10" t="str">
            <v>Open</v>
          </cell>
          <cell r="O10" t="str">
            <v>Open</v>
          </cell>
          <cell r="P10" t="str">
            <v>Open</v>
          </cell>
          <cell r="Q10" t="str">
            <v>Open</v>
          </cell>
          <cell r="R10" t="str">
            <v>Open</v>
          </cell>
          <cell r="S10">
            <v>40544</v>
          </cell>
          <cell r="T10" t="str">
            <v>Open</v>
          </cell>
          <cell r="U10" t="str">
            <v>Open</v>
          </cell>
          <cell r="V10" t="str">
            <v>Open</v>
          </cell>
          <cell r="W10" t="str">
            <v>Open</v>
          </cell>
          <cell r="X10" t="str">
            <v>Open</v>
          </cell>
          <cell r="Y10" t="str">
            <v>Open</v>
          </cell>
          <cell r="Z10" t="str">
            <v>Open</v>
          </cell>
          <cell r="AA10" t="str">
            <v>Open</v>
          </cell>
          <cell r="AB10" t="str">
            <v>Open</v>
          </cell>
          <cell r="AC10" t="str">
            <v>Open</v>
          </cell>
          <cell r="AD10" t="str">
            <v>Open</v>
          </cell>
          <cell r="AE10" t="str">
            <v>Open</v>
          </cell>
          <cell r="AF10" t="str">
            <v>Open</v>
          </cell>
          <cell r="AG10" t="str">
            <v>Open</v>
          </cell>
          <cell r="AH10" t="str">
            <v>Open</v>
          </cell>
          <cell r="AI10" t="str">
            <v>Open</v>
          </cell>
          <cell r="AJ10" t="str">
            <v>Open</v>
          </cell>
          <cell r="AK10" t="str">
            <v>Open</v>
          </cell>
          <cell r="AL10" t="str">
            <v>Open</v>
          </cell>
          <cell r="AM10" t="str">
            <v>Open</v>
          </cell>
          <cell r="AN10" t="str">
            <v>Open</v>
          </cell>
          <cell r="AO10" t="str">
            <v>Open</v>
          </cell>
          <cell r="AP10" t="str">
            <v>Open</v>
          </cell>
          <cell r="AQ10" t="str">
            <v>Open</v>
          </cell>
          <cell r="AR10" t="str">
            <v>Open</v>
          </cell>
          <cell r="AS10" t="str">
            <v>Open</v>
          </cell>
          <cell r="AT10" t="str">
            <v>Open</v>
          </cell>
          <cell r="AU10" t="str">
            <v>Open</v>
          </cell>
          <cell r="AV10" t="str">
            <v>Open</v>
          </cell>
          <cell r="AW10" t="str">
            <v>Open</v>
          </cell>
          <cell r="AX10" t="str">
            <v>Open</v>
          </cell>
          <cell r="AY10" t="str">
            <v>Open</v>
          </cell>
          <cell r="AZ10" t="str">
            <v>Open</v>
          </cell>
          <cell r="BA10" t="str">
            <v>Open</v>
          </cell>
          <cell r="BB10" t="str">
            <v>Open</v>
          </cell>
          <cell r="BC10" t="str">
            <v>Open</v>
          </cell>
          <cell r="BD10" t="str">
            <v>Open</v>
          </cell>
          <cell r="BE10" t="str">
            <v>Open</v>
          </cell>
          <cell r="BF10" t="str">
            <v>Open</v>
          </cell>
          <cell r="BG10" t="str">
            <v>Open</v>
          </cell>
          <cell r="BH10" t="str">
            <v>Open</v>
          </cell>
          <cell r="BI10" t="str">
            <v>Open</v>
          </cell>
        </row>
        <row r="11">
          <cell r="B11" t="str">
            <v>Fife</v>
          </cell>
          <cell r="D11" t="str">
            <v>Open</v>
          </cell>
          <cell r="E11" t="str">
            <v>Open</v>
          </cell>
          <cell r="F11" t="str">
            <v>Open</v>
          </cell>
          <cell r="G11" t="str">
            <v>Open</v>
          </cell>
          <cell r="H11" t="str">
            <v>Open</v>
          </cell>
          <cell r="I11" t="str">
            <v>Open</v>
          </cell>
          <cell r="J11" t="str">
            <v>Open</v>
          </cell>
          <cell r="K11" t="str">
            <v>Open</v>
          </cell>
          <cell r="L11" t="str">
            <v>Open</v>
          </cell>
          <cell r="M11" t="str">
            <v>Open</v>
          </cell>
          <cell r="N11" t="str">
            <v>Open</v>
          </cell>
          <cell r="O11" t="str">
            <v>Open</v>
          </cell>
          <cell r="P11" t="str">
            <v>Open</v>
          </cell>
          <cell r="Q11" t="str">
            <v>Open</v>
          </cell>
          <cell r="R11" t="str">
            <v>Open</v>
          </cell>
          <cell r="S11">
            <v>40544</v>
          </cell>
          <cell r="T11">
            <v>39814</v>
          </cell>
          <cell r="U11">
            <v>39814</v>
          </cell>
          <cell r="V11" t="str">
            <v>Open</v>
          </cell>
          <cell r="W11" t="str">
            <v>Open</v>
          </cell>
          <cell r="X11" t="str">
            <v>Open</v>
          </cell>
          <cell r="Y11" t="str">
            <v>Open</v>
          </cell>
          <cell r="Z11">
            <v>40544</v>
          </cell>
          <cell r="AA11" t="str">
            <v>Open</v>
          </cell>
          <cell r="AB11">
            <v>39814</v>
          </cell>
          <cell r="AC11" t="str">
            <v>Open</v>
          </cell>
          <cell r="AD11" t="str">
            <v>Open</v>
          </cell>
          <cell r="AE11" t="str">
            <v>Open</v>
          </cell>
          <cell r="AF11" t="str">
            <v>Open</v>
          </cell>
          <cell r="AG11">
            <v>40544</v>
          </cell>
          <cell r="AH11">
            <v>39814</v>
          </cell>
          <cell r="AI11" t="str">
            <v>Open</v>
          </cell>
          <cell r="AJ11" t="str">
            <v>Open</v>
          </cell>
          <cell r="AK11" t="str">
            <v>Open</v>
          </cell>
          <cell r="AL11" t="str">
            <v>Open</v>
          </cell>
          <cell r="AM11" t="str">
            <v>Open</v>
          </cell>
          <cell r="AN11" t="str">
            <v>Open</v>
          </cell>
          <cell r="AO11" t="str">
            <v>Open</v>
          </cell>
          <cell r="AP11" t="str">
            <v>Open</v>
          </cell>
          <cell r="AQ11" t="str">
            <v>Open</v>
          </cell>
          <cell r="AR11">
            <v>40544</v>
          </cell>
          <cell r="AS11" t="str">
            <v>Open</v>
          </cell>
          <cell r="AT11">
            <v>40544</v>
          </cell>
          <cell r="AU11">
            <v>40544</v>
          </cell>
          <cell r="AV11">
            <v>39814</v>
          </cell>
          <cell r="AW11">
            <v>40544</v>
          </cell>
          <cell r="AX11" t="str">
            <v>Open</v>
          </cell>
          <cell r="AY11" t="str">
            <v>Open</v>
          </cell>
          <cell r="AZ11" t="str">
            <v>Open</v>
          </cell>
          <cell r="BA11" t="str">
            <v>Open</v>
          </cell>
          <cell r="BB11" t="str">
            <v>Open</v>
          </cell>
          <cell r="BC11" t="str">
            <v>Open</v>
          </cell>
          <cell r="BD11" t="str">
            <v>Open</v>
          </cell>
          <cell r="BE11">
            <v>39814</v>
          </cell>
          <cell r="BF11" t="str">
            <v>Open</v>
          </cell>
          <cell r="BG11">
            <v>39814</v>
          </cell>
          <cell r="BH11" t="str">
            <v>Open</v>
          </cell>
          <cell r="BI11">
            <v>39814</v>
          </cell>
        </row>
        <row r="12">
          <cell r="B12" t="str">
            <v>West Scotland</v>
          </cell>
          <cell r="D12" t="str">
            <v>Open</v>
          </cell>
          <cell r="E12" t="str">
            <v>Open</v>
          </cell>
          <cell r="F12" t="str">
            <v>Open</v>
          </cell>
          <cell r="G12" t="str">
            <v>Open</v>
          </cell>
          <cell r="H12" t="str">
            <v>Open</v>
          </cell>
          <cell r="I12" t="str">
            <v>Open</v>
          </cell>
          <cell r="J12" t="str">
            <v>Open</v>
          </cell>
          <cell r="K12" t="str">
            <v>Open</v>
          </cell>
          <cell r="L12">
            <v>39814</v>
          </cell>
          <cell r="M12" t="str">
            <v>Open</v>
          </cell>
          <cell r="N12" t="str">
            <v>Open</v>
          </cell>
          <cell r="O12" t="str">
            <v>Open</v>
          </cell>
          <cell r="P12" t="str">
            <v>Open</v>
          </cell>
          <cell r="Q12" t="str">
            <v>Open</v>
          </cell>
          <cell r="R12" t="str">
            <v>Open</v>
          </cell>
          <cell r="S12">
            <v>40544</v>
          </cell>
          <cell r="T12">
            <v>39814</v>
          </cell>
          <cell r="U12">
            <v>39814</v>
          </cell>
          <cell r="V12" t="str">
            <v>Open</v>
          </cell>
          <cell r="W12">
            <v>39814</v>
          </cell>
          <cell r="X12" t="str">
            <v>Open</v>
          </cell>
          <cell r="Y12" t="str">
            <v>Open</v>
          </cell>
          <cell r="Z12" t="str">
            <v>Open</v>
          </cell>
          <cell r="AA12" t="str">
            <v>Open</v>
          </cell>
          <cell r="AB12" t="str">
            <v>Open</v>
          </cell>
          <cell r="AC12" t="str">
            <v>Open</v>
          </cell>
          <cell r="AD12" t="str">
            <v>Open</v>
          </cell>
          <cell r="AE12" t="str">
            <v>Open</v>
          </cell>
          <cell r="AF12" t="str">
            <v>Open</v>
          </cell>
          <cell r="AG12" t="str">
            <v>Open</v>
          </cell>
          <cell r="AH12">
            <v>39814</v>
          </cell>
          <cell r="AI12" t="str">
            <v>Open</v>
          </cell>
          <cell r="AJ12" t="str">
            <v>Open</v>
          </cell>
          <cell r="AK12" t="str">
            <v>Open</v>
          </cell>
          <cell r="AL12" t="str">
            <v>Open</v>
          </cell>
          <cell r="AM12" t="str">
            <v>Open</v>
          </cell>
          <cell r="AN12" t="str">
            <v>Open</v>
          </cell>
          <cell r="AO12" t="str">
            <v>Open</v>
          </cell>
          <cell r="AP12" t="str">
            <v>Open</v>
          </cell>
          <cell r="AQ12" t="str">
            <v>Open</v>
          </cell>
          <cell r="AR12">
            <v>40544</v>
          </cell>
          <cell r="AS12" t="str">
            <v>Open</v>
          </cell>
          <cell r="AT12">
            <v>40544</v>
          </cell>
          <cell r="AU12">
            <v>40544</v>
          </cell>
          <cell r="AV12">
            <v>39814</v>
          </cell>
          <cell r="AW12">
            <v>39814</v>
          </cell>
          <cell r="AX12" t="str">
            <v>Open</v>
          </cell>
          <cell r="AY12" t="str">
            <v>Open</v>
          </cell>
          <cell r="AZ12" t="str">
            <v>Open</v>
          </cell>
          <cell r="BA12" t="str">
            <v>Open</v>
          </cell>
          <cell r="BB12" t="str">
            <v>Open</v>
          </cell>
          <cell r="BC12" t="str">
            <v>Open</v>
          </cell>
          <cell r="BD12" t="str">
            <v>Open</v>
          </cell>
          <cell r="BE12">
            <v>39814</v>
          </cell>
          <cell r="BF12" t="str">
            <v>Open</v>
          </cell>
          <cell r="BG12" t="str">
            <v>Open</v>
          </cell>
          <cell r="BH12" t="str">
            <v>Open</v>
          </cell>
          <cell r="BI12" t="str">
            <v>Open</v>
          </cell>
        </row>
        <row r="13">
          <cell r="B13" t="str">
            <v>Orkney</v>
          </cell>
          <cell r="D13" t="str">
            <v>Open</v>
          </cell>
          <cell r="E13" t="str">
            <v>Open</v>
          </cell>
          <cell r="F13" t="str">
            <v>Open</v>
          </cell>
          <cell r="G13" t="str">
            <v>Open</v>
          </cell>
          <cell r="H13" t="str">
            <v>Open</v>
          </cell>
          <cell r="I13" t="str">
            <v>Open</v>
          </cell>
          <cell r="J13" t="str">
            <v>Open</v>
          </cell>
          <cell r="K13" t="str">
            <v>Open</v>
          </cell>
          <cell r="L13" t="str">
            <v>Open</v>
          </cell>
          <cell r="M13" t="str">
            <v>Open</v>
          </cell>
          <cell r="N13" t="str">
            <v>Open</v>
          </cell>
          <cell r="O13" t="str">
            <v>Open</v>
          </cell>
          <cell r="P13" t="str">
            <v>Open</v>
          </cell>
          <cell r="Q13" t="str">
            <v>Open</v>
          </cell>
          <cell r="R13" t="str">
            <v>Open</v>
          </cell>
          <cell r="S13">
            <v>40544</v>
          </cell>
          <cell r="T13" t="str">
            <v>Open</v>
          </cell>
          <cell r="U13" t="str">
            <v>Open</v>
          </cell>
          <cell r="V13" t="str">
            <v>Open</v>
          </cell>
          <cell r="W13" t="str">
            <v>Open</v>
          </cell>
          <cell r="X13" t="str">
            <v>Open</v>
          </cell>
          <cell r="Y13" t="str">
            <v>Open</v>
          </cell>
          <cell r="Z13" t="str">
            <v>Open</v>
          </cell>
          <cell r="AA13" t="str">
            <v>Open</v>
          </cell>
          <cell r="AB13">
            <v>39814</v>
          </cell>
          <cell r="AC13" t="str">
            <v>Open</v>
          </cell>
          <cell r="AD13" t="str">
            <v>Open</v>
          </cell>
          <cell r="AE13" t="str">
            <v>Open</v>
          </cell>
          <cell r="AF13" t="str">
            <v>Open</v>
          </cell>
          <cell r="AG13" t="str">
            <v>Open</v>
          </cell>
          <cell r="AH13">
            <v>40909</v>
          </cell>
          <cell r="AI13" t="str">
            <v>Open</v>
          </cell>
          <cell r="AJ13" t="str">
            <v>Open</v>
          </cell>
          <cell r="AK13" t="str">
            <v>Open</v>
          </cell>
          <cell r="AL13" t="str">
            <v>Open</v>
          </cell>
          <cell r="AM13" t="str">
            <v>Open</v>
          </cell>
          <cell r="AN13" t="str">
            <v>Open</v>
          </cell>
          <cell r="AO13" t="str">
            <v>Open</v>
          </cell>
          <cell r="AP13" t="str">
            <v>Open</v>
          </cell>
          <cell r="AQ13" t="str">
            <v>Open</v>
          </cell>
          <cell r="AR13" t="str">
            <v>Open</v>
          </cell>
          <cell r="AS13" t="str">
            <v>Open</v>
          </cell>
          <cell r="AT13" t="str">
            <v>Open</v>
          </cell>
          <cell r="AU13" t="str">
            <v>Open</v>
          </cell>
          <cell r="AV13" t="str">
            <v>Open</v>
          </cell>
          <cell r="AW13" t="str">
            <v>Open</v>
          </cell>
          <cell r="AX13" t="str">
            <v>Open</v>
          </cell>
          <cell r="AY13" t="str">
            <v>Open</v>
          </cell>
          <cell r="AZ13" t="str">
            <v>Open</v>
          </cell>
          <cell r="BA13" t="str">
            <v>Open</v>
          </cell>
          <cell r="BB13" t="str">
            <v>Open</v>
          </cell>
          <cell r="BC13" t="str">
            <v>Open</v>
          </cell>
          <cell r="BD13" t="str">
            <v>Open</v>
          </cell>
          <cell r="BE13" t="str">
            <v>Open</v>
          </cell>
          <cell r="BF13" t="str">
            <v>Open</v>
          </cell>
          <cell r="BG13" t="str">
            <v>Open</v>
          </cell>
          <cell r="BH13" t="str">
            <v>Open</v>
          </cell>
          <cell r="BI13" t="str">
            <v>Open</v>
          </cell>
        </row>
        <row r="14">
          <cell r="B14" t="str">
            <v>Northern</v>
          </cell>
          <cell r="D14" t="str">
            <v>Open</v>
          </cell>
          <cell r="E14" t="str">
            <v>Open</v>
          </cell>
          <cell r="F14" t="str">
            <v>Open</v>
          </cell>
          <cell r="G14" t="str">
            <v>Open</v>
          </cell>
          <cell r="H14" t="str">
            <v>Open</v>
          </cell>
          <cell r="I14" t="str">
            <v>Open</v>
          </cell>
          <cell r="J14" t="str">
            <v>Open</v>
          </cell>
          <cell r="K14" t="str">
            <v>Open</v>
          </cell>
          <cell r="L14" t="str">
            <v>Open</v>
          </cell>
          <cell r="M14" t="str">
            <v>Open</v>
          </cell>
          <cell r="N14" t="str">
            <v>Open</v>
          </cell>
          <cell r="O14" t="str">
            <v>Open</v>
          </cell>
          <cell r="P14" t="str">
            <v>Open</v>
          </cell>
          <cell r="Q14" t="str">
            <v>Open</v>
          </cell>
          <cell r="R14" t="str">
            <v>Open</v>
          </cell>
          <cell r="S14">
            <v>40544</v>
          </cell>
          <cell r="T14" t="str">
            <v>Open</v>
          </cell>
          <cell r="U14" t="str">
            <v>Open</v>
          </cell>
          <cell r="V14" t="str">
            <v>Open</v>
          </cell>
          <cell r="W14" t="str">
            <v>Open</v>
          </cell>
          <cell r="X14" t="str">
            <v>Open</v>
          </cell>
          <cell r="Y14">
            <v>40544</v>
          </cell>
          <cell r="Z14" t="str">
            <v>Open</v>
          </cell>
          <cell r="AA14" t="str">
            <v>Open</v>
          </cell>
          <cell r="AB14" t="str">
            <v>Open</v>
          </cell>
          <cell r="AC14" t="str">
            <v>Open</v>
          </cell>
          <cell r="AD14" t="str">
            <v>Open</v>
          </cell>
          <cell r="AE14" t="str">
            <v>Open</v>
          </cell>
          <cell r="AF14" t="str">
            <v>Open</v>
          </cell>
          <cell r="AG14" t="str">
            <v>Open</v>
          </cell>
          <cell r="AH14">
            <v>40544</v>
          </cell>
          <cell r="AI14" t="str">
            <v>Open</v>
          </cell>
          <cell r="AJ14" t="str">
            <v>Open</v>
          </cell>
          <cell r="AK14" t="str">
            <v>Open</v>
          </cell>
          <cell r="AL14" t="str">
            <v>Open</v>
          </cell>
          <cell r="AM14" t="str">
            <v>Open</v>
          </cell>
          <cell r="AN14" t="str">
            <v>Open</v>
          </cell>
          <cell r="AO14" t="str">
            <v>Open</v>
          </cell>
          <cell r="AP14" t="str">
            <v>Open</v>
          </cell>
          <cell r="AQ14" t="str">
            <v>Open</v>
          </cell>
          <cell r="AR14" t="str">
            <v>Open</v>
          </cell>
          <cell r="AS14" t="str">
            <v>Open</v>
          </cell>
          <cell r="AT14" t="str">
            <v>Open</v>
          </cell>
          <cell r="AU14">
            <v>40544</v>
          </cell>
          <cell r="AV14" t="str">
            <v>Open</v>
          </cell>
          <cell r="AW14" t="str">
            <v>Open</v>
          </cell>
          <cell r="AX14" t="str">
            <v>Open</v>
          </cell>
          <cell r="AY14" t="str">
            <v>Open</v>
          </cell>
          <cell r="AZ14" t="str">
            <v>Open</v>
          </cell>
          <cell r="BA14" t="str">
            <v>Open</v>
          </cell>
          <cell r="BB14" t="str">
            <v>Open</v>
          </cell>
          <cell r="BC14" t="str">
            <v>Open</v>
          </cell>
          <cell r="BD14" t="str">
            <v>Open</v>
          </cell>
          <cell r="BE14" t="str">
            <v>Open</v>
          </cell>
          <cell r="BF14" t="str">
            <v>Open</v>
          </cell>
          <cell r="BG14" t="str">
            <v>Open</v>
          </cell>
          <cell r="BH14" t="str">
            <v>Open</v>
          </cell>
          <cell r="BI14" t="str">
            <v>Open</v>
          </cell>
        </row>
        <row r="15">
          <cell r="B15" t="str">
            <v>Klondyke</v>
          </cell>
          <cell r="D15">
            <v>39814</v>
          </cell>
          <cell r="E15">
            <v>39814</v>
          </cell>
          <cell r="F15">
            <v>39814</v>
          </cell>
          <cell r="G15">
            <v>39814</v>
          </cell>
          <cell r="H15">
            <v>39814</v>
          </cell>
          <cell r="I15">
            <v>39814</v>
          </cell>
          <cell r="J15">
            <v>39814</v>
          </cell>
          <cell r="K15">
            <v>39814</v>
          </cell>
          <cell r="L15">
            <v>39814</v>
          </cell>
          <cell r="M15">
            <v>39814</v>
          </cell>
          <cell r="N15">
            <v>39814</v>
          </cell>
          <cell r="O15">
            <v>39814</v>
          </cell>
          <cell r="P15" t="str">
            <v>Open</v>
          </cell>
          <cell r="Q15">
            <v>39814</v>
          </cell>
          <cell r="R15">
            <v>39814</v>
          </cell>
          <cell r="S15">
            <v>40544</v>
          </cell>
          <cell r="T15">
            <v>39814</v>
          </cell>
          <cell r="U15">
            <v>39814</v>
          </cell>
          <cell r="V15">
            <v>39814</v>
          </cell>
          <cell r="W15">
            <v>39814</v>
          </cell>
          <cell r="X15">
            <v>39814</v>
          </cell>
          <cell r="Y15">
            <v>39814</v>
          </cell>
          <cell r="Z15">
            <v>39814</v>
          </cell>
          <cell r="AA15">
            <v>39814</v>
          </cell>
          <cell r="AB15">
            <v>39814</v>
          </cell>
          <cell r="AC15">
            <v>39814</v>
          </cell>
          <cell r="AD15">
            <v>39814</v>
          </cell>
          <cell r="AE15">
            <v>39814</v>
          </cell>
          <cell r="AF15">
            <v>39814</v>
          </cell>
          <cell r="AG15">
            <v>39814</v>
          </cell>
          <cell r="AH15">
            <v>39814</v>
          </cell>
          <cell r="AI15">
            <v>39814</v>
          </cell>
          <cell r="AJ15">
            <v>39814</v>
          </cell>
          <cell r="AK15">
            <v>39814</v>
          </cell>
          <cell r="AL15">
            <v>39814</v>
          </cell>
          <cell r="AM15">
            <v>39814</v>
          </cell>
          <cell r="AN15">
            <v>39814</v>
          </cell>
          <cell r="AO15">
            <v>39814</v>
          </cell>
          <cell r="AP15">
            <v>39814</v>
          </cell>
          <cell r="AQ15">
            <v>39814</v>
          </cell>
          <cell r="AR15">
            <v>39814</v>
          </cell>
          <cell r="AS15">
            <v>39814</v>
          </cell>
          <cell r="AT15">
            <v>39814</v>
          </cell>
          <cell r="AU15">
            <v>39814</v>
          </cell>
          <cell r="AV15">
            <v>39814</v>
          </cell>
          <cell r="AW15">
            <v>39814</v>
          </cell>
          <cell r="AX15">
            <v>39814</v>
          </cell>
          <cell r="AY15">
            <v>39814</v>
          </cell>
          <cell r="AZ15">
            <v>39814</v>
          </cell>
          <cell r="BA15">
            <v>39814</v>
          </cell>
          <cell r="BB15">
            <v>39814</v>
          </cell>
          <cell r="BC15">
            <v>39814</v>
          </cell>
          <cell r="BD15">
            <v>39814</v>
          </cell>
          <cell r="BE15">
            <v>39814</v>
          </cell>
          <cell r="BF15">
            <v>39814</v>
          </cell>
          <cell r="BG15">
            <v>39814</v>
          </cell>
          <cell r="BH15">
            <v>40544</v>
          </cell>
          <cell r="BI15">
            <v>39814</v>
          </cell>
        </row>
        <row r="16">
          <cell r="B16" t="str">
            <v>Lunar</v>
          </cell>
          <cell r="D16" t="str">
            <v>Open</v>
          </cell>
          <cell r="E16" t="str">
            <v>Open</v>
          </cell>
          <cell r="F16" t="str">
            <v>Open</v>
          </cell>
          <cell r="G16" t="str">
            <v>Open</v>
          </cell>
          <cell r="H16" t="str">
            <v>Open</v>
          </cell>
          <cell r="I16" t="str">
            <v>Open</v>
          </cell>
          <cell r="J16" t="str">
            <v>Open</v>
          </cell>
          <cell r="K16" t="str">
            <v>Open</v>
          </cell>
          <cell r="L16" t="str">
            <v>Open</v>
          </cell>
          <cell r="M16" t="str">
            <v>Open</v>
          </cell>
          <cell r="N16" t="str">
            <v>Open</v>
          </cell>
          <cell r="O16" t="str">
            <v>Open</v>
          </cell>
          <cell r="P16" t="str">
            <v>Open</v>
          </cell>
          <cell r="Q16" t="str">
            <v>Open</v>
          </cell>
          <cell r="R16" t="str">
            <v>Open</v>
          </cell>
          <cell r="S16">
            <v>40544</v>
          </cell>
          <cell r="T16" t="str">
            <v>Open</v>
          </cell>
          <cell r="U16" t="str">
            <v>Open</v>
          </cell>
          <cell r="V16" t="str">
            <v>Open</v>
          </cell>
          <cell r="W16" t="str">
            <v>Open</v>
          </cell>
          <cell r="X16" t="str">
            <v>Open</v>
          </cell>
          <cell r="Y16" t="str">
            <v>Open</v>
          </cell>
          <cell r="Z16" t="str">
            <v>Open</v>
          </cell>
          <cell r="AA16" t="str">
            <v>Open</v>
          </cell>
          <cell r="AB16" t="str">
            <v>Open</v>
          </cell>
          <cell r="AC16" t="str">
            <v>Open</v>
          </cell>
          <cell r="AD16" t="str">
            <v>Open</v>
          </cell>
          <cell r="AE16" t="str">
            <v>Open</v>
          </cell>
          <cell r="AF16" t="str">
            <v>Open</v>
          </cell>
          <cell r="AG16" t="str">
            <v>Open</v>
          </cell>
          <cell r="AH16" t="str">
            <v>Open</v>
          </cell>
          <cell r="AI16" t="str">
            <v>Open</v>
          </cell>
          <cell r="AJ16" t="str">
            <v>Open</v>
          </cell>
          <cell r="AK16" t="str">
            <v>Open</v>
          </cell>
          <cell r="AL16" t="str">
            <v>Open</v>
          </cell>
          <cell r="AM16" t="str">
            <v>Open</v>
          </cell>
          <cell r="AN16" t="str">
            <v>Open</v>
          </cell>
          <cell r="AO16" t="str">
            <v>Open</v>
          </cell>
          <cell r="AP16" t="str">
            <v>Open</v>
          </cell>
          <cell r="AQ16" t="str">
            <v>Open</v>
          </cell>
          <cell r="AR16" t="str">
            <v>Open</v>
          </cell>
          <cell r="AS16" t="str">
            <v>Open</v>
          </cell>
          <cell r="AT16" t="str">
            <v>Open</v>
          </cell>
          <cell r="AU16" t="str">
            <v>Open</v>
          </cell>
          <cell r="AV16" t="str">
            <v>Open</v>
          </cell>
          <cell r="AW16" t="str">
            <v>Open</v>
          </cell>
          <cell r="AX16" t="str">
            <v>Open</v>
          </cell>
          <cell r="AY16" t="str">
            <v>Open</v>
          </cell>
          <cell r="AZ16" t="str">
            <v>Open</v>
          </cell>
          <cell r="BA16" t="str">
            <v>Open</v>
          </cell>
          <cell r="BB16" t="str">
            <v>Open</v>
          </cell>
          <cell r="BC16" t="str">
            <v>Open</v>
          </cell>
          <cell r="BD16" t="str">
            <v>Open</v>
          </cell>
          <cell r="BE16" t="str">
            <v>Open</v>
          </cell>
          <cell r="BF16" t="str">
            <v>Open</v>
          </cell>
          <cell r="BG16" t="str">
            <v>Open</v>
          </cell>
          <cell r="BH16" t="str">
            <v>Open</v>
          </cell>
          <cell r="BI16" t="str">
            <v>Open</v>
          </cell>
        </row>
        <row r="17">
          <cell r="B17" t="str">
            <v>Anglo Scottish</v>
          </cell>
          <cell r="D17" t="str">
            <v>Open</v>
          </cell>
          <cell r="E17" t="str">
            <v>Open</v>
          </cell>
          <cell r="F17" t="str">
            <v>Open</v>
          </cell>
          <cell r="G17" t="str">
            <v>Open</v>
          </cell>
          <cell r="H17" t="str">
            <v>Open</v>
          </cell>
          <cell r="I17" t="str">
            <v>Open</v>
          </cell>
          <cell r="J17" t="str">
            <v>Open</v>
          </cell>
          <cell r="K17" t="str">
            <v>Open</v>
          </cell>
          <cell r="L17" t="str">
            <v>Open</v>
          </cell>
          <cell r="M17" t="str">
            <v>Open</v>
          </cell>
          <cell r="N17" t="str">
            <v>Open</v>
          </cell>
          <cell r="O17" t="str">
            <v>Open</v>
          </cell>
          <cell r="P17" t="str">
            <v>Open</v>
          </cell>
          <cell r="Q17" t="str">
            <v>Open</v>
          </cell>
          <cell r="R17" t="str">
            <v>Open</v>
          </cell>
          <cell r="S17">
            <v>40544</v>
          </cell>
          <cell r="T17" t="str">
            <v>Open</v>
          </cell>
          <cell r="U17" t="str">
            <v>Open</v>
          </cell>
          <cell r="V17" t="str">
            <v>Open</v>
          </cell>
          <cell r="W17" t="str">
            <v>Open</v>
          </cell>
          <cell r="X17" t="str">
            <v>Open</v>
          </cell>
          <cell r="Y17" t="str">
            <v>Open</v>
          </cell>
          <cell r="Z17" t="str">
            <v>Open</v>
          </cell>
          <cell r="AA17" t="str">
            <v>Open</v>
          </cell>
          <cell r="AB17" t="str">
            <v>Open</v>
          </cell>
          <cell r="AC17" t="str">
            <v>Open</v>
          </cell>
          <cell r="AD17" t="str">
            <v>Open</v>
          </cell>
          <cell r="AE17" t="str">
            <v>Open</v>
          </cell>
          <cell r="AF17" t="str">
            <v>Open</v>
          </cell>
          <cell r="AG17" t="str">
            <v>Open</v>
          </cell>
          <cell r="AH17" t="str">
            <v>Open</v>
          </cell>
          <cell r="AI17" t="str">
            <v>Open</v>
          </cell>
          <cell r="AJ17" t="str">
            <v>Open</v>
          </cell>
          <cell r="AK17" t="str">
            <v>Open</v>
          </cell>
          <cell r="AL17" t="str">
            <v>Open</v>
          </cell>
          <cell r="AM17" t="str">
            <v>Open</v>
          </cell>
          <cell r="AN17" t="str">
            <v>Open</v>
          </cell>
          <cell r="AO17" t="str">
            <v>Open</v>
          </cell>
          <cell r="AP17" t="str">
            <v>Open</v>
          </cell>
          <cell r="AQ17" t="str">
            <v>Open</v>
          </cell>
          <cell r="AR17" t="str">
            <v>Open</v>
          </cell>
          <cell r="AS17" t="str">
            <v>Open</v>
          </cell>
          <cell r="AT17" t="str">
            <v>Open</v>
          </cell>
          <cell r="AU17" t="str">
            <v>Open</v>
          </cell>
          <cell r="AV17" t="str">
            <v>Open</v>
          </cell>
          <cell r="AW17" t="str">
            <v>Open</v>
          </cell>
          <cell r="AX17" t="str">
            <v>Open</v>
          </cell>
          <cell r="AY17">
            <v>39814</v>
          </cell>
          <cell r="AZ17" t="str">
            <v>Open</v>
          </cell>
          <cell r="BA17" t="str">
            <v>Open</v>
          </cell>
          <cell r="BB17" t="str">
            <v>Open</v>
          </cell>
          <cell r="BC17" t="str">
            <v>Open</v>
          </cell>
          <cell r="BD17" t="str">
            <v>Open</v>
          </cell>
          <cell r="BE17" t="str">
            <v>Open</v>
          </cell>
          <cell r="BF17" t="str">
            <v>Open</v>
          </cell>
          <cell r="BG17" t="str">
            <v>Open</v>
          </cell>
          <cell r="BH17" t="str">
            <v>Open</v>
          </cell>
          <cell r="BI17" t="str">
            <v>Open</v>
          </cell>
        </row>
        <row r="18">
          <cell r="B18" t="str">
            <v>EEFPO</v>
          </cell>
          <cell r="D18" t="str">
            <v>Open</v>
          </cell>
          <cell r="E18" t="str">
            <v>Open</v>
          </cell>
          <cell r="F18" t="str">
            <v>Open</v>
          </cell>
          <cell r="G18" t="str">
            <v>Open</v>
          </cell>
          <cell r="H18" t="str">
            <v>Open</v>
          </cell>
          <cell r="I18" t="str">
            <v>Open</v>
          </cell>
          <cell r="J18" t="str">
            <v>Open</v>
          </cell>
          <cell r="K18" t="str">
            <v>Open</v>
          </cell>
          <cell r="L18" t="str">
            <v>Open</v>
          </cell>
          <cell r="M18" t="str">
            <v>Open</v>
          </cell>
          <cell r="N18" t="str">
            <v>Open</v>
          </cell>
          <cell r="O18" t="str">
            <v>Open</v>
          </cell>
          <cell r="P18" t="str">
            <v>Open</v>
          </cell>
          <cell r="Q18" t="str">
            <v>Open</v>
          </cell>
          <cell r="R18" t="str">
            <v>Open</v>
          </cell>
          <cell r="S18">
            <v>40544</v>
          </cell>
          <cell r="T18" t="str">
            <v>Open</v>
          </cell>
          <cell r="U18" t="str">
            <v>Open</v>
          </cell>
          <cell r="V18" t="str">
            <v>Open</v>
          </cell>
          <cell r="W18" t="str">
            <v>Open</v>
          </cell>
          <cell r="X18" t="str">
            <v>Open</v>
          </cell>
          <cell r="Y18" t="str">
            <v>Open</v>
          </cell>
          <cell r="Z18" t="str">
            <v>Open</v>
          </cell>
          <cell r="AA18" t="str">
            <v>Open</v>
          </cell>
          <cell r="AB18" t="str">
            <v>Open</v>
          </cell>
          <cell r="AC18" t="str">
            <v>Open</v>
          </cell>
          <cell r="AD18" t="str">
            <v>Open</v>
          </cell>
          <cell r="AE18" t="str">
            <v>Open</v>
          </cell>
          <cell r="AF18" t="str">
            <v>Open</v>
          </cell>
          <cell r="AG18" t="str">
            <v>Open</v>
          </cell>
          <cell r="AH18" t="str">
            <v>Open</v>
          </cell>
          <cell r="AI18" t="str">
            <v>Open</v>
          </cell>
          <cell r="AJ18" t="str">
            <v>Open</v>
          </cell>
          <cell r="AK18" t="str">
            <v>Open</v>
          </cell>
          <cell r="AL18" t="str">
            <v>Open</v>
          </cell>
          <cell r="AM18" t="str">
            <v>Open</v>
          </cell>
          <cell r="AN18" t="str">
            <v>Open</v>
          </cell>
          <cell r="AO18" t="str">
            <v>Open</v>
          </cell>
          <cell r="AP18" t="str">
            <v>Open</v>
          </cell>
          <cell r="AQ18" t="str">
            <v>Open</v>
          </cell>
          <cell r="AR18" t="str">
            <v>Open</v>
          </cell>
          <cell r="AS18" t="str">
            <v>Open</v>
          </cell>
          <cell r="AT18" t="str">
            <v>Open</v>
          </cell>
          <cell r="AU18" t="str">
            <v>Open</v>
          </cell>
          <cell r="AV18" t="str">
            <v>Open</v>
          </cell>
          <cell r="AW18" t="str">
            <v>Open</v>
          </cell>
          <cell r="AX18" t="str">
            <v>Open</v>
          </cell>
          <cell r="AY18" t="str">
            <v>Open</v>
          </cell>
          <cell r="AZ18" t="str">
            <v>Open</v>
          </cell>
          <cell r="BA18" t="str">
            <v>Open</v>
          </cell>
          <cell r="BB18" t="str">
            <v>Open</v>
          </cell>
          <cell r="BC18" t="str">
            <v>Open</v>
          </cell>
          <cell r="BD18" t="str">
            <v>Open</v>
          </cell>
          <cell r="BE18" t="str">
            <v>Open</v>
          </cell>
          <cell r="BF18" t="str">
            <v>Open</v>
          </cell>
          <cell r="BG18" t="str">
            <v>Open</v>
          </cell>
          <cell r="BH18" t="str">
            <v>Open</v>
          </cell>
          <cell r="BI18" t="str">
            <v>Open</v>
          </cell>
        </row>
        <row r="19">
          <cell r="B19" t="str">
            <v>Fleetwood</v>
          </cell>
          <cell r="D19" t="str">
            <v>Open</v>
          </cell>
          <cell r="E19" t="str">
            <v>Open</v>
          </cell>
          <cell r="F19" t="str">
            <v>Open</v>
          </cell>
          <cell r="G19" t="str">
            <v>Open</v>
          </cell>
          <cell r="H19" t="str">
            <v>Open</v>
          </cell>
          <cell r="I19" t="str">
            <v>Open</v>
          </cell>
          <cell r="J19" t="str">
            <v>Open</v>
          </cell>
          <cell r="K19" t="str">
            <v>Open</v>
          </cell>
          <cell r="L19" t="str">
            <v>Open</v>
          </cell>
          <cell r="M19" t="str">
            <v>Open</v>
          </cell>
          <cell r="N19" t="str">
            <v>Open</v>
          </cell>
          <cell r="O19" t="str">
            <v>Open</v>
          </cell>
          <cell r="P19" t="str">
            <v>Open</v>
          </cell>
          <cell r="Q19" t="str">
            <v>Open</v>
          </cell>
          <cell r="R19" t="str">
            <v>Open</v>
          </cell>
          <cell r="S19">
            <v>40544</v>
          </cell>
          <cell r="T19">
            <v>40179</v>
          </cell>
          <cell r="U19" t="str">
            <v>Open</v>
          </cell>
          <cell r="V19" t="str">
            <v>Open</v>
          </cell>
          <cell r="W19" t="str">
            <v>Open</v>
          </cell>
          <cell r="X19" t="str">
            <v>Open</v>
          </cell>
          <cell r="Y19" t="str">
            <v>Open</v>
          </cell>
          <cell r="Z19" t="str">
            <v>Open</v>
          </cell>
          <cell r="AA19" t="str">
            <v>Open</v>
          </cell>
          <cell r="AB19">
            <v>39814</v>
          </cell>
          <cell r="AC19" t="str">
            <v>Open</v>
          </cell>
          <cell r="AD19" t="str">
            <v>Open</v>
          </cell>
          <cell r="AE19" t="str">
            <v>Open</v>
          </cell>
          <cell r="AF19" t="str">
            <v>Open</v>
          </cell>
          <cell r="AG19" t="str">
            <v>Open</v>
          </cell>
          <cell r="AH19" t="str">
            <v>Open</v>
          </cell>
          <cell r="AI19" t="str">
            <v>Open</v>
          </cell>
          <cell r="AJ19" t="str">
            <v>Open</v>
          </cell>
          <cell r="AK19" t="str">
            <v>Open</v>
          </cell>
          <cell r="AL19" t="str">
            <v>Open</v>
          </cell>
          <cell r="AM19" t="str">
            <v>Open</v>
          </cell>
          <cell r="AN19" t="str">
            <v>Open</v>
          </cell>
          <cell r="AO19" t="str">
            <v>Open</v>
          </cell>
          <cell r="AP19" t="str">
            <v>Open</v>
          </cell>
          <cell r="AQ19" t="str">
            <v>Open</v>
          </cell>
          <cell r="AR19" t="str">
            <v>Open</v>
          </cell>
          <cell r="AS19" t="str">
            <v>Open</v>
          </cell>
          <cell r="AT19" t="str">
            <v>Open</v>
          </cell>
          <cell r="AU19">
            <v>40544</v>
          </cell>
          <cell r="AV19" t="str">
            <v>Open</v>
          </cell>
          <cell r="AW19" t="str">
            <v>Open</v>
          </cell>
          <cell r="AX19" t="str">
            <v>Open</v>
          </cell>
          <cell r="AY19" t="str">
            <v>Open</v>
          </cell>
          <cell r="AZ19" t="str">
            <v>Open</v>
          </cell>
          <cell r="BA19" t="str">
            <v>Open</v>
          </cell>
          <cell r="BB19" t="str">
            <v>Open</v>
          </cell>
          <cell r="BC19" t="str">
            <v>Open</v>
          </cell>
          <cell r="BD19" t="str">
            <v>Open</v>
          </cell>
          <cell r="BE19" t="str">
            <v>Open</v>
          </cell>
          <cell r="BF19" t="str">
            <v>Open</v>
          </cell>
          <cell r="BG19">
            <v>39814</v>
          </cell>
          <cell r="BH19" t="str">
            <v>Open</v>
          </cell>
          <cell r="BI19">
            <v>39814</v>
          </cell>
        </row>
        <row r="20">
          <cell r="B20" t="str">
            <v>FPO</v>
          </cell>
          <cell r="D20" t="str">
            <v>Open</v>
          </cell>
          <cell r="E20" t="str">
            <v>Open</v>
          </cell>
          <cell r="F20" t="str">
            <v>Open</v>
          </cell>
          <cell r="G20" t="str">
            <v>Open</v>
          </cell>
          <cell r="H20" t="str">
            <v>Open</v>
          </cell>
          <cell r="I20" t="str">
            <v>Open</v>
          </cell>
          <cell r="J20" t="str">
            <v>Open</v>
          </cell>
          <cell r="K20" t="str">
            <v>Open</v>
          </cell>
          <cell r="L20" t="str">
            <v>Open</v>
          </cell>
          <cell r="M20" t="str">
            <v>Open</v>
          </cell>
          <cell r="N20" t="str">
            <v>Open</v>
          </cell>
          <cell r="O20" t="str">
            <v>Open</v>
          </cell>
          <cell r="P20" t="str">
            <v>Open</v>
          </cell>
          <cell r="Q20" t="str">
            <v>Open</v>
          </cell>
          <cell r="R20" t="str">
            <v>Open</v>
          </cell>
          <cell r="S20">
            <v>40544</v>
          </cell>
          <cell r="T20" t="str">
            <v>Open</v>
          </cell>
          <cell r="U20" t="str">
            <v>Open</v>
          </cell>
          <cell r="V20" t="str">
            <v>Open</v>
          </cell>
          <cell r="W20" t="str">
            <v>Open</v>
          </cell>
          <cell r="X20" t="str">
            <v>Open</v>
          </cell>
          <cell r="Y20" t="str">
            <v>Open</v>
          </cell>
          <cell r="Z20" t="str">
            <v>Open</v>
          </cell>
          <cell r="AA20" t="str">
            <v>Open</v>
          </cell>
          <cell r="AB20" t="str">
            <v>Open</v>
          </cell>
          <cell r="AC20" t="str">
            <v>Open</v>
          </cell>
          <cell r="AD20" t="str">
            <v>Open</v>
          </cell>
          <cell r="AE20" t="str">
            <v>Open</v>
          </cell>
          <cell r="AF20" t="str">
            <v>Open</v>
          </cell>
          <cell r="AG20" t="str">
            <v>Open</v>
          </cell>
          <cell r="AH20" t="str">
            <v>Open</v>
          </cell>
          <cell r="AI20" t="str">
            <v>Open</v>
          </cell>
          <cell r="AJ20" t="str">
            <v>Open</v>
          </cell>
          <cell r="AK20" t="str">
            <v>Open</v>
          </cell>
          <cell r="AL20" t="str">
            <v>Open</v>
          </cell>
          <cell r="AM20" t="str">
            <v>Open</v>
          </cell>
          <cell r="AN20" t="str">
            <v>Open</v>
          </cell>
          <cell r="AO20" t="str">
            <v>Open</v>
          </cell>
          <cell r="AP20" t="str">
            <v>Open</v>
          </cell>
          <cell r="AQ20" t="str">
            <v>Open</v>
          </cell>
          <cell r="AR20" t="str">
            <v>Open</v>
          </cell>
          <cell r="AS20" t="str">
            <v>Open</v>
          </cell>
          <cell r="AT20" t="str">
            <v>Open</v>
          </cell>
          <cell r="AU20" t="str">
            <v>Open</v>
          </cell>
          <cell r="AV20" t="str">
            <v>Open</v>
          </cell>
          <cell r="AW20" t="str">
            <v>Open</v>
          </cell>
          <cell r="AX20" t="str">
            <v>Open</v>
          </cell>
          <cell r="AY20" t="str">
            <v>Open</v>
          </cell>
          <cell r="AZ20" t="str">
            <v>Open</v>
          </cell>
          <cell r="BA20" t="str">
            <v>Open</v>
          </cell>
          <cell r="BB20" t="str">
            <v>Open</v>
          </cell>
          <cell r="BC20" t="str">
            <v>Open</v>
          </cell>
          <cell r="BD20" t="str">
            <v>Open</v>
          </cell>
          <cell r="BE20" t="str">
            <v>Open</v>
          </cell>
          <cell r="BF20" t="str">
            <v>Open</v>
          </cell>
          <cell r="BG20" t="str">
            <v>Open</v>
          </cell>
          <cell r="BH20" t="str">
            <v>Open</v>
          </cell>
          <cell r="BI20" t="str">
            <v>Open</v>
          </cell>
        </row>
        <row r="21">
          <cell r="B21" t="str">
            <v>NIFPO</v>
          </cell>
          <cell r="D21" t="str">
            <v>Open</v>
          </cell>
          <cell r="E21" t="str">
            <v>Open</v>
          </cell>
          <cell r="F21" t="str">
            <v>Open</v>
          </cell>
          <cell r="G21" t="str">
            <v>Open</v>
          </cell>
          <cell r="H21" t="str">
            <v>Open</v>
          </cell>
          <cell r="I21" t="str">
            <v>Open</v>
          </cell>
          <cell r="J21" t="str">
            <v>Open</v>
          </cell>
          <cell r="K21" t="str">
            <v>Open</v>
          </cell>
          <cell r="L21" t="str">
            <v>Open</v>
          </cell>
          <cell r="M21" t="str">
            <v>Open</v>
          </cell>
          <cell r="N21" t="str">
            <v>Open</v>
          </cell>
          <cell r="O21" t="str">
            <v>Open</v>
          </cell>
          <cell r="P21" t="str">
            <v>Open</v>
          </cell>
          <cell r="Q21" t="str">
            <v>Open</v>
          </cell>
          <cell r="R21" t="str">
            <v>Open</v>
          </cell>
          <cell r="S21">
            <v>40544</v>
          </cell>
          <cell r="T21" t="str">
            <v>Open</v>
          </cell>
          <cell r="U21" t="str">
            <v>Open</v>
          </cell>
          <cell r="V21" t="str">
            <v>Open</v>
          </cell>
          <cell r="W21" t="str">
            <v>Open</v>
          </cell>
          <cell r="X21" t="str">
            <v>Open</v>
          </cell>
          <cell r="Y21" t="str">
            <v>Open</v>
          </cell>
          <cell r="Z21" t="str">
            <v>Open</v>
          </cell>
          <cell r="AA21" t="str">
            <v>Open</v>
          </cell>
          <cell r="AB21" t="str">
            <v>Open</v>
          </cell>
          <cell r="AC21" t="str">
            <v>Open</v>
          </cell>
          <cell r="AD21" t="str">
            <v>Open</v>
          </cell>
          <cell r="AE21" t="str">
            <v>Open</v>
          </cell>
          <cell r="AF21" t="str">
            <v>Open</v>
          </cell>
          <cell r="AG21" t="str">
            <v>Open</v>
          </cell>
          <cell r="AH21" t="str">
            <v>Open</v>
          </cell>
          <cell r="AI21" t="str">
            <v>Open</v>
          </cell>
          <cell r="AJ21" t="str">
            <v>Open</v>
          </cell>
          <cell r="AK21" t="str">
            <v>Open</v>
          </cell>
          <cell r="AL21" t="str">
            <v>Open</v>
          </cell>
          <cell r="AM21" t="str">
            <v>Open</v>
          </cell>
          <cell r="AN21" t="str">
            <v>Open</v>
          </cell>
          <cell r="AO21" t="str">
            <v>Open</v>
          </cell>
          <cell r="AP21" t="str">
            <v>Open</v>
          </cell>
          <cell r="AQ21" t="str">
            <v>Open</v>
          </cell>
          <cell r="AR21" t="str">
            <v>Open</v>
          </cell>
          <cell r="AS21" t="str">
            <v>Open</v>
          </cell>
          <cell r="AT21">
            <v>40544</v>
          </cell>
          <cell r="AU21" t="str">
            <v>Open</v>
          </cell>
          <cell r="AV21">
            <v>39814</v>
          </cell>
          <cell r="AW21">
            <v>39814</v>
          </cell>
          <cell r="AX21" t="str">
            <v>Open</v>
          </cell>
          <cell r="AY21">
            <v>39814</v>
          </cell>
          <cell r="AZ21" t="str">
            <v>Open</v>
          </cell>
          <cell r="BA21" t="str">
            <v>Open</v>
          </cell>
          <cell r="BB21" t="str">
            <v>Open</v>
          </cell>
          <cell r="BC21" t="str">
            <v>Open</v>
          </cell>
          <cell r="BD21" t="str">
            <v>Open</v>
          </cell>
          <cell r="BE21">
            <v>40544</v>
          </cell>
          <cell r="BF21" t="str">
            <v>Open</v>
          </cell>
          <cell r="BG21" t="str">
            <v>Open</v>
          </cell>
          <cell r="BH21" t="str">
            <v>Open</v>
          </cell>
          <cell r="BI21" t="str">
            <v>Open</v>
          </cell>
        </row>
        <row r="22">
          <cell r="B22" t="str">
            <v>ANIFPO</v>
          </cell>
          <cell r="D22" t="str">
            <v>Open</v>
          </cell>
          <cell r="E22" t="str">
            <v>Open</v>
          </cell>
          <cell r="F22" t="str">
            <v>Open</v>
          </cell>
          <cell r="G22" t="str">
            <v>Open</v>
          </cell>
          <cell r="H22" t="str">
            <v>Open</v>
          </cell>
          <cell r="I22" t="str">
            <v>Open</v>
          </cell>
          <cell r="J22" t="str">
            <v>Open</v>
          </cell>
          <cell r="K22" t="str">
            <v>Open</v>
          </cell>
          <cell r="L22" t="str">
            <v>Open</v>
          </cell>
          <cell r="M22" t="str">
            <v>Open</v>
          </cell>
          <cell r="N22" t="str">
            <v>Open</v>
          </cell>
          <cell r="O22" t="str">
            <v>Open</v>
          </cell>
          <cell r="P22" t="str">
            <v>Open</v>
          </cell>
          <cell r="Q22" t="str">
            <v>Open</v>
          </cell>
          <cell r="R22" t="str">
            <v>Open</v>
          </cell>
          <cell r="S22">
            <v>40544</v>
          </cell>
          <cell r="T22">
            <v>40179</v>
          </cell>
          <cell r="U22" t="str">
            <v>Open</v>
          </cell>
          <cell r="V22" t="str">
            <v>Open</v>
          </cell>
          <cell r="W22" t="str">
            <v>Open</v>
          </cell>
          <cell r="X22" t="str">
            <v>Open</v>
          </cell>
          <cell r="Y22" t="str">
            <v>Open</v>
          </cell>
          <cell r="Z22" t="str">
            <v>Open</v>
          </cell>
          <cell r="AA22" t="str">
            <v>Open</v>
          </cell>
          <cell r="AB22" t="str">
            <v>Open</v>
          </cell>
          <cell r="AC22" t="str">
            <v>Open</v>
          </cell>
          <cell r="AD22" t="str">
            <v>Open</v>
          </cell>
          <cell r="AE22" t="str">
            <v>Open</v>
          </cell>
          <cell r="AF22" t="str">
            <v>Open</v>
          </cell>
          <cell r="AG22" t="str">
            <v>Open</v>
          </cell>
          <cell r="AH22" t="str">
            <v>Open</v>
          </cell>
          <cell r="AI22" t="str">
            <v>Open</v>
          </cell>
          <cell r="AJ22" t="str">
            <v>Open</v>
          </cell>
          <cell r="AK22" t="str">
            <v>Open</v>
          </cell>
          <cell r="AL22" t="str">
            <v>Open</v>
          </cell>
          <cell r="AM22" t="str">
            <v>Open</v>
          </cell>
          <cell r="AN22" t="str">
            <v>Open</v>
          </cell>
          <cell r="AO22" t="str">
            <v>Open</v>
          </cell>
          <cell r="AP22">
            <v>40544</v>
          </cell>
          <cell r="AQ22" t="str">
            <v>Open</v>
          </cell>
          <cell r="AR22" t="str">
            <v>Open</v>
          </cell>
          <cell r="AS22">
            <v>40544</v>
          </cell>
          <cell r="AT22">
            <v>40544</v>
          </cell>
          <cell r="AU22">
            <v>40544</v>
          </cell>
          <cell r="AV22">
            <v>40544</v>
          </cell>
          <cell r="AW22">
            <v>40544</v>
          </cell>
          <cell r="AX22" t="str">
            <v>Open</v>
          </cell>
          <cell r="AY22">
            <v>39814</v>
          </cell>
          <cell r="AZ22" t="str">
            <v>Open</v>
          </cell>
          <cell r="BA22" t="str">
            <v>Open</v>
          </cell>
          <cell r="BB22" t="str">
            <v>Open</v>
          </cell>
          <cell r="BC22" t="str">
            <v>Open</v>
          </cell>
          <cell r="BD22" t="str">
            <v>Open</v>
          </cell>
          <cell r="BE22">
            <v>40544</v>
          </cell>
          <cell r="BF22" t="str">
            <v>Open</v>
          </cell>
          <cell r="BG22" t="str">
            <v>Open</v>
          </cell>
          <cell r="BH22" t="str">
            <v>Open</v>
          </cell>
          <cell r="BI22" t="str">
            <v>Open</v>
          </cell>
        </row>
        <row r="23">
          <cell r="B23" t="str">
            <v>Cornish</v>
          </cell>
          <cell r="D23" t="str">
            <v>Open</v>
          </cell>
          <cell r="E23" t="str">
            <v>Open</v>
          </cell>
          <cell r="F23" t="str">
            <v>Open</v>
          </cell>
          <cell r="G23" t="str">
            <v>Open</v>
          </cell>
          <cell r="H23" t="str">
            <v>Open</v>
          </cell>
          <cell r="I23" t="str">
            <v>Open</v>
          </cell>
          <cell r="J23" t="str">
            <v>Open</v>
          </cell>
          <cell r="K23" t="str">
            <v>Open</v>
          </cell>
          <cell r="L23" t="str">
            <v>Open</v>
          </cell>
          <cell r="M23" t="str">
            <v>Open</v>
          </cell>
          <cell r="N23" t="str">
            <v>Open</v>
          </cell>
          <cell r="O23" t="str">
            <v>Open</v>
          </cell>
          <cell r="P23" t="str">
            <v>Open</v>
          </cell>
          <cell r="Q23" t="str">
            <v>Open</v>
          </cell>
          <cell r="R23" t="str">
            <v>Open</v>
          </cell>
          <cell r="S23">
            <v>40544</v>
          </cell>
          <cell r="T23" t="str">
            <v>Open</v>
          </cell>
          <cell r="U23" t="str">
            <v>Open</v>
          </cell>
          <cell r="V23" t="str">
            <v>Open</v>
          </cell>
          <cell r="W23" t="str">
            <v>Open</v>
          </cell>
          <cell r="X23" t="str">
            <v>Open</v>
          </cell>
          <cell r="Y23" t="str">
            <v>Open</v>
          </cell>
          <cell r="Z23" t="str">
            <v>Open</v>
          </cell>
          <cell r="AA23" t="str">
            <v>Open</v>
          </cell>
          <cell r="AB23" t="str">
            <v>Open</v>
          </cell>
          <cell r="AC23" t="str">
            <v>Open</v>
          </cell>
          <cell r="AD23" t="str">
            <v>Open</v>
          </cell>
          <cell r="AE23" t="str">
            <v>Open</v>
          </cell>
          <cell r="AF23" t="str">
            <v>Open</v>
          </cell>
          <cell r="AG23" t="str">
            <v>Open</v>
          </cell>
          <cell r="AH23" t="str">
            <v>Open</v>
          </cell>
          <cell r="AI23" t="str">
            <v>Open</v>
          </cell>
          <cell r="AJ23" t="str">
            <v>Open</v>
          </cell>
          <cell r="AK23" t="str">
            <v>Open</v>
          </cell>
          <cell r="AL23" t="str">
            <v>Open</v>
          </cell>
          <cell r="AM23" t="str">
            <v>Open</v>
          </cell>
          <cell r="AN23" t="str">
            <v>Open</v>
          </cell>
          <cell r="AO23" t="str">
            <v>Open</v>
          </cell>
          <cell r="AP23" t="str">
            <v>Open</v>
          </cell>
          <cell r="AQ23" t="str">
            <v>Open</v>
          </cell>
          <cell r="AR23" t="str">
            <v>Open</v>
          </cell>
          <cell r="AS23" t="str">
            <v>Open</v>
          </cell>
          <cell r="AT23" t="str">
            <v>Open</v>
          </cell>
          <cell r="AU23" t="str">
            <v>Open</v>
          </cell>
          <cell r="AV23" t="str">
            <v>Open</v>
          </cell>
          <cell r="AW23" t="str">
            <v>Open</v>
          </cell>
          <cell r="AX23" t="str">
            <v>Open</v>
          </cell>
          <cell r="AY23" t="str">
            <v>Open</v>
          </cell>
          <cell r="AZ23" t="str">
            <v>Open</v>
          </cell>
          <cell r="BA23" t="str">
            <v>Open</v>
          </cell>
          <cell r="BB23" t="str">
            <v>Open</v>
          </cell>
          <cell r="BC23" t="str">
            <v>Open</v>
          </cell>
          <cell r="BD23" t="str">
            <v>Open</v>
          </cell>
          <cell r="BE23" t="str">
            <v>Open</v>
          </cell>
          <cell r="BF23" t="str">
            <v>Open</v>
          </cell>
          <cell r="BG23" t="str">
            <v>Open</v>
          </cell>
          <cell r="BH23" t="str">
            <v>Open</v>
          </cell>
          <cell r="BI23" t="str">
            <v>Open</v>
          </cell>
        </row>
        <row r="24">
          <cell r="B24" t="str">
            <v>South West</v>
          </cell>
          <cell r="D24" t="str">
            <v>Open</v>
          </cell>
          <cell r="E24" t="str">
            <v>Open</v>
          </cell>
          <cell r="F24" t="str">
            <v>Open</v>
          </cell>
          <cell r="G24" t="str">
            <v>Open</v>
          </cell>
          <cell r="H24" t="str">
            <v>Open</v>
          </cell>
          <cell r="I24" t="str">
            <v>Open</v>
          </cell>
          <cell r="J24" t="str">
            <v>Open</v>
          </cell>
          <cell r="K24" t="str">
            <v>Open</v>
          </cell>
          <cell r="L24" t="str">
            <v>Open</v>
          </cell>
          <cell r="M24" t="str">
            <v>Open</v>
          </cell>
          <cell r="N24" t="str">
            <v>Open</v>
          </cell>
          <cell r="O24" t="str">
            <v>Open</v>
          </cell>
          <cell r="P24" t="str">
            <v>Open</v>
          </cell>
          <cell r="Q24" t="str">
            <v>Open</v>
          </cell>
          <cell r="R24" t="str">
            <v>Open</v>
          </cell>
          <cell r="S24">
            <v>40544</v>
          </cell>
          <cell r="T24" t="str">
            <v>Open</v>
          </cell>
          <cell r="U24" t="str">
            <v>Open</v>
          </cell>
          <cell r="V24" t="str">
            <v>Open</v>
          </cell>
          <cell r="W24" t="str">
            <v>Open</v>
          </cell>
          <cell r="X24" t="str">
            <v>Open</v>
          </cell>
          <cell r="Y24" t="str">
            <v>Open</v>
          </cell>
          <cell r="Z24" t="str">
            <v>Open</v>
          </cell>
          <cell r="AA24" t="str">
            <v>Open</v>
          </cell>
          <cell r="AB24" t="str">
            <v>Open</v>
          </cell>
          <cell r="AC24" t="str">
            <v>Open</v>
          </cell>
          <cell r="AD24" t="str">
            <v>Open</v>
          </cell>
          <cell r="AE24" t="str">
            <v>Open</v>
          </cell>
          <cell r="AF24" t="str">
            <v>Open</v>
          </cell>
          <cell r="AG24" t="str">
            <v>Open</v>
          </cell>
          <cell r="AH24" t="str">
            <v>Open</v>
          </cell>
          <cell r="AI24" t="str">
            <v>Open</v>
          </cell>
          <cell r="AJ24" t="str">
            <v>Open</v>
          </cell>
          <cell r="AK24" t="str">
            <v>Open</v>
          </cell>
          <cell r="AL24" t="str">
            <v>Open</v>
          </cell>
          <cell r="AM24" t="str">
            <v>Open</v>
          </cell>
          <cell r="AN24" t="str">
            <v>Open</v>
          </cell>
          <cell r="AO24" t="str">
            <v>Open</v>
          </cell>
          <cell r="AP24">
            <v>39814</v>
          </cell>
          <cell r="AQ24">
            <v>40544</v>
          </cell>
          <cell r="AR24">
            <v>39814</v>
          </cell>
          <cell r="AS24" t="str">
            <v>Open</v>
          </cell>
          <cell r="AT24">
            <v>40544</v>
          </cell>
          <cell r="AU24">
            <v>39814</v>
          </cell>
          <cell r="AV24">
            <v>39814</v>
          </cell>
          <cell r="AW24">
            <v>39814</v>
          </cell>
          <cell r="AX24" t="str">
            <v>Open</v>
          </cell>
          <cell r="AY24">
            <v>39814</v>
          </cell>
          <cell r="AZ24" t="str">
            <v>Open</v>
          </cell>
          <cell r="BA24" t="str">
            <v>Open</v>
          </cell>
          <cell r="BB24" t="str">
            <v>Open</v>
          </cell>
          <cell r="BC24" t="str">
            <v>Open</v>
          </cell>
          <cell r="BD24" t="str">
            <v>Open</v>
          </cell>
          <cell r="BE24">
            <v>40544</v>
          </cell>
          <cell r="BF24" t="str">
            <v>Open</v>
          </cell>
          <cell r="BG24" t="str">
            <v>Open</v>
          </cell>
          <cell r="BH24" t="str">
            <v>Open</v>
          </cell>
          <cell r="BI24" t="str">
            <v>Open</v>
          </cell>
        </row>
        <row r="25">
          <cell r="B25" t="str">
            <v>North sea</v>
          </cell>
          <cell r="D25" t="str">
            <v>Open</v>
          </cell>
          <cell r="E25" t="str">
            <v>Open</v>
          </cell>
          <cell r="F25" t="str">
            <v>Open</v>
          </cell>
          <cell r="G25" t="str">
            <v>Open</v>
          </cell>
          <cell r="H25" t="str">
            <v>Open</v>
          </cell>
          <cell r="I25" t="str">
            <v>Open</v>
          </cell>
          <cell r="J25" t="str">
            <v>Open</v>
          </cell>
          <cell r="K25" t="str">
            <v>Open</v>
          </cell>
          <cell r="L25" t="str">
            <v>Open</v>
          </cell>
          <cell r="M25" t="str">
            <v>Open</v>
          </cell>
          <cell r="N25" t="str">
            <v>Open</v>
          </cell>
          <cell r="O25" t="str">
            <v>Open</v>
          </cell>
          <cell r="P25" t="str">
            <v>Open</v>
          </cell>
          <cell r="Q25" t="str">
            <v>Open</v>
          </cell>
          <cell r="R25" t="str">
            <v>Open</v>
          </cell>
          <cell r="S25">
            <v>40544</v>
          </cell>
          <cell r="T25" t="str">
            <v>Open</v>
          </cell>
          <cell r="U25" t="str">
            <v>Open</v>
          </cell>
          <cell r="V25" t="str">
            <v>Open</v>
          </cell>
          <cell r="W25" t="str">
            <v>Open</v>
          </cell>
          <cell r="X25" t="str">
            <v>Open</v>
          </cell>
          <cell r="Y25" t="str">
            <v>Open</v>
          </cell>
          <cell r="Z25" t="str">
            <v>Open</v>
          </cell>
          <cell r="AA25" t="str">
            <v>Open</v>
          </cell>
          <cell r="AB25" t="str">
            <v>Open</v>
          </cell>
          <cell r="AC25" t="str">
            <v>Open</v>
          </cell>
          <cell r="AD25" t="str">
            <v>Open</v>
          </cell>
          <cell r="AE25" t="str">
            <v>Open</v>
          </cell>
          <cell r="AF25" t="str">
            <v>Open</v>
          </cell>
          <cell r="AG25" t="str">
            <v>Open</v>
          </cell>
          <cell r="AH25" t="str">
            <v>Open</v>
          </cell>
          <cell r="AI25" t="str">
            <v>Open</v>
          </cell>
          <cell r="AJ25" t="str">
            <v>Open</v>
          </cell>
          <cell r="AK25" t="str">
            <v>Open</v>
          </cell>
          <cell r="AL25" t="str">
            <v>Open</v>
          </cell>
          <cell r="AM25" t="str">
            <v>Open</v>
          </cell>
          <cell r="AN25" t="str">
            <v>Open</v>
          </cell>
          <cell r="AO25" t="str">
            <v>Open</v>
          </cell>
          <cell r="AP25" t="str">
            <v>Open</v>
          </cell>
          <cell r="AQ25" t="str">
            <v>Open</v>
          </cell>
          <cell r="AR25">
            <v>40544</v>
          </cell>
          <cell r="AS25" t="str">
            <v>Open</v>
          </cell>
          <cell r="AT25">
            <v>40544</v>
          </cell>
          <cell r="AU25">
            <v>39814</v>
          </cell>
          <cell r="AV25">
            <v>39814</v>
          </cell>
          <cell r="AW25">
            <v>39814</v>
          </cell>
          <cell r="AX25" t="str">
            <v>Open</v>
          </cell>
          <cell r="AY25">
            <v>39814</v>
          </cell>
          <cell r="AZ25" t="str">
            <v>Open</v>
          </cell>
          <cell r="BA25" t="str">
            <v>Open</v>
          </cell>
          <cell r="BB25" t="str">
            <v>Open</v>
          </cell>
          <cell r="BC25" t="str">
            <v>Open</v>
          </cell>
          <cell r="BD25" t="str">
            <v>Open</v>
          </cell>
          <cell r="BE25">
            <v>40544</v>
          </cell>
          <cell r="BF25" t="str">
            <v>Open</v>
          </cell>
          <cell r="BG25" t="str">
            <v>Open</v>
          </cell>
          <cell r="BH25" t="str">
            <v>Open</v>
          </cell>
          <cell r="BI25" t="str">
            <v>Open</v>
          </cell>
        </row>
        <row r="26">
          <cell r="B26" t="str">
            <v>Lowestoft</v>
          </cell>
          <cell r="D26" t="str">
            <v>Open</v>
          </cell>
          <cell r="E26" t="str">
            <v>Open</v>
          </cell>
          <cell r="F26" t="str">
            <v>Open</v>
          </cell>
          <cell r="G26" t="str">
            <v>Open</v>
          </cell>
          <cell r="H26" t="str">
            <v>Open</v>
          </cell>
          <cell r="I26" t="str">
            <v>Open</v>
          </cell>
          <cell r="J26" t="str">
            <v>Open</v>
          </cell>
          <cell r="K26" t="str">
            <v>Open</v>
          </cell>
          <cell r="L26" t="str">
            <v>Open</v>
          </cell>
          <cell r="M26" t="str">
            <v>Open</v>
          </cell>
          <cell r="N26" t="str">
            <v>Open</v>
          </cell>
          <cell r="O26" t="str">
            <v>Open</v>
          </cell>
          <cell r="P26" t="str">
            <v>Open</v>
          </cell>
          <cell r="Q26" t="str">
            <v>Open</v>
          </cell>
          <cell r="R26" t="str">
            <v>Open</v>
          </cell>
          <cell r="S26">
            <v>40544</v>
          </cell>
          <cell r="T26" t="str">
            <v>Open</v>
          </cell>
          <cell r="U26" t="str">
            <v>Open</v>
          </cell>
          <cell r="V26" t="str">
            <v>Open</v>
          </cell>
          <cell r="W26" t="str">
            <v>Open</v>
          </cell>
          <cell r="X26" t="str">
            <v>Open</v>
          </cell>
          <cell r="Y26" t="str">
            <v>Open</v>
          </cell>
          <cell r="Z26" t="str">
            <v>Open</v>
          </cell>
          <cell r="AA26" t="str">
            <v>Open</v>
          </cell>
          <cell r="AB26" t="str">
            <v>Open</v>
          </cell>
          <cell r="AC26" t="str">
            <v>Open</v>
          </cell>
          <cell r="AD26" t="str">
            <v>Open</v>
          </cell>
          <cell r="AE26" t="str">
            <v>Open</v>
          </cell>
          <cell r="AF26" t="str">
            <v>Open</v>
          </cell>
          <cell r="AG26" t="str">
            <v>Open</v>
          </cell>
          <cell r="AH26" t="str">
            <v>Open</v>
          </cell>
          <cell r="AI26" t="str">
            <v>Open</v>
          </cell>
          <cell r="AJ26" t="str">
            <v>Open</v>
          </cell>
          <cell r="AK26" t="str">
            <v>Open</v>
          </cell>
          <cell r="AL26" t="str">
            <v>Open</v>
          </cell>
          <cell r="AM26" t="str">
            <v>Open</v>
          </cell>
          <cell r="AN26" t="str">
            <v>Open</v>
          </cell>
          <cell r="AO26" t="str">
            <v>Open</v>
          </cell>
          <cell r="AP26" t="str">
            <v>Open</v>
          </cell>
          <cell r="AQ26" t="str">
            <v>Open</v>
          </cell>
          <cell r="AR26" t="str">
            <v>Open</v>
          </cell>
          <cell r="AS26" t="str">
            <v>Open</v>
          </cell>
          <cell r="AT26" t="str">
            <v>Open</v>
          </cell>
          <cell r="AU26" t="str">
            <v>Open</v>
          </cell>
          <cell r="AV26" t="str">
            <v>Open</v>
          </cell>
          <cell r="AW26" t="str">
            <v>Open</v>
          </cell>
          <cell r="AX26" t="str">
            <v>Open</v>
          </cell>
          <cell r="AY26" t="str">
            <v>Open</v>
          </cell>
          <cell r="AZ26" t="str">
            <v>Open</v>
          </cell>
          <cell r="BA26" t="str">
            <v>Open</v>
          </cell>
          <cell r="BB26" t="str">
            <v>Open</v>
          </cell>
          <cell r="BC26" t="str">
            <v>Open</v>
          </cell>
          <cell r="BD26" t="str">
            <v>Open</v>
          </cell>
          <cell r="BE26" t="str">
            <v>Open</v>
          </cell>
          <cell r="BF26" t="str">
            <v>Open</v>
          </cell>
          <cell r="BG26" t="str">
            <v>Open</v>
          </cell>
          <cell r="BH26" t="str">
            <v>Open</v>
          </cell>
          <cell r="BI26" t="str">
            <v>Open</v>
          </cell>
        </row>
        <row r="27">
          <cell r="B27" t="str">
            <v>Wales &amp; WC</v>
          </cell>
          <cell r="D27" t="str">
            <v>Open</v>
          </cell>
          <cell r="E27" t="str">
            <v>Open</v>
          </cell>
          <cell r="F27" t="str">
            <v>Open</v>
          </cell>
          <cell r="G27" t="str">
            <v>Open</v>
          </cell>
          <cell r="H27">
            <v>39814</v>
          </cell>
          <cell r="I27">
            <v>39814</v>
          </cell>
          <cell r="J27" t="str">
            <v>Open</v>
          </cell>
          <cell r="K27" t="str">
            <v>Open</v>
          </cell>
          <cell r="L27">
            <v>39814</v>
          </cell>
          <cell r="M27" t="str">
            <v>Open</v>
          </cell>
          <cell r="N27">
            <v>40544</v>
          </cell>
          <cell r="O27">
            <v>39814</v>
          </cell>
          <cell r="P27" t="str">
            <v>Open</v>
          </cell>
          <cell r="Q27">
            <v>39814</v>
          </cell>
          <cell r="R27">
            <v>39814</v>
          </cell>
          <cell r="S27">
            <v>40544</v>
          </cell>
          <cell r="T27" t="str">
            <v>Open</v>
          </cell>
          <cell r="U27" t="str">
            <v>Open</v>
          </cell>
          <cell r="V27" t="str">
            <v>Open</v>
          </cell>
          <cell r="W27" t="str">
            <v>Open</v>
          </cell>
          <cell r="X27" t="str">
            <v>Open</v>
          </cell>
          <cell r="Y27" t="str">
            <v>Open</v>
          </cell>
          <cell r="Z27" t="str">
            <v>Open</v>
          </cell>
          <cell r="AA27" t="str">
            <v>Open</v>
          </cell>
          <cell r="AB27">
            <v>39814</v>
          </cell>
          <cell r="AC27" t="str">
            <v>Open</v>
          </cell>
          <cell r="AD27" t="str">
            <v>Open</v>
          </cell>
          <cell r="AE27" t="str">
            <v>Open</v>
          </cell>
          <cell r="AF27" t="str">
            <v>Open</v>
          </cell>
          <cell r="AG27" t="str">
            <v>Open</v>
          </cell>
          <cell r="AH27">
            <v>39814</v>
          </cell>
          <cell r="AI27" t="str">
            <v>Open</v>
          </cell>
          <cell r="AJ27" t="str">
            <v>Open</v>
          </cell>
          <cell r="AK27" t="str">
            <v>Open</v>
          </cell>
          <cell r="AL27" t="str">
            <v>Open</v>
          </cell>
          <cell r="AM27" t="str">
            <v>Open</v>
          </cell>
          <cell r="AN27" t="str">
            <v>Open</v>
          </cell>
          <cell r="AO27" t="str">
            <v>Open</v>
          </cell>
          <cell r="AP27" t="str">
            <v>Open</v>
          </cell>
          <cell r="AQ27" t="str">
            <v>Open</v>
          </cell>
          <cell r="AR27" t="str">
            <v>Open</v>
          </cell>
          <cell r="AS27" t="str">
            <v>Open</v>
          </cell>
          <cell r="AT27" t="str">
            <v>Open</v>
          </cell>
          <cell r="AU27">
            <v>40544</v>
          </cell>
          <cell r="AV27">
            <v>39814</v>
          </cell>
          <cell r="AW27" t="str">
            <v>Open</v>
          </cell>
          <cell r="AX27" t="str">
            <v>Open</v>
          </cell>
          <cell r="AY27">
            <v>40544</v>
          </cell>
          <cell r="AZ27" t="str">
            <v>Open</v>
          </cell>
          <cell r="BA27" t="str">
            <v>Open</v>
          </cell>
          <cell r="BB27" t="str">
            <v>Open</v>
          </cell>
          <cell r="BC27" t="str">
            <v>Open</v>
          </cell>
          <cell r="BD27" t="str">
            <v>Open</v>
          </cell>
          <cell r="BE27" t="str">
            <v>Open</v>
          </cell>
          <cell r="BF27" t="str">
            <v>Open</v>
          </cell>
          <cell r="BG27">
            <v>39814</v>
          </cell>
          <cell r="BH27">
            <v>40544</v>
          </cell>
          <cell r="BI27">
            <v>39814</v>
          </cell>
        </row>
        <row r="28">
          <cell r="B28" t="str">
            <v>Interfish</v>
          </cell>
          <cell r="D28" t="str">
            <v>Open</v>
          </cell>
          <cell r="E28" t="str">
            <v>Open</v>
          </cell>
          <cell r="F28" t="str">
            <v>Open</v>
          </cell>
          <cell r="G28" t="str">
            <v>Open</v>
          </cell>
          <cell r="H28" t="str">
            <v>Open</v>
          </cell>
          <cell r="I28" t="str">
            <v>Open</v>
          </cell>
          <cell r="J28" t="str">
            <v>Open</v>
          </cell>
          <cell r="K28" t="str">
            <v>Open</v>
          </cell>
          <cell r="L28" t="str">
            <v>Open</v>
          </cell>
          <cell r="M28" t="str">
            <v>Open</v>
          </cell>
          <cell r="N28" t="str">
            <v>Open</v>
          </cell>
          <cell r="O28" t="str">
            <v>Open</v>
          </cell>
          <cell r="P28" t="str">
            <v>Open</v>
          </cell>
          <cell r="Q28" t="str">
            <v>Open</v>
          </cell>
          <cell r="R28" t="str">
            <v>Open</v>
          </cell>
          <cell r="S28">
            <v>40544</v>
          </cell>
          <cell r="T28" t="str">
            <v>Open</v>
          </cell>
          <cell r="U28" t="str">
            <v>Open</v>
          </cell>
          <cell r="V28" t="str">
            <v>Open</v>
          </cell>
          <cell r="W28" t="str">
            <v>Open</v>
          </cell>
          <cell r="X28" t="str">
            <v>Open</v>
          </cell>
          <cell r="Y28" t="str">
            <v>Open</v>
          </cell>
          <cell r="Z28" t="str">
            <v>Open</v>
          </cell>
          <cell r="AA28" t="str">
            <v>Open</v>
          </cell>
          <cell r="AB28" t="str">
            <v>Open</v>
          </cell>
          <cell r="AC28" t="str">
            <v>Open</v>
          </cell>
          <cell r="AD28" t="str">
            <v>Open</v>
          </cell>
          <cell r="AE28" t="str">
            <v>Open</v>
          </cell>
          <cell r="AF28" t="str">
            <v>Open</v>
          </cell>
          <cell r="AG28" t="str">
            <v>Open</v>
          </cell>
          <cell r="AH28">
            <v>40544</v>
          </cell>
          <cell r="AI28" t="str">
            <v>Open</v>
          </cell>
          <cell r="AJ28" t="str">
            <v>Open</v>
          </cell>
          <cell r="AK28" t="str">
            <v>Open</v>
          </cell>
          <cell r="AL28" t="str">
            <v>Open</v>
          </cell>
          <cell r="AM28" t="str">
            <v>Open</v>
          </cell>
          <cell r="AN28" t="str">
            <v>Open</v>
          </cell>
          <cell r="AO28" t="str">
            <v>Open</v>
          </cell>
          <cell r="AP28">
            <v>40179</v>
          </cell>
          <cell r="AQ28">
            <v>40544</v>
          </cell>
          <cell r="AR28">
            <v>40544</v>
          </cell>
          <cell r="AS28" t="str">
            <v>Open</v>
          </cell>
          <cell r="AT28">
            <v>40544</v>
          </cell>
          <cell r="AU28">
            <v>40544</v>
          </cell>
          <cell r="AV28">
            <v>40544</v>
          </cell>
          <cell r="AW28">
            <v>40544</v>
          </cell>
          <cell r="AX28" t="str">
            <v>Open</v>
          </cell>
          <cell r="AY28">
            <v>40544</v>
          </cell>
          <cell r="AZ28" t="str">
            <v>Open</v>
          </cell>
          <cell r="BA28" t="str">
            <v>Open</v>
          </cell>
          <cell r="BB28" t="str">
            <v>Open</v>
          </cell>
          <cell r="BC28" t="str">
            <v>Open</v>
          </cell>
          <cell r="BD28" t="str">
            <v>Open</v>
          </cell>
          <cell r="BE28">
            <v>40544</v>
          </cell>
          <cell r="BF28" t="str">
            <v>Open</v>
          </cell>
          <cell r="BG28" t="str">
            <v>Open</v>
          </cell>
          <cell r="BH28" t="str">
            <v>Open</v>
          </cell>
          <cell r="BI28" t="str">
            <v>Open</v>
          </cell>
        </row>
        <row r="29">
          <cell r="B29" t="str">
            <v>North Atlantic FPO</v>
          </cell>
          <cell r="D29" t="str">
            <v>Open</v>
          </cell>
          <cell r="E29" t="str">
            <v>Open</v>
          </cell>
          <cell r="F29" t="str">
            <v>Open</v>
          </cell>
          <cell r="G29" t="str">
            <v>Open</v>
          </cell>
          <cell r="H29" t="str">
            <v>Open</v>
          </cell>
          <cell r="I29" t="str">
            <v>Open</v>
          </cell>
          <cell r="J29" t="str">
            <v>Open</v>
          </cell>
          <cell r="K29" t="str">
            <v>Open</v>
          </cell>
          <cell r="L29" t="str">
            <v>Open</v>
          </cell>
          <cell r="M29" t="str">
            <v>Open</v>
          </cell>
          <cell r="N29" t="str">
            <v>Open</v>
          </cell>
          <cell r="O29" t="str">
            <v>Open</v>
          </cell>
          <cell r="P29" t="str">
            <v>Open</v>
          </cell>
          <cell r="Q29" t="str">
            <v>Open</v>
          </cell>
          <cell r="R29" t="str">
            <v>Open</v>
          </cell>
          <cell r="S29">
            <v>40544</v>
          </cell>
          <cell r="T29" t="str">
            <v>Open</v>
          </cell>
          <cell r="U29" t="str">
            <v>Open</v>
          </cell>
          <cell r="V29" t="str">
            <v>Open</v>
          </cell>
          <cell r="W29" t="str">
            <v>Open</v>
          </cell>
          <cell r="X29" t="str">
            <v>Open</v>
          </cell>
          <cell r="Y29" t="str">
            <v>Open</v>
          </cell>
          <cell r="Z29" t="str">
            <v>Open</v>
          </cell>
          <cell r="AA29" t="str">
            <v>Open</v>
          </cell>
          <cell r="AB29" t="str">
            <v>Open</v>
          </cell>
          <cell r="AC29" t="str">
            <v>Open</v>
          </cell>
          <cell r="AD29" t="str">
            <v>Open</v>
          </cell>
          <cell r="AE29" t="str">
            <v>Open</v>
          </cell>
          <cell r="AF29" t="str">
            <v>Open</v>
          </cell>
          <cell r="AG29" t="str">
            <v>Open</v>
          </cell>
          <cell r="AH29" t="str">
            <v>Open</v>
          </cell>
          <cell r="AI29" t="str">
            <v>Open</v>
          </cell>
          <cell r="AJ29" t="str">
            <v>Open</v>
          </cell>
          <cell r="AK29" t="str">
            <v>Open</v>
          </cell>
          <cell r="AL29" t="str">
            <v>Open</v>
          </cell>
          <cell r="AM29" t="str">
            <v>Open</v>
          </cell>
          <cell r="AN29" t="str">
            <v>Open</v>
          </cell>
          <cell r="AO29" t="str">
            <v>Open</v>
          </cell>
          <cell r="AP29" t="str">
            <v>Open</v>
          </cell>
          <cell r="AQ29" t="str">
            <v>Open</v>
          </cell>
          <cell r="AR29" t="str">
            <v>Open</v>
          </cell>
          <cell r="AS29" t="str">
            <v>Open</v>
          </cell>
          <cell r="AT29" t="str">
            <v>Open</v>
          </cell>
          <cell r="AU29" t="str">
            <v>Open</v>
          </cell>
          <cell r="AV29" t="str">
            <v>Open</v>
          </cell>
          <cell r="AW29" t="str">
            <v>Open</v>
          </cell>
          <cell r="AX29" t="str">
            <v>Open</v>
          </cell>
          <cell r="AY29" t="str">
            <v>Open</v>
          </cell>
          <cell r="AZ29" t="str">
            <v>Open</v>
          </cell>
          <cell r="BA29" t="str">
            <v>Open</v>
          </cell>
          <cell r="BB29" t="str">
            <v>Open</v>
          </cell>
          <cell r="BC29" t="str">
            <v>Open</v>
          </cell>
          <cell r="BD29" t="str">
            <v>Open</v>
          </cell>
          <cell r="BE29" t="str">
            <v>Open</v>
          </cell>
          <cell r="BF29" t="str">
            <v>Open</v>
          </cell>
          <cell r="BG29" t="str">
            <v>Open</v>
          </cell>
          <cell r="BH29" t="str">
            <v>Open</v>
          </cell>
          <cell r="BI29" t="str">
            <v>Open</v>
          </cell>
        </row>
        <row r="30">
          <cell r="B30" t="str">
            <v>UK Sector Total</v>
          </cell>
          <cell r="D30" t="str">
            <v>Open</v>
          </cell>
          <cell r="E30" t="str">
            <v>Open</v>
          </cell>
          <cell r="F30" t="str">
            <v>Open</v>
          </cell>
          <cell r="G30" t="str">
            <v>Open</v>
          </cell>
          <cell r="H30" t="str">
            <v>Open</v>
          </cell>
          <cell r="I30" t="str">
            <v>Open</v>
          </cell>
          <cell r="J30" t="str">
            <v>Open</v>
          </cell>
          <cell r="K30" t="str">
            <v>Open</v>
          </cell>
          <cell r="L30" t="str">
            <v>Open</v>
          </cell>
          <cell r="M30" t="str">
            <v>Open</v>
          </cell>
          <cell r="N30" t="str">
            <v>Open</v>
          </cell>
          <cell r="O30" t="str">
            <v>Open</v>
          </cell>
          <cell r="P30" t="str">
            <v>Open</v>
          </cell>
          <cell r="Q30" t="str">
            <v>Open</v>
          </cell>
          <cell r="R30" t="str">
            <v>Open</v>
          </cell>
          <cell r="S30">
            <v>40544</v>
          </cell>
          <cell r="T30" t="str">
            <v>Open</v>
          </cell>
          <cell r="U30" t="str">
            <v>Open</v>
          </cell>
          <cell r="V30" t="str">
            <v>Open</v>
          </cell>
          <cell r="W30" t="str">
            <v>Open</v>
          </cell>
          <cell r="X30" t="str">
            <v>Open</v>
          </cell>
          <cell r="Y30" t="str">
            <v>Open</v>
          </cell>
          <cell r="Z30" t="str">
            <v>Open</v>
          </cell>
          <cell r="AA30" t="str">
            <v>Open</v>
          </cell>
          <cell r="AB30" t="str">
            <v>Open</v>
          </cell>
          <cell r="AC30" t="str">
            <v>Open</v>
          </cell>
          <cell r="AD30" t="str">
            <v>Open</v>
          </cell>
          <cell r="AE30" t="str">
            <v>Open</v>
          </cell>
          <cell r="AF30" t="str">
            <v>Open</v>
          </cell>
          <cell r="AG30" t="str">
            <v>Open</v>
          </cell>
          <cell r="AH30" t="str">
            <v>Open</v>
          </cell>
          <cell r="AI30" t="str">
            <v>Open</v>
          </cell>
          <cell r="AJ30" t="str">
            <v>Open</v>
          </cell>
          <cell r="AK30" t="str">
            <v>Open</v>
          </cell>
          <cell r="AL30" t="str">
            <v>Open</v>
          </cell>
          <cell r="AM30" t="str">
            <v>Open</v>
          </cell>
          <cell r="AN30" t="str">
            <v>Open</v>
          </cell>
          <cell r="AO30" t="str">
            <v>Open</v>
          </cell>
          <cell r="AP30" t="str">
            <v>Open</v>
          </cell>
          <cell r="AQ30" t="str">
            <v>Open</v>
          </cell>
          <cell r="AR30" t="str">
            <v>Open</v>
          </cell>
          <cell r="AS30" t="str">
            <v>Open</v>
          </cell>
          <cell r="AT30" t="str">
            <v>Open</v>
          </cell>
          <cell r="AU30" t="str">
            <v>Open</v>
          </cell>
          <cell r="AV30" t="str">
            <v>Open</v>
          </cell>
          <cell r="AW30" t="str">
            <v>Open</v>
          </cell>
          <cell r="AX30" t="str">
            <v>Open</v>
          </cell>
          <cell r="AY30" t="str">
            <v>Open</v>
          </cell>
          <cell r="AZ30" t="str">
            <v>Open</v>
          </cell>
          <cell r="BA30" t="str">
            <v>Open</v>
          </cell>
          <cell r="BB30" t="str">
            <v>Open</v>
          </cell>
          <cell r="BC30" t="str">
            <v>Open</v>
          </cell>
          <cell r="BD30" t="str">
            <v>Open</v>
          </cell>
          <cell r="BE30" t="str">
            <v>Open</v>
          </cell>
          <cell r="BF30" t="str">
            <v>Open</v>
          </cell>
          <cell r="BG30" t="str">
            <v>Open</v>
          </cell>
          <cell r="BH30" t="str">
            <v>Open</v>
          </cell>
          <cell r="BI30" t="str">
            <v>Open</v>
          </cell>
        </row>
        <row r="31">
          <cell r="B31" t="str">
            <v>Non Sector</v>
          </cell>
          <cell r="D31" t="str">
            <v>Open</v>
          </cell>
          <cell r="E31" t="str">
            <v>Open</v>
          </cell>
          <cell r="F31" t="str">
            <v>Open</v>
          </cell>
          <cell r="G31" t="str">
            <v>Open</v>
          </cell>
          <cell r="H31" t="str">
            <v>Open</v>
          </cell>
          <cell r="I31" t="str">
            <v>Open</v>
          </cell>
          <cell r="J31">
            <v>39814</v>
          </cell>
          <cell r="K31" t="str">
            <v>Open</v>
          </cell>
          <cell r="L31">
            <v>39814</v>
          </cell>
          <cell r="M31" t="str">
            <v>Open</v>
          </cell>
          <cell r="N31">
            <v>39814</v>
          </cell>
          <cell r="O31" t="str">
            <v>Open</v>
          </cell>
          <cell r="P31" t="str">
            <v>Open</v>
          </cell>
          <cell r="Q31" t="str">
            <v>Open</v>
          </cell>
          <cell r="R31" t="str">
            <v>Open</v>
          </cell>
          <cell r="S31">
            <v>40179</v>
          </cell>
          <cell r="T31">
            <v>40544</v>
          </cell>
          <cell r="U31">
            <v>39814</v>
          </cell>
          <cell r="V31" t="str">
            <v>Open</v>
          </cell>
          <cell r="W31">
            <v>39814</v>
          </cell>
          <cell r="X31" t="str">
            <v>Open</v>
          </cell>
          <cell r="Y31" t="str">
            <v>Open</v>
          </cell>
          <cell r="Z31" t="str">
            <v>Open</v>
          </cell>
          <cell r="AA31" t="str">
            <v>Open</v>
          </cell>
          <cell r="AB31" t="str">
            <v>Open</v>
          </cell>
          <cell r="AC31" t="str">
            <v>Open</v>
          </cell>
          <cell r="AD31" t="str">
            <v>Open</v>
          </cell>
          <cell r="AE31" t="str">
            <v>Open</v>
          </cell>
          <cell r="AF31" t="str">
            <v>Open</v>
          </cell>
          <cell r="AG31" t="str">
            <v>Open</v>
          </cell>
          <cell r="AH31" t="str">
            <v>Open</v>
          </cell>
          <cell r="AI31" t="str">
            <v>Open</v>
          </cell>
          <cell r="AJ31" t="str">
            <v>Open</v>
          </cell>
          <cell r="AK31" t="str">
            <v>Open</v>
          </cell>
          <cell r="AL31" t="str">
            <v>Open</v>
          </cell>
          <cell r="AM31" t="str">
            <v>Open</v>
          </cell>
          <cell r="AN31" t="str">
            <v>Open</v>
          </cell>
          <cell r="AO31" t="str">
            <v>Open</v>
          </cell>
          <cell r="AP31">
            <v>39814</v>
          </cell>
          <cell r="AQ31" t="str">
            <v>Open</v>
          </cell>
          <cell r="AR31">
            <v>39814</v>
          </cell>
          <cell r="AS31" t="str">
            <v>Open</v>
          </cell>
          <cell r="AT31">
            <v>39814</v>
          </cell>
          <cell r="AU31">
            <v>40544</v>
          </cell>
          <cell r="AV31">
            <v>39814</v>
          </cell>
          <cell r="AW31">
            <v>39814</v>
          </cell>
          <cell r="AX31" t="str">
            <v>Open</v>
          </cell>
          <cell r="AY31">
            <v>39814</v>
          </cell>
          <cell r="AZ31" t="str">
            <v>Open</v>
          </cell>
          <cell r="BA31" t="str">
            <v>Open</v>
          </cell>
          <cell r="BB31" t="str">
            <v>Open</v>
          </cell>
          <cell r="BC31" t="str">
            <v>Open</v>
          </cell>
          <cell r="BD31" t="str">
            <v>Open</v>
          </cell>
          <cell r="BE31" t="str">
            <v>Open</v>
          </cell>
          <cell r="BF31" t="str">
            <v>Open</v>
          </cell>
          <cell r="BG31" t="str">
            <v>Open</v>
          </cell>
          <cell r="BH31" t="str">
            <v>Open</v>
          </cell>
          <cell r="BI31" t="str">
            <v>Open</v>
          </cell>
        </row>
        <row r="32">
          <cell r="B32" t="str">
            <v>Non Sector - England</v>
          </cell>
          <cell r="D32" t="str">
            <v>Open</v>
          </cell>
          <cell r="E32" t="str">
            <v>Open</v>
          </cell>
          <cell r="F32" t="str">
            <v>Open</v>
          </cell>
          <cell r="G32" t="str">
            <v>Open</v>
          </cell>
          <cell r="H32" t="str">
            <v>Open</v>
          </cell>
          <cell r="I32" t="str">
            <v>Open</v>
          </cell>
          <cell r="J32">
            <v>39814</v>
          </cell>
          <cell r="K32" t="str">
            <v>Open</v>
          </cell>
          <cell r="L32">
            <v>39814</v>
          </cell>
          <cell r="M32" t="str">
            <v>Open</v>
          </cell>
          <cell r="N32">
            <v>39814</v>
          </cell>
          <cell r="O32" t="str">
            <v>Open</v>
          </cell>
          <cell r="P32" t="str">
            <v>Open</v>
          </cell>
          <cell r="Q32" t="str">
            <v>Open</v>
          </cell>
          <cell r="R32" t="str">
            <v>Open</v>
          </cell>
          <cell r="S32">
            <v>40179</v>
          </cell>
          <cell r="T32">
            <v>40544</v>
          </cell>
          <cell r="U32">
            <v>39814</v>
          </cell>
          <cell r="V32" t="str">
            <v>Open</v>
          </cell>
          <cell r="W32">
            <v>39814</v>
          </cell>
          <cell r="X32" t="str">
            <v>Open</v>
          </cell>
          <cell r="Y32" t="str">
            <v>Open</v>
          </cell>
          <cell r="Z32" t="str">
            <v>Open</v>
          </cell>
          <cell r="AA32" t="str">
            <v>Open</v>
          </cell>
          <cell r="AB32" t="str">
            <v>Open</v>
          </cell>
          <cell r="AC32" t="str">
            <v>Open</v>
          </cell>
          <cell r="AD32" t="str">
            <v>Open</v>
          </cell>
          <cell r="AE32" t="str">
            <v>Open</v>
          </cell>
          <cell r="AF32" t="str">
            <v>Open</v>
          </cell>
          <cell r="AG32" t="str">
            <v>Open</v>
          </cell>
          <cell r="AH32" t="str">
            <v>Open</v>
          </cell>
          <cell r="AI32" t="str">
            <v>Open</v>
          </cell>
          <cell r="AJ32" t="str">
            <v>Open</v>
          </cell>
          <cell r="AK32" t="str">
            <v>Open</v>
          </cell>
          <cell r="AL32" t="str">
            <v>Open</v>
          </cell>
          <cell r="AM32" t="str">
            <v>Open</v>
          </cell>
          <cell r="AN32" t="str">
            <v>Open</v>
          </cell>
          <cell r="AO32" t="str">
            <v>Open</v>
          </cell>
          <cell r="AP32">
            <v>39814</v>
          </cell>
          <cell r="AQ32" t="str">
            <v>Open</v>
          </cell>
          <cell r="AR32">
            <v>39814</v>
          </cell>
          <cell r="AS32" t="str">
            <v>Open</v>
          </cell>
          <cell r="AT32">
            <v>39814</v>
          </cell>
          <cell r="AU32">
            <v>40544</v>
          </cell>
          <cell r="AV32">
            <v>39814</v>
          </cell>
          <cell r="AW32">
            <v>39814</v>
          </cell>
          <cell r="AX32" t="str">
            <v>Open</v>
          </cell>
          <cell r="AY32">
            <v>39814</v>
          </cell>
          <cell r="AZ32" t="str">
            <v>Open</v>
          </cell>
          <cell r="BA32" t="str">
            <v>Open</v>
          </cell>
          <cell r="BB32" t="str">
            <v>Open</v>
          </cell>
          <cell r="BC32" t="str">
            <v>Open</v>
          </cell>
          <cell r="BD32" t="str">
            <v>Open</v>
          </cell>
          <cell r="BE32" t="str">
            <v>Open</v>
          </cell>
          <cell r="BF32" t="str">
            <v>Open</v>
          </cell>
          <cell r="BG32" t="str">
            <v>Open</v>
          </cell>
          <cell r="BH32" t="str">
            <v>Open</v>
          </cell>
          <cell r="BI32" t="str">
            <v>Open</v>
          </cell>
        </row>
        <row r="33">
          <cell r="B33" t="str">
            <v>Non Sector - Wales</v>
          </cell>
          <cell r="D33" t="str">
            <v>Open</v>
          </cell>
          <cell r="E33" t="str">
            <v>Open</v>
          </cell>
          <cell r="F33" t="str">
            <v>Open</v>
          </cell>
          <cell r="G33" t="str">
            <v>Open</v>
          </cell>
          <cell r="H33" t="str">
            <v>Open</v>
          </cell>
          <cell r="I33" t="str">
            <v>Open</v>
          </cell>
          <cell r="J33">
            <v>39814</v>
          </cell>
          <cell r="K33" t="str">
            <v>Open</v>
          </cell>
          <cell r="L33">
            <v>39814</v>
          </cell>
          <cell r="M33" t="str">
            <v>Open</v>
          </cell>
          <cell r="N33">
            <v>39814</v>
          </cell>
          <cell r="O33" t="str">
            <v>Open</v>
          </cell>
          <cell r="P33" t="str">
            <v>Open</v>
          </cell>
          <cell r="Q33" t="str">
            <v>Open</v>
          </cell>
          <cell r="R33" t="str">
            <v>Open</v>
          </cell>
          <cell r="S33">
            <v>40179</v>
          </cell>
          <cell r="T33">
            <v>40544</v>
          </cell>
          <cell r="U33">
            <v>39814</v>
          </cell>
          <cell r="V33" t="str">
            <v>Open</v>
          </cell>
          <cell r="W33">
            <v>39814</v>
          </cell>
          <cell r="X33" t="str">
            <v>Open</v>
          </cell>
          <cell r="Y33" t="str">
            <v>Open</v>
          </cell>
          <cell r="Z33" t="str">
            <v>Open</v>
          </cell>
          <cell r="AA33" t="str">
            <v>Open</v>
          </cell>
          <cell r="AB33" t="str">
            <v>Open</v>
          </cell>
          <cell r="AC33" t="str">
            <v>Open</v>
          </cell>
          <cell r="AD33" t="str">
            <v>Open</v>
          </cell>
          <cell r="AE33" t="str">
            <v>Open</v>
          </cell>
          <cell r="AF33" t="str">
            <v>Open</v>
          </cell>
          <cell r="AG33" t="str">
            <v>Open</v>
          </cell>
          <cell r="AH33" t="str">
            <v>Open</v>
          </cell>
          <cell r="AI33" t="str">
            <v>Open</v>
          </cell>
          <cell r="AJ33" t="str">
            <v>Open</v>
          </cell>
          <cell r="AK33" t="str">
            <v>Open</v>
          </cell>
          <cell r="AL33" t="str">
            <v>Open</v>
          </cell>
          <cell r="AM33" t="str">
            <v>Open</v>
          </cell>
          <cell r="AN33" t="str">
            <v>Open</v>
          </cell>
          <cell r="AO33" t="str">
            <v>Open</v>
          </cell>
          <cell r="AP33">
            <v>39814</v>
          </cell>
          <cell r="AQ33" t="str">
            <v>Open</v>
          </cell>
          <cell r="AR33">
            <v>39814</v>
          </cell>
          <cell r="AS33" t="str">
            <v>Open</v>
          </cell>
          <cell r="AT33">
            <v>39814</v>
          </cell>
          <cell r="AU33">
            <v>40544</v>
          </cell>
          <cell r="AV33">
            <v>39814</v>
          </cell>
          <cell r="AW33">
            <v>39814</v>
          </cell>
          <cell r="AX33" t="str">
            <v>Open</v>
          </cell>
          <cell r="AY33">
            <v>39814</v>
          </cell>
          <cell r="AZ33" t="str">
            <v>Open</v>
          </cell>
          <cell r="BA33" t="str">
            <v>Open</v>
          </cell>
          <cell r="BB33" t="str">
            <v>Open</v>
          </cell>
          <cell r="BC33" t="str">
            <v>Open</v>
          </cell>
          <cell r="BD33" t="str">
            <v>Open</v>
          </cell>
          <cell r="BE33" t="str">
            <v>Open</v>
          </cell>
          <cell r="BF33" t="str">
            <v>Open</v>
          </cell>
          <cell r="BG33" t="str">
            <v>Open</v>
          </cell>
          <cell r="BH33" t="str">
            <v>Open</v>
          </cell>
          <cell r="BI33" t="str">
            <v>Open</v>
          </cell>
        </row>
        <row r="34">
          <cell r="B34" t="str">
            <v>Non Sector - Scotland</v>
          </cell>
          <cell r="D34" t="str">
            <v>Open</v>
          </cell>
          <cell r="E34" t="str">
            <v>Open</v>
          </cell>
          <cell r="F34" t="str">
            <v>Open</v>
          </cell>
          <cell r="G34" t="str">
            <v>Open</v>
          </cell>
          <cell r="H34" t="str">
            <v>Open</v>
          </cell>
          <cell r="I34" t="str">
            <v>Open</v>
          </cell>
          <cell r="J34">
            <v>39814</v>
          </cell>
          <cell r="K34" t="str">
            <v>Open</v>
          </cell>
          <cell r="L34">
            <v>39814</v>
          </cell>
          <cell r="M34">
            <v>41275</v>
          </cell>
          <cell r="N34">
            <v>39814</v>
          </cell>
          <cell r="O34" t="str">
            <v>Open</v>
          </cell>
          <cell r="P34" t="str">
            <v>Open</v>
          </cell>
          <cell r="Q34" t="str">
            <v>Open</v>
          </cell>
          <cell r="R34" t="str">
            <v>Open</v>
          </cell>
          <cell r="S34">
            <v>40179</v>
          </cell>
          <cell r="T34">
            <v>40544</v>
          </cell>
          <cell r="U34">
            <v>39814</v>
          </cell>
          <cell r="V34" t="str">
            <v>Open</v>
          </cell>
          <cell r="W34">
            <v>39814</v>
          </cell>
          <cell r="X34" t="str">
            <v>Open</v>
          </cell>
          <cell r="Y34" t="str">
            <v>Open</v>
          </cell>
          <cell r="Z34" t="str">
            <v>Open</v>
          </cell>
          <cell r="AA34" t="str">
            <v>Open</v>
          </cell>
          <cell r="AB34" t="str">
            <v>Open</v>
          </cell>
          <cell r="AC34" t="str">
            <v>Open</v>
          </cell>
          <cell r="AD34" t="str">
            <v>Open</v>
          </cell>
          <cell r="AE34" t="str">
            <v>Open</v>
          </cell>
          <cell r="AF34" t="str">
            <v>Open</v>
          </cell>
          <cell r="AG34" t="str">
            <v>Open</v>
          </cell>
          <cell r="AH34" t="str">
            <v>Open</v>
          </cell>
          <cell r="AI34" t="str">
            <v>Open</v>
          </cell>
          <cell r="AJ34" t="str">
            <v>Open</v>
          </cell>
          <cell r="AK34" t="str">
            <v>Open</v>
          </cell>
          <cell r="AL34" t="str">
            <v>Open</v>
          </cell>
          <cell r="AM34" t="str">
            <v>Open</v>
          </cell>
          <cell r="AN34" t="str">
            <v>Open</v>
          </cell>
          <cell r="AO34" t="str">
            <v>Open</v>
          </cell>
          <cell r="AP34">
            <v>39814</v>
          </cell>
          <cell r="AQ34" t="str">
            <v>Open</v>
          </cell>
          <cell r="AR34">
            <v>39814</v>
          </cell>
          <cell r="AS34" t="str">
            <v>Open</v>
          </cell>
          <cell r="AT34">
            <v>39814</v>
          </cell>
          <cell r="AU34">
            <v>40544</v>
          </cell>
          <cell r="AV34">
            <v>39814</v>
          </cell>
          <cell r="AW34">
            <v>39814</v>
          </cell>
          <cell r="AX34" t="str">
            <v>Open</v>
          </cell>
          <cell r="AY34">
            <v>39814</v>
          </cell>
          <cell r="AZ34" t="str">
            <v>Open</v>
          </cell>
          <cell r="BA34" t="str">
            <v>Open</v>
          </cell>
          <cell r="BB34" t="str">
            <v>Open</v>
          </cell>
          <cell r="BC34" t="str">
            <v>Open</v>
          </cell>
          <cell r="BD34" t="str">
            <v>Open</v>
          </cell>
          <cell r="BE34" t="str">
            <v>Open</v>
          </cell>
          <cell r="BF34" t="str">
            <v>Open</v>
          </cell>
          <cell r="BG34" t="str">
            <v>Open</v>
          </cell>
          <cell r="BH34" t="str">
            <v>Open</v>
          </cell>
          <cell r="BI34" t="str">
            <v>Open</v>
          </cell>
        </row>
        <row r="35">
          <cell r="B35" t="str">
            <v>Non Sector - N.Ireland</v>
          </cell>
          <cell r="D35" t="str">
            <v>Open</v>
          </cell>
          <cell r="E35" t="str">
            <v>Open</v>
          </cell>
          <cell r="F35" t="str">
            <v>Open</v>
          </cell>
          <cell r="G35" t="str">
            <v>Open</v>
          </cell>
          <cell r="H35" t="str">
            <v>Open</v>
          </cell>
          <cell r="I35" t="str">
            <v>Open</v>
          </cell>
          <cell r="J35">
            <v>39814</v>
          </cell>
          <cell r="K35" t="str">
            <v>Open</v>
          </cell>
          <cell r="L35">
            <v>39814</v>
          </cell>
          <cell r="M35" t="str">
            <v>Open</v>
          </cell>
          <cell r="N35">
            <v>39814</v>
          </cell>
          <cell r="O35" t="str">
            <v>Open</v>
          </cell>
          <cell r="P35" t="str">
            <v>Open</v>
          </cell>
          <cell r="Q35" t="str">
            <v>Open</v>
          </cell>
          <cell r="R35" t="str">
            <v>Open</v>
          </cell>
          <cell r="S35">
            <v>40179</v>
          </cell>
          <cell r="T35">
            <v>40544</v>
          </cell>
          <cell r="U35">
            <v>39814</v>
          </cell>
          <cell r="V35" t="str">
            <v>Open</v>
          </cell>
          <cell r="W35">
            <v>39814</v>
          </cell>
          <cell r="X35" t="str">
            <v>Open</v>
          </cell>
          <cell r="Y35" t="str">
            <v>Open</v>
          </cell>
          <cell r="Z35" t="str">
            <v>Open</v>
          </cell>
          <cell r="AA35" t="str">
            <v>Open</v>
          </cell>
          <cell r="AB35" t="str">
            <v>Open</v>
          </cell>
          <cell r="AC35" t="str">
            <v>Open</v>
          </cell>
          <cell r="AD35" t="str">
            <v>Open</v>
          </cell>
          <cell r="AE35" t="str">
            <v>Open</v>
          </cell>
          <cell r="AF35" t="str">
            <v>Open</v>
          </cell>
          <cell r="AG35" t="str">
            <v>Open</v>
          </cell>
          <cell r="AH35" t="str">
            <v>Open</v>
          </cell>
          <cell r="AI35" t="str">
            <v>Open</v>
          </cell>
          <cell r="AJ35" t="str">
            <v>Open</v>
          </cell>
          <cell r="AK35" t="str">
            <v>Open</v>
          </cell>
          <cell r="AL35" t="str">
            <v>Open</v>
          </cell>
          <cell r="AM35" t="str">
            <v>Open</v>
          </cell>
          <cell r="AN35" t="str">
            <v>Open</v>
          </cell>
          <cell r="AO35" t="str">
            <v>Open</v>
          </cell>
          <cell r="AP35">
            <v>39814</v>
          </cell>
          <cell r="AQ35" t="str">
            <v>Open</v>
          </cell>
          <cell r="AR35">
            <v>39814</v>
          </cell>
          <cell r="AS35" t="str">
            <v>Open</v>
          </cell>
          <cell r="AT35">
            <v>39814</v>
          </cell>
          <cell r="AU35">
            <v>40544</v>
          </cell>
          <cell r="AV35">
            <v>39814</v>
          </cell>
          <cell r="AW35">
            <v>39814</v>
          </cell>
          <cell r="AX35" t="str">
            <v>Open</v>
          </cell>
          <cell r="AY35">
            <v>39814</v>
          </cell>
          <cell r="AZ35" t="str">
            <v>Open</v>
          </cell>
          <cell r="BA35" t="str">
            <v>Open</v>
          </cell>
          <cell r="BB35" t="str">
            <v>Open</v>
          </cell>
          <cell r="BC35" t="str">
            <v>Open</v>
          </cell>
          <cell r="BD35" t="str">
            <v>Open</v>
          </cell>
          <cell r="BE35" t="str">
            <v>Open</v>
          </cell>
          <cell r="BF35" t="str">
            <v>Open</v>
          </cell>
          <cell r="BG35" t="str">
            <v>Open</v>
          </cell>
          <cell r="BH35" t="str">
            <v>Open</v>
          </cell>
          <cell r="BI35" t="str">
            <v>Open</v>
          </cell>
        </row>
        <row r="37">
          <cell r="B37" t="str">
            <v>Isle of Man</v>
          </cell>
          <cell r="D37" t="str">
            <v>Open</v>
          </cell>
          <cell r="E37" t="str">
            <v>Open</v>
          </cell>
          <cell r="F37" t="str">
            <v>Open</v>
          </cell>
          <cell r="G37" t="str">
            <v>Open</v>
          </cell>
          <cell r="H37" t="str">
            <v>Open</v>
          </cell>
          <cell r="I37" t="str">
            <v>Open</v>
          </cell>
          <cell r="J37" t="str">
            <v>Open</v>
          </cell>
          <cell r="K37" t="str">
            <v>Open</v>
          </cell>
          <cell r="L37" t="str">
            <v>Open</v>
          </cell>
          <cell r="M37" t="str">
            <v>Open</v>
          </cell>
          <cell r="N37" t="str">
            <v>Open</v>
          </cell>
          <cell r="O37" t="str">
            <v>Open</v>
          </cell>
          <cell r="P37" t="str">
            <v>Open</v>
          </cell>
          <cell r="Q37" t="str">
            <v>Open</v>
          </cell>
          <cell r="R37" t="str">
            <v>Open</v>
          </cell>
          <cell r="S37">
            <v>40544</v>
          </cell>
          <cell r="T37" t="str">
            <v>Open</v>
          </cell>
          <cell r="U37" t="str">
            <v>Open</v>
          </cell>
          <cell r="V37" t="str">
            <v>Open</v>
          </cell>
          <cell r="W37" t="str">
            <v>Open</v>
          </cell>
          <cell r="X37" t="str">
            <v>Open</v>
          </cell>
          <cell r="Y37" t="str">
            <v>Open</v>
          </cell>
          <cell r="Z37" t="str">
            <v>Open</v>
          </cell>
          <cell r="AA37" t="str">
            <v>Open</v>
          </cell>
          <cell r="AB37" t="str">
            <v>Open</v>
          </cell>
          <cell r="AC37" t="str">
            <v>Open</v>
          </cell>
          <cell r="AD37" t="str">
            <v>Open</v>
          </cell>
          <cell r="AE37" t="str">
            <v>Open</v>
          </cell>
          <cell r="AF37" t="str">
            <v>Open</v>
          </cell>
          <cell r="AG37" t="str">
            <v>Open</v>
          </cell>
          <cell r="AH37" t="str">
            <v>Open</v>
          </cell>
          <cell r="AI37" t="str">
            <v>Open</v>
          </cell>
          <cell r="AJ37" t="str">
            <v>Open</v>
          </cell>
          <cell r="AK37" t="str">
            <v>Open</v>
          </cell>
          <cell r="AL37" t="str">
            <v>Open</v>
          </cell>
          <cell r="AM37" t="str">
            <v>Open</v>
          </cell>
          <cell r="AN37" t="str">
            <v>Open</v>
          </cell>
          <cell r="AO37" t="str">
            <v>Open</v>
          </cell>
          <cell r="AP37" t="str">
            <v>Open</v>
          </cell>
          <cell r="AQ37" t="str">
            <v>Open</v>
          </cell>
          <cell r="AR37" t="str">
            <v>Open</v>
          </cell>
          <cell r="AS37" t="str">
            <v>Open</v>
          </cell>
          <cell r="AT37" t="str">
            <v>Open</v>
          </cell>
          <cell r="AU37" t="str">
            <v>Open</v>
          </cell>
          <cell r="AV37" t="str">
            <v>Open</v>
          </cell>
          <cell r="AW37" t="str">
            <v>Open</v>
          </cell>
          <cell r="AX37" t="str">
            <v>Open</v>
          </cell>
          <cell r="AY37" t="str">
            <v>Open</v>
          </cell>
          <cell r="AZ37" t="str">
            <v>Open</v>
          </cell>
          <cell r="BA37" t="str">
            <v>Open</v>
          </cell>
          <cell r="BB37" t="str">
            <v>Open</v>
          </cell>
          <cell r="BC37" t="str">
            <v>Open</v>
          </cell>
          <cell r="BD37" t="str">
            <v>Open</v>
          </cell>
          <cell r="BE37" t="str">
            <v>Open</v>
          </cell>
          <cell r="BF37" t="str">
            <v>Open</v>
          </cell>
          <cell r="BG37" t="str">
            <v>Open</v>
          </cell>
          <cell r="BH37" t="str">
            <v>Open</v>
          </cell>
          <cell r="BI37" t="str">
            <v>Open</v>
          </cell>
        </row>
        <row r="38">
          <cell r="B38" t="str">
            <v>Under 10m pool</v>
          </cell>
          <cell r="D38" t="str">
            <v>Open</v>
          </cell>
          <cell r="E38" t="str">
            <v>Open</v>
          </cell>
          <cell r="F38" t="str">
            <v>Open</v>
          </cell>
          <cell r="G38" t="str">
            <v>Open</v>
          </cell>
          <cell r="H38" t="str">
            <v>Open</v>
          </cell>
          <cell r="I38" t="str">
            <v>Open</v>
          </cell>
          <cell r="J38">
            <v>39814</v>
          </cell>
          <cell r="K38" t="str">
            <v>Open</v>
          </cell>
          <cell r="L38">
            <v>39814</v>
          </cell>
          <cell r="M38" t="str">
            <v>Open</v>
          </cell>
          <cell r="N38" t="str">
            <v>Open</v>
          </cell>
          <cell r="O38" t="str">
            <v>Open</v>
          </cell>
          <cell r="P38" t="str">
            <v>Open</v>
          </cell>
          <cell r="Q38" t="str">
            <v>Open</v>
          </cell>
          <cell r="R38" t="str">
            <v>Open</v>
          </cell>
          <cell r="S38">
            <v>40179</v>
          </cell>
          <cell r="T38">
            <v>39814</v>
          </cell>
          <cell r="U38" t="str">
            <v>Open</v>
          </cell>
          <cell r="V38" t="str">
            <v>Open</v>
          </cell>
          <cell r="W38" t="str">
            <v>Open</v>
          </cell>
          <cell r="X38" t="str">
            <v>Open</v>
          </cell>
          <cell r="Y38" t="str">
            <v>Open</v>
          </cell>
          <cell r="Z38" t="str">
            <v>Open</v>
          </cell>
          <cell r="AA38" t="str">
            <v>Open</v>
          </cell>
          <cell r="AB38">
            <v>39814</v>
          </cell>
          <cell r="AC38" t="str">
            <v>Open</v>
          </cell>
          <cell r="AD38" t="str">
            <v>Open</v>
          </cell>
          <cell r="AE38" t="str">
            <v>Open</v>
          </cell>
          <cell r="AF38" t="str">
            <v>Open</v>
          </cell>
          <cell r="AG38" t="str">
            <v>Open</v>
          </cell>
          <cell r="AH38" t="str">
            <v>Open</v>
          </cell>
          <cell r="AI38" t="str">
            <v>Open</v>
          </cell>
          <cell r="AJ38" t="str">
            <v>Open</v>
          </cell>
          <cell r="AK38" t="str">
            <v>Open</v>
          </cell>
          <cell r="AL38" t="str">
            <v>Open</v>
          </cell>
          <cell r="AM38" t="str">
            <v>Open</v>
          </cell>
          <cell r="AN38" t="str">
            <v>Open</v>
          </cell>
          <cell r="AO38" t="str">
            <v>Open</v>
          </cell>
          <cell r="AP38" t="str">
            <v>Open</v>
          </cell>
          <cell r="AQ38" t="str">
            <v>Open</v>
          </cell>
          <cell r="AR38" t="str">
            <v>Open</v>
          </cell>
          <cell r="AS38" t="str">
            <v>Open</v>
          </cell>
          <cell r="AT38" t="str">
            <v>Open</v>
          </cell>
          <cell r="AU38" t="str">
            <v>Open</v>
          </cell>
          <cell r="AV38" t="str">
            <v>Open</v>
          </cell>
          <cell r="AW38" t="str">
            <v>Open</v>
          </cell>
          <cell r="AX38" t="str">
            <v>Open</v>
          </cell>
          <cell r="AY38" t="str">
            <v>Open</v>
          </cell>
          <cell r="AZ38" t="str">
            <v>Open</v>
          </cell>
          <cell r="BA38" t="str">
            <v>Open</v>
          </cell>
          <cell r="BB38" t="str">
            <v>Open</v>
          </cell>
          <cell r="BC38" t="str">
            <v>Open</v>
          </cell>
          <cell r="BD38" t="str">
            <v>Open</v>
          </cell>
          <cell r="BE38" t="str">
            <v>Open</v>
          </cell>
          <cell r="BF38" t="str">
            <v>Open</v>
          </cell>
          <cell r="BG38" t="str">
            <v>Open</v>
          </cell>
          <cell r="BH38" t="str">
            <v>Open</v>
          </cell>
          <cell r="BI38" t="str">
            <v>Open</v>
          </cell>
        </row>
        <row r="39">
          <cell r="B39" t="str">
            <v>Under 10m - England</v>
          </cell>
          <cell r="D39" t="str">
            <v>Open</v>
          </cell>
          <cell r="E39" t="str">
            <v>Open</v>
          </cell>
          <cell r="F39" t="str">
            <v>Open</v>
          </cell>
          <cell r="G39" t="str">
            <v>Open</v>
          </cell>
          <cell r="H39" t="str">
            <v>Open</v>
          </cell>
          <cell r="I39" t="str">
            <v>Open</v>
          </cell>
          <cell r="J39">
            <v>39814</v>
          </cell>
          <cell r="K39" t="str">
            <v>Open</v>
          </cell>
          <cell r="L39">
            <v>39814</v>
          </cell>
          <cell r="M39" t="str">
            <v>Open</v>
          </cell>
          <cell r="N39" t="str">
            <v>Open</v>
          </cell>
          <cell r="O39" t="str">
            <v>Open</v>
          </cell>
          <cell r="P39" t="str">
            <v>Open</v>
          </cell>
          <cell r="Q39" t="str">
            <v>Open</v>
          </cell>
          <cell r="R39" t="str">
            <v>Open</v>
          </cell>
          <cell r="S39">
            <v>40179</v>
          </cell>
          <cell r="T39">
            <v>39814</v>
          </cell>
          <cell r="U39" t="str">
            <v>Open</v>
          </cell>
          <cell r="V39" t="str">
            <v>Open</v>
          </cell>
          <cell r="W39" t="str">
            <v>Open</v>
          </cell>
          <cell r="X39" t="str">
            <v>Open</v>
          </cell>
          <cell r="Y39" t="str">
            <v>Open</v>
          </cell>
          <cell r="Z39" t="str">
            <v>Open</v>
          </cell>
          <cell r="AA39" t="str">
            <v>Open</v>
          </cell>
          <cell r="AB39">
            <v>39814</v>
          </cell>
          <cell r="AC39" t="str">
            <v>Open</v>
          </cell>
          <cell r="AD39" t="str">
            <v>Open</v>
          </cell>
          <cell r="AE39" t="str">
            <v>Open</v>
          </cell>
          <cell r="AF39" t="str">
            <v>Open</v>
          </cell>
          <cell r="AG39" t="str">
            <v>Open</v>
          </cell>
          <cell r="AH39" t="str">
            <v>Open</v>
          </cell>
          <cell r="AI39" t="str">
            <v>Open</v>
          </cell>
          <cell r="AJ39" t="str">
            <v>Open</v>
          </cell>
          <cell r="AK39" t="str">
            <v>Open</v>
          </cell>
          <cell r="AL39" t="str">
            <v>Open</v>
          </cell>
          <cell r="AM39" t="str">
            <v>Open</v>
          </cell>
          <cell r="AN39" t="str">
            <v>Open</v>
          </cell>
          <cell r="AO39" t="str">
            <v>Open</v>
          </cell>
          <cell r="AP39" t="str">
            <v>Open</v>
          </cell>
          <cell r="AQ39" t="str">
            <v>Open</v>
          </cell>
          <cell r="AR39" t="str">
            <v>Open</v>
          </cell>
          <cell r="AS39" t="str">
            <v>Open</v>
          </cell>
          <cell r="AT39" t="str">
            <v>Open</v>
          </cell>
          <cell r="AU39" t="str">
            <v>Open</v>
          </cell>
          <cell r="AV39" t="str">
            <v>Open</v>
          </cell>
          <cell r="AW39" t="str">
            <v>Open</v>
          </cell>
          <cell r="AX39" t="str">
            <v>Open</v>
          </cell>
          <cell r="AY39" t="str">
            <v>Open</v>
          </cell>
          <cell r="AZ39" t="str">
            <v>Open</v>
          </cell>
          <cell r="BA39" t="str">
            <v>Open</v>
          </cell>
          <cell r="BB39" t="str">
            <v>Open</v>
          </cell>
          <cell r="BC39" t="str">
            <v>Open</v>
          </cell>
          <cell r="BD39" t="str">
            <v>Open</v>
          </cell>
          <cell r="BE39" t="str">
            <v>Open</v>
          </cell>
          <cell r="BF39" t="str">
            <v>Open</v>
          </cell>
          <cell r="BG39" t="str">
            <v>Open</v>
          </cell>
          <cell r="BH39" t="str">
            <v>Open</v>
          </cell>
          <cell r="BI39" t="str">
            <v>Open</v>
          </cell>
        </row>
        <row r="40">
          <cell r="B40" t="str">
            <v>Under 10m - Wales</v>
          </cell>
          <cell r="D40" t="str">
            <v>Open</v>
          </cell>
          <cell r="E40" t="str">
            <v>Open</v>
          </cell>
          <cell r="F40" t="str">
            <v>Open</v>
          </cell>
          <cell r="G40" t="str">
            <v>Open</v>
          </cell>
          <cell r="H40" t="str">
            <v>Open</v>
          </cell>
          <cell r="I40" t="str">
            <v>Open</v>
          </cell>
          <cell r="J40">
            <v>39814</v>
          </cell>
          <cell r="K40" t="str">
            <v>Open</v>
          </cell>
          <cell r="L40">
            <v>39814</v>
          </cell>
          <cell r="M40" t="str">
            <v>Open</v>
          </cell>
          <cell r="N40" t="str">
            <v>Open</v>
          </cell>
          <cell r="O40" t="str">
            <v>Open</v>
          </cell>
          <cell r="P40" t="str">
            <v>Open</v>
          </cell>
          <cell r="Q40" t="str">
            <v>Open</v>
          </cell>
          <cell r="R40" t="str">
            <v>Open</v>
          </cell>
          <cell r="S40">
            <v>40179</v>
          </cell>
          <cell r="T40">
            <v>39814</v>
          </cell>
          <cell r="U40" t="str">
            <v>Open</v>
          </cell>
          <cell r="V40" t="str">
            <v>Open</v>
          </cell>
          <cell r="W40" t="str">
            <v>Open</v>
          </cell>
          <cell r="X40" t="str">
            <v>Open</v>
          </cell>
          <cell r="Y40" t="str">
            <v>Open</v>
          </cell>
          <cell r="Z40" t="str">
            <v>Open</v>
          </cell>
          <cell r="AA40" t="str">
            <v>Open</v>
          </cell>
          <cell r="AB40">
            <v>39814</v>
          </cell>
          <cell r="AC40" t="str">
            <v>Open</v>
          </cell>
          <cell r="AD40" t="str">
            <v>Open</v>
          </cell>
          <cell r="AE40" t="str">
            <v>Open</v>
          </cell>
          <cell r="AF40" t="str">
            <v>Open</v>
          </cell>
          <cell r="AG40" t="str">
            <v>Open</v>
          </cell>
          <cell r="AH40" t="str">
            <v>Open</v>
          </cell>
          <cell r="AI40" t="str">
            <v>Open</v>
          </cell>
          <cell r="AJ40" t="str">
            <v>Open</v>
          </cell>
          <cell r="AK40" t="str">
            <v>Open</v>
          </cell>
          <cell r="AL40" t="str">
            <v>Open</v>
          </cell>
          <cell r="AM40" t="str">
            <v>Open</v>
          </cell>
          <cell r="AN40" t="str">
            <v>Open</v>
          </cell>
          <cell r="AO40" t="str">
            <v>Open</v>
          </cell>
          <cell r="AP40" t="str">
            <v>Open</v>
          </cell>
          <cell r="AQ40" t="str">
            <v>Open</v>
          </cell>
          <cell r="AR40" t="str">
            <v>Open</v>
          </cell>
          <cell r="AS40" t="str">
            <v>Open</v>
          </cell>
          <cell r="AT40" t="str">
            <v>Open</v>
          </cell>
          <cell r="AU40" t="str">
            <v>Open</v>
          </cell>
          <cell r="AV40" t="str">
            <v>Open</v>
          </cell>
          <cell r="AW40" t="str">
            <v>Open</v>
          </cell>
          <cell r="AX40" t="str">
            <v>Open</v>
          </cell>
          <cell r="AY40" t="str">
            <v>Open</v>
          </cell>
          <cell r="AZ40" t="str">
            <v>Open</v>
          </cell>
          <cell r="BA40" t="str">
            <v>Open</v>
          </cell>
          <cell r="BB40" t="str">
            <v>Open</v>
          </cell>
          <cell r="BC40" t="str">
            <v>Open</v>
          </cell>
          <cell r="BD40" t="str">
            <v>Open</v>
          </cell>
          <cell r="BE40" t="str">
            <v>Open</v>
          </cell>
          <cell r="BF40" t="str">
            <v>Open</v>
          </cell>
          <cell r="BG40" t="str">
            <v>Open</v>
          </cell>
          <cell r="BH40" t="str">
            <v>Open</v>
          </cell>
          <cell r="BI40" t="str">
            <v>Open</v>
          </cell>
        </row>
        <row r="41">
          <cell r="B41" t="str">
            <v>Under 10m - Scotland</v>
          </cell>
          <cell r="D41" t="str">
            <v>Open</v>
          </cell>
          <cell r="E41" t="str">
            <v>Open</v>
          </cell>
          <cell r="F41" t="str">
            <v>Open</v>
          </cell>
          <cell r="G41" t="str">
            <v>Open</v>
          </cell>
          <cell r="H41" t="str">
            <v>Open</v>
          </cell>
          <cell r="I41">
            <v>41275</v>
          </cell>
          <cell r="J41">
            <v>39814</v>
          </cell>
          <cell r="K41" t="str">
            <v>Open</v>
          </cell>
          <cell r="L41">
            <v>39814</v>
          </cell>
          <cell r="M41" t="str">
            <v>Open</v>
          </cell>
          <cell r="N41" t="str">
            <v>Open</v>
          </cell>
          <cell r="O41" t="str">
            <v>Open</v>
          </cell>
          <cell r="P41" t="str">
            <v>Open</v>
          </cell>
          <cell r="Q41" t="str">
            <v>Open</v>
          </cell>
          <cell r="R41" t="str">
            <v>Open</v>
          </cell>
          <cell r="S41">
            <v>40179</v>
          </cell>
          <cell r="T41">
            <v>39814</v>
          </cell>
          <cell r="U41" t="str">
            <v>Open</v>
          </cell>
          <cell r="V41" t="str">
            <v>Open</v>
          </cell>
          <cell r="W41" t="str">
            <v>Open</v>
          </cell>
          <cell r="X41" t="str">
            <v>Open</v>
          </cell>
          <cell r="Y41" t="str">
            <v>Open</v>
          </cell>
          <cell r="Z41">
            <v>41275</v>
          </cell>
          <cell r="AA41" t="str">
            <v>Open</v>
          </cell>
          <cell r="AB41">
            <v>39814</v>
          </cell>
          <cell r="AC41" t="str">
            <v>Open</v>
          </cell>
          <cell r="AD41" t="str">
            <v>Open</v>
          </cell>
          <cell r="AE41" t="str">
            <v>Open</v>
          </cell>
          <cell r="AF41" t="str">
            <v>Open</v>
          </cell>
          <cell r="AG41" t="str">
            <v>Open</v>
          </cell>
          <cell r="AH41" t="str">
            <v>Open</v>
          </cell>
          <cell r="AI41" t="str">
            <v>Open</v>
          </cell>
          <cell r="AJ41" t="str">
            <v>Open</v>
          </cell>
          <cell r="AK41" t="str">
            <v>Open</v>
          </cell>
          <cell r="AL41" t="str">
            <v>Open</v>
          </cell>
          <cell r="AM41" t="str">
            <v>Open</v>
          </cell>
          <cell r="AN41" t="str">
            <v>Open</v>
          </cell>
          <cell r="AO41" t="str">
            <v>Open</v>
          </cell>
          <cell r="AP41" t="str">
            <v>Open</v>
          </cell>
          <cell r="AQ41" t="str">
            <v>Open</v>
          </cell>
          <cell r="AR41">
            <v>41275</v>
          </cell>
          <cell r="AS41" t="str">
            <v>Open</v>
          </cell>
          <cell r="AT41" t="str">
            <v>Open</v>
          </cell>
          <cell r="AU41" t="str">
            <v>Open</v>
          </cell>
          <cell r="AV41" t="str">
            <v>Open</v>
          </cell>
          <cell r="AW41" t="str">
            <v>Open</v>
          </cell>
          <cell r="AX41" t="str">
            <v>Open</v>
          </cell>
          <cell r="AY41" t="str">
            <v>Open</v>
          </cell>
          <cell r="AZ41" t="str">
            <v>Open</v>
          </cell>
          <cell r="BA41" t="str">
            <v>Open</v>
          </cell>
          <cell r="BB41" t="str">
            <v>Open</v>
          </cell>
          <cell r="BC41" t="str">
            <v>Open</v>
          </cell>
          <cell r="BD41" t="str">
            <v>Open</v>
          </cell>
          <cell r="BE41" t="str">
            <v>Open</v>
          </cell>
          <cell r="BF41" t="str">
            <v>Open</v>
          </cell>
          <cell r="BG41" t="str">
            <v>Open</v>
          </cell>
          <cell r="BH41" t="str">
            <v>Open</v>
          </cell>
          <cell r="BI41" t="str">
            <v>Open</v>
          </cell>
        </row>
        <row r="42">
          <cell r="B42" t="str">
            <v>Under 10m - N.Ireland</v>
          </cell>
          <cell r="D42" t="str">
            <v>Open</v>
          </cell>
          <cell r="E42" t="str">
            <v>Open</v>
          </cell>
          <cell r="F42" t="str">
            <v>Open</v>
          </cell>
          <cell r="G42" t="str">
            <v>Open</v>
          </cell>
          <cell r="H42" t="str">
            <v>Open</v>
          </cell>
          <cell r="I42" t="str">
            <v>Open</v>
          </cell>
          <cell r="J42">
            <v>39814</v>
          </cell>
          <cell r="K42" t="str">
            <v>Open</v>
          </cell>
          <cell r="L42">
            <v>39814</v>
          </cell>
          <cell r="M42" t="str">
            <v>Open</v>
          </cell>
          <cell r="N42" t="str">
            <v>Open</v>
          </cell>
          <cell r="O42" t="str">
            <v>Open</v>
          </cell>
          <cell r="P42" t="str">
            <v>Open</v>
          </cell>
          <cell r="Q42" t="str">
            <v>Open</v>
          </cell>
          <cell r="R42" t="str">
            <v>Open</v>
          </cell>
          <cell r="S42">
            <v>40179</v>
          </cell>
          <cell r="T42">
            <v>39814</v>
          </cell>
          <cell r="U42" t="str">
            <v>Open</v>
          </cell>
          <cell r="V42" t="str">
            <v>Open</v>
          </cell>
          <cell r="W42" t="str">
            <v>Open</v>
          </cell>
          <cell r="X42" t="str">
            <v>Open</v>
          </cell>
          <cell r="Y42" t="str">
            <v>Open</v>
          </cell>
          <cell r="Z42" t="str">
            <v>Open</v>
          </cell>
          <cell r="AA42" t="str">
            <v>Open</v>
          </cell>
          <cell r="AB42">
            <v>39814</v>
          </cell>
          <cell r="AC42" t="str">
            <v>Open</v>
          </cell>
          <cell r="AD42" t="str">
            <v>Open</v>
          </cell>
          <cell r="AE42" t="str">
            <v>Open</v>
          </cell>
          <cell r="AF42" t="str">
            <v>Open</v>
          </cell>
          <cell r="AG42" t="str">
            <v>Open</v>
          </cell>
          <cell r="AH42" t="str">
            <v>Open</v>
          </cell>
          <cell r="AI42" t="str">
            <v>Open</v>
          </cell>
          <cell r="AJ42" t="str">
            <v>Open</v>
          </cell>
          <cell r="AK42" t="str">
            <v>Open</v>
          </cell>
          <cell r="AL42" t="str">
            <v>Open</v>
          </cell>
          <cell r="AM42" t="str">
            <v>Open</v>
          </cell>
          <cell r="AN42" t="str">
            <v>Open</v>
          </cell>
          <cell r="AO42" t="str">
            <v>Open</v>
          </cell>
          <cell r="AP42" t="str">
            <v>Open</v>
          </cell>
          <cell r="AQ42" t="str">
            <v>Open</v>
          </cell>
          <cell r="AR42" t="str">
            <v>Open</v>
          </cell>
          <cell r="AS42" t="str">
            <v>Open</v>
          </cell>
          <cell r="AT42" t="str">
            <v>Open</v>
          </cell>
          <cell r="AU42" t="str">
            <v>Open</v>
          </cell>
          <cell r="AV42" t="str">
            <v>Open</v>
          </cell>
          <cell r="AW42" t="str">
            <v>Open</v>
          </cell>
          <cell r="AX42" t="str">
            <v>Open</v>
          </cell>
          <cell r="AY42" t="str">
            <v>Open</v>
          </cell>
          <cell r="AZ42" t="str">
            <v>Open</v>
          </cell>
          <cell r="BA42" t="str">
            <v>Open</v>
          </cell>
          <cell r="BB42" t="str">
            <v>Open</v>
          </cell>
          <cell r="BC42" t="str">
            <v>Open</v>
          </cell>
          <cell r="BD42" t="str">
            <v>Open</v>
          </cell>
          <cell r="BE42" t="str">
            <v>Open</v>
          </cell>
          <cell r="BF42" t="str">
            <v>Open</v>
          </cell>
          <cell r="BG42" t="str">
            <v>Open</v>
          </cell>
          <cell r="BH42" t="str">
            <v>Open</v>
          </cell>
          <cell r="BI42" t="str">
            <v>Open</v>
          </cell>
        </row>
        <row r="44">
          <cell r="B44" t="str">
            <v>TOTAL</v>
          </cell>
          <cell r="D44" t="str">
            <v>Open</v>
          </cell>
          <cell r="E44" t="str">
            <v>Open</v>
          </cell>
          <cell r="F44" t="str">
            <v>Open</v>
          </cell>
          <cell r="G44" t="str">
            <v>Open</v>
          </cell>
          <cell r="H44" t="str">
            <v>Open</v>
          </cell>
          <cell r="I44" t="str">
            <v>Open</v>
          </cell>
          <cell r="J44" t="str">
            <v>Open</v>
          </cell>
          <cell r="K44" t="str">
            <v>Open</v>
          </cell>
          <cell r="L44" t="str">
            <v>Open</v>
          </cell>
          <cell r="M44" t="str">
            <v>Open</v>
          </cell>
          <cell r="N44" t="str">
            <v>Open</v>
          </cell>
          <cell r="O44" t="str">
            <v>Open</v>
          </cell>
          <cell r="P44" t="str">
            <v>Open</v>
          </cell>
          <cell r="Q44" t="str">
            <v>Open</v>
          </cell>
          <cell r="R44" t="str">
            <v>Open</v>
          </cell>
          <cell r="S44">
            <v>40544</v>
          </cell>
          <cell r="T44" t="str">
            <v>Open</v>
          </cell>
          <cell r="U44" t="str">
            <v>Open</v>
          </cell>
          <cell r="V44" t="str">
            <v>Open</v>
          </cell>
          <cell r="W44" t="str">
            <v>Open</v>
          </cell>
          <cell r="X44" t="str">
            <v>Open</v>
          </cell>
          <cell r="Y44" t="str">
            <v>Open</v>
          </cell>
          <cell r="Z44" t="str">
            <v>Open</v>
          </cell>
          <cell r="AA44" t="str">
            <v>Open</v>
          </cell>
          <cell r="AB44" t="str">
            <v>Open</v>
          </cell>
          <cell r="AC44" t="str">
            <v>Open</v>
          </cell>
          <cell r="AD44" t="str">
            <v>Open</v>
          </cell>
          <cell r="AE44" t="str">
            <v>Open</v>
          </cell>
          <cell r="AF44" t="str">
            <v>Open</v>
          </cell>
          <cell r="AG44" t="str">
            <v>Open</v>
          </cell>
          <cell r="AH44" t="str">
            <v>Open</v>
          </cell>
          <cell r="AI44" t="str">
            <v>Open</v>
          </cell>
          <cell r="AJ44" t="str">
            <v>Open</v>
          </cell>
          <cell r="AK44" t="str">
            <v>Open</v>
          </cell>
          <cell r="AL44" t="str">
            <v>Open</v>
          </cell>
          <cell r="AM44" t="str">
            <v>Open</v>
          </cell>
          <cell r="AN44" t="str">
            <v>Open</v>
          </cell>
          <cell r="AO44" t="str">
            <v>Open</v>
          </cell>
          <cell r="AP44" t="str">
            <v>Open</v>
          </cell>
          <cell r="AQ44" t="str">
            <v>Open</v>
          </cell>
          <cell r="AR44" t="str">
            <v>Open</v>
          </cell>
          <cell r="AS44" t="str">
            <v>Open</v>
          </cell>
          <cell r="AT44" t="str">
            <v>Open</v>
          </cell>
          <cell r="AU44" t="str">
            <v>Open</v>
          </cell>
          <cell r="AV44" t="str">
            <v>Open</v>
          </cell>
          <cell r="AW44" t="str">
            <v>Open</v>
          </cell>
          <cell r="AX44" t="str">
            <v>Open</v>
          </cell>
          <cell r="AY44" t="str">
            <v>Open</v>
          </cell>
          <cell r="AZ44" t="str">
            <v>Open</v>
          </cell>
          <cell r="BA44" t="str">
            <v>Open</v>
          </cell>
          <cell r="BB44" t="str">
            <v>Open</v>
          </cell>
          <cell r="BC44" t="str">
            <v>Open</v>
          </cell>
          <cell r="BD44" t="str">
            <v>Open</v>
          </cell>
          <cell r="BE44" t="str">
            <v>Open</v>
          </cell>
          <cell r="BF44" t="str">
            <v>Open</v>
          </cell>
          <cell r="BG44" t="str">
            <v>Open</v>
          </cell>
          <cell r="BH44" t="str">
            <v>Open</v>
          </cell>
          <cell r="BI44" t="str">
            <v>Open</v>
          </cell>
        </row>
      </sheetData>
      <sheetData sheetId="4">
        <row r="32">
          <cell r="B32" t="str">
            <v>Non Sector - England</v>
          </cell>
          <cell r="D32">
            <v>14.2</v>
          </cell>
          <cell r="E32">
            <v>0.4</v>
          </cell>
          <cell r="F32">
            <v>1.5</v>
          </cell>
          <cell r="G32">
            <v>0.2</v>
          </cell>
          <cell r="H32">
            <v>25.1</v>
          </cell>
          <cell r="I32">
            <v>15.9</v>
          </cell>
          <cell r="J32">
            <v>0</v>
          </cell>
          <cell r="K32">
            <v>19.600000000000001</v>
          </cell>
          <cell r="L32">
            <v>0</v>
          </cell>
          <cell r="M32">
            <v>0.2</v>
          </cell>
          <cell r="N32">
            <v>0</v>
          </cell>
          <cell r="O32">
            <v>0.2</v>
          </cell>
          <cell r="P32">
            <v>14.1</v>
          </cell>
          <cell r="Q32">
            <v>0</v>
          </cell>
          <cell r="R32">
            <v>0.6</v>
          </cell>
          <cell r="S32">
            <v>0</v>
          </cell>
          <cell r="T32">
            <v>14.8</v>
          </cell>
          <cell r="U32">
            <v>0</v>
          </cell>
          <cell r="V32">
            <v>0</v>
          </cell>
          <cell r="W32">
            <v>55</v>
          </cell>
          <cell r="X32">
            <v>0.2</v>
          </cell>
          <cell r="Y32">
            <v>53.7</v>
          </cell>
          <cell r="Z32">
            <v>0</v>
          </cell>
          <cell r="AA32">
            <v>17.399999999999999</v>
          </cell>
          <cell r="AB32">
            <v>0.2</v>
          </cell>
          <cell r="AC32">
            <v>0</v>
          </cell>
          <cell r="AE32">
            <v>0.6</v>
          </cell>
          <cell r="AF32">
            <v>99.4</v>
          </cell>
          <cell r="AG32">
            <v>15.2</v>
          </cell>
          <cell r="AH32">
            <v>0.1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Q32">
            <v>4.3</v>
          </cell>
          <cell r="AR32">
            <v>0</v>
          </cell>
          <cell r="AS32">
            <v>0.8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B33" t="str">
            <v>Non Sector - Wales</v>
          </cell>
          <cell r="D33">
            <v>0</v>
          </cell>
          <cell r="E33">
            <v>0</v>
          </cell>
          <cell r="F33">
            <v>-0.4</v>
          </cell>
          <cell r="G33">
            <v>0</v>
          </cell>
          <cell r="H33">
            <v>0.4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E33">
            <v>0</v>
          </cell>
          <cell r="AF33">
            <v>6.3</v>
          </cell>
          <cell r="AG33">
            <v>0</v>
          </cell>
          <cell r="AH33">
            <v>0.1</v>
          </cell>
          <cell r="AI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0.4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B34" t="str">
            <v>Non Sector - Scotland</v>
          </cell>
          <cell r="D34">
            <v>3.5</v>
          </cell>
          <cell r="E34">
            <v>1</v>
          </cell>
          <cell r="F34">
            <v>1.4</v>
          </cell>
          <cell r="G34">
            <v>5.7</v>
          </cell>
          <cell r="H34">
            <v>5.4</v>
          </cell>
          <cell r="I34">
            <v>-0.2</v>
          </cell>
          <cell r="J34">
            <v>0</v>
          </cell>
          <cell r="K34">
            <v>151.5</v>
          </cell>
          <cell r="L34">
            <v>0</v>
          </cell>
          <cell r="M34">
            <v>2.4</v>
          </cell>
          <cell r="N34">
            <v>0</v>
          </cell>
          <cell r="O34">
            <v>0.9</v>
          </cell>
          <cell r="P34">
            <v>0.1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0.6</v>
          </cell>
          <cell r="X34">
            <v>0.1</v>
          </cell>
          <cell r="Y34">
            <v>0</v>
          </cell>
          <cell r="Z34">
            <v>0</v>
          </cell>
          <cell r="AA34">
            <v>0.1</v>
          </cell>
          <cell r="AB34">
            <v>0</v>
          </cell>
          <cell r="AC34">
            <v>0</v>
          </cell>
          <cell r="AE34">
            <v>0.6</v>
          </cell>
          <cell r="AF34">
            <v>539.29999999999995</v>
          </cell>
          <cell r="AG34">
            <v>1.4</v>
          </cell>
          <cell r="AH34">
            <v>0</v>
          </cell>
          <cell r="AI34">
            <v>0</v>
          </cell>
          <cell r="AP34">
            <v>0</v>
          </cell>
          <cell r="AQ34">
            <v>1.6</v>
          </cell>
          <cell r="AR34">
            <v>0</v>
          </cell>
          <cell r="AS34">
            <v>7.9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B35" t="str">
            <v>Non Sector - N.Ireland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0.2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0.3</v>
          </cell>
          <cell r="AF35">
            <v>22.9</v>
          </cell>
          <cell r="AG35">
            <v>0</v>
          </cell>
          <cell r="AH35">
            <v>0</v>
          </cell>
          <cell r="AI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B36" t="str">
            <v>Non Sector - Leased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B37" t="str">
            <v>Isle of Man</v>
          </cell>
          <cell r="D37">
            <v>0.3</v>
          </cell>
          <cell r="E37">
            <v>1.9</v>
          </cell>
          <cell r="F37">
            <v>0.4</v>
          </cell>
          <cell r="G37">
            <v>0</v>
          </cell>
          <cell r="H37">
            <v>0.5</v>
          </cell>
          <cell r="I37">
            <v>0</v>
          </cell>
          <cell r="J37">
            <v>0</v>
          </cell>
          <cell r="K37">
            <v>1.2</v>
          </cell>
          <cell r="L37">
            <v>0</v>
          </cell>
          <cell r="M37">
            <v>1.1000000000000001</v>
          </cell>
          <cell r="N37">
            <v>0</v>
          </cell>
          <cell r="O37">
            <v>0.1</v>
          </cell>
          <cell r="P37">
            <v>0.1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0.7</v>
          </cell>
          <cell r="X37">
            <v>0.2</v>
          </cell>
          <cell r="Y37">
            <v>0</v>
          </cell>
          <cell r="Z37">
            <v>0</v>
          </cell>
          <cell r="AA37">
            <v>0</v>
          </cell>
          <cell r="AB37">
            <v>0.5</v>
          </cell>
          <cell r="AC37">
            <v>0.4</v>
          </cell>
          <cell r="AE37">
            <v>1.7</v>
          </cell>
          <cell r="AF37">
            <v>19.399999999999999</v>
          </cell>
          <cell r="AG37">
            <v>0</v>
          </cell>
          <cell r="AH37">
            <v>0.1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0.5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9">
          <cell r="B39" t="str">
            <v>Under 10m - England</v>
          </cell>
          <cell r="D39">
            <v>404.1</v>
          </cell>
          <cell r="E39">
            <v>35.099999999999994</v>
          </cell>
          <cell r="F39">
            <v>31</v>
          </cell>
          <cell r="G39">
            <v>8.8000000000000007</v>
          </cell>
          <cell r="H39">
            <v>184.1</v>
          </cell>
          <cell r="I39">
            <v>198.5</v>
          </cell>
          <cell r="J39">
            <v>1.6</v>
          </cell>
          <cell r="K39">
            <v>589.1</v>
          </cell>
          <cell r="L39">
            <v>0</v>
          </cell>
          <cell r="M39">
            <v>20.9</v>
          </cell>
          <cell r="N39">
            <v>1.1000000000000001</v>
          </cell>
          <cell r="O39">
            <v>260.3</v>
          </cell>
          <cell r="P39">
            <v>124</v>
          </cell>
          <cell r="Q39">
            <v>0</v>
          </cell>
          <cell r="R39">
            <v>41.6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12.9</v>
          </cell>
          <cell r="X39">
            <v>0</v>
          </cell>
          <cell r="Y39">
            <v>53.7</v>
          </cell>
          <cell r="Z39">
            <v>0</v>
          </cell>
          <cell r="AA39">
            <v>33.4</v>
          </cell>
          <cell r="AB39">
            <v>0.2</v>
          </cell>
          <cell r="AC39">
            <v>0</v>
          </cell>
          <cell r="AE39">
            <v>-0.6</v>
          </cell>
          <cell r="AF39">
            <v>60.4</v>
          </cell>
          <cell r="AG39">
            <v>15.2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0.1</v>
          </cell>
          <cell r="AQ39">
            <v>1.2999999999999998</v>
          </cell>
          <cell r="AR39">
            <v>0</v>
          </cell>
          <cell r="AS39">
            <v>37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3.9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B40" t="str">
            <v>Under 10m - Leased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5.2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B41" t="str">
            <v>Under 10m - Wales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1.3</v>
          </cell>
          <cell r="AB41">
            <v>0</v>
          </cell>
          <cell r="AC41">
            <v>0</v>
          </cell>
          <cell r="AE41">
            <v>0.3</v>
          </cell>
          <cell r="AF41">
            <v>18.899999999999999</v>
          </cell>
          <cell r="AG41">
            <v>0</v>
          </cell>
          <cell r="AH41">
            <v>0</v>
          </cell>
          <cell r="AI41">
            <v>0</v>
          </cell>
          <cell r="AP41">
            <v>0.1</v>
          </cell>
          <cell r="AQ41">
            <v>0</v>
          </cell>
          <cell r="AR41">
            <v>0</v>
          </cell>
          <cell r="AS41">
            <v>0.1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3.9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B42" t="str">
            <v>Under 10m - Scotland</v>
          </cell>
          <cell r="D42">
            <v>96</v>
          </cell>
          <cell r="E42">
            <v>16.2</v>
          </cell>
          <cell r="F42">
            <v>0.5</v>
          </cell>
          <cell r="G42">
            <v>14.6</v>
          </cell>
          <cell r="H42">
            <v>4.8</v>
          </cell>
          <cell r="I42">
            <v>0.1</v>
          </cell>
          <cell r="J42">
            <v>0</v>
          </cell>
          <cell r="K42">
            <v>484.6</v>
          </cell>
          <cell r="L42">
            <v>0</v>
          </cell>
          <cell r="M42">
            <v>11.2</v>
          </cell>
          <cell r="N42">
            <v>1.8</v>
          </cell>
          <cell r="O42">
            <v>0.6</v>
          </cell>
          <cell r="P42">
            <v>1.5</v>
          </cell>
          <cell r="Q42">
            <v>0</v>
          </cell>
          <cell r="R42">
            <v>0.1</v>
          </cell>
          <cell r="S42">
            <v>0</v>
          </cell>
          <cell r="T42">
            <v>-0.4</v>
          </cell>
          <cell r="U42">
            <v>0</v>
          </cell>
          <cell r="V42">
            <v>0</v>
          </cell>
          <cell r="W42">
            <v>8.6</v>
          </cell>
          <cell r="X42">
            <v>1.7</v>
          </cell>
          <cell r="Y42">
            <v>0</v>
          </cell>
          <cell r="Z42">
            <v>0</v>
          </cell>
          <cell r="AA42">
            <v>1.3</v>
          </cell>
          <cell r="AB42">
            <v>3.2</v>
          </cell>
          <cell r="AC42">
            <v>0</v>
          </cell>
          <cell r="AE42">
            <v>1.6</v>
          </cell>
          <cell r="AF42">
            <v>1288.0999999999999</v>
          </cell>
          <cell r="AG42">
            <v>5</v>
          </cell>
          <cell r="AH42">
            <v>4.8</v>
          </cell>
          <cell r="AI42">
            <v>0</v>
          </cell>
          <cell r="AP42">
            <v>0.1</v>
          </cell>
          <cell r="AQ42">
            <v>2.9</v>
          </cell>
          <cell r="AR42">
            <v>0</v>
          </cell>
          <cell r="AS42">
            <v>0.2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3.9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B43" t="str">
            <v>Under 10m - N.Ireland</v>
          </cell>
          <cell r="D43">
            <v>2.8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0.1</v>
          </cell>
          <cell r="J43">
            <v>0</v>
          </cell>
          <cell r="K43">
            <v>0.1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0.2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1.3</v>
          </cell>
          <cell r="X43">
            <v>0.3</v>
          </cell>
          <cell r="Y43">
            <v>0</v>
          </cell>
          <cell r="Z43">
            <v>0</v>
          </cell>
          <cell r="AA43">
            <v>1.3</v>
          </cell>
          <cell r="AB43">
            <v>1.6</v>
          </cell>
          <cell r="AC43">
            <v>0.1</v>
          </cell>
          <cell r="AE43">
            <v>3</v>
          </cell>
          <cell r="AF43">
            <v>16.5</v>
          </cell>
          <cell r="AG43">
            <v>0</v>
          </cell>
          <cell r="AH43">
            <v>0.1</v>
          </cell>
          <cell r="AI43">
            <v>0</v>
          </cell>
          <cell r="AP43">
            <v>0.1</v>
          </cell>
          <cell r="AQ43">
            <v>0</v>
          </cell>
          <cell r="AR43">
            <v>0</v>
          </cell>
          <cell r="AS43">
            <v>0.1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3.9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81">
          <cell r="B81" t="str">
            <v>Non Sector - England</v>
          </cell>
          <cell r="D81">
            <v>14.2</v>
          </cell>
          <cell r="E81">
            <v>0.4</v>
          </cell>
          <cell r="F81">
            <v>1.5</v>
          </cell>
          <cell r="G81">
            <v>0.2</v>
          </cell>
          <cell r="H81">
            <v>25.1</v>
          </cell>
          <cell r="I81">
            <v>15.9</v>
          </cell>
          <cell r="J81">
            <v>0</v>
          </cell>
          <cell r="K81">
            <v>19.600000000000001</v>
          </cell>
          <cell r="L81">
            <v>0</v>
          </cell>
          <cell r="M81">
            <v>0.2</v>
          </cell>
          <cell r="N81">
            <v>0</v>
          </cell>
          <cell r="O81">
            <v>0.2</v>
          </cell>
          <cell r="P81">
            <v>14.1</v>
          </cell>
          <cell r="Q81">
            <v>0</v>
          </cell>
          <cell r="R81">
            <v>0.6</v>
          </cell>
          <cell r="S81">
            <v>0</v>
          </cell>
          <cell r="T81">
            <v>14.8</v>
          </cell>
          <cell r="U81">
            <v>0</v>
          </cell>
          <cell r="V81">
            <v>0</v>
          </cell>
          <cell r="W81">
            <v>55</v>
          </cell>
          <cell r="X81">
            <v>0.2</v>
          </cell>
          <cell r="Y81">
            <v>53.7</v>
          </cell>
          <cell r="Z81">
            <v>0</v>
          </cell>
          <cell r="AA81">
            <v>17.399999999999999</v>
          </cell>
          <cell r="AB81">
            <v>0.2</v>
          </cell>
          <cell r="AC81">
            <v>0</v>
          </cell>
          <cell r="AE81">
            <v>0.6</v>
          </cell>
          <cell r="AF81">
            <v>99.4</v>
          </cell>
          <cell r="AG81">
            <v>15.2</v>
          </cell>
          <cell r="AH81">
            <v>0.1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O81">
            <v>0</v>
          </cell>
          <cell r="AP81">
            <v>0</v>
          </cell>
          <cell r="AQ81">
            <v>4.3</v>
          </cell>
          <cell r="AR81">
            <v>0</v>
          </cell>
          <cell r="AS81">
            <v>0.8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</row>
        <row r="82">
          <cell r="B82" t="str">
            <v>Non Sector - Wales</v>
          </cell>
          <cell r="D82">
            <v>0</v>
          </cell>
          <cell r="E82">
            <v>0</v>
          </cell>
          <cell r="F82">
            <v>-0.4</v>
          </cell>
          <cell r="G82">
            <v>0</v>
          </cell>
          <cell r="H82">
            <v>0.4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6.3</v>
          </cell>
          <cell r="AG82">
            <v>0</v>
          </cell>
          <cell r="AH82">
            <v>0.1</v>
          </cell>
          <cell r="AI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0.4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</row>
        <row r="83">
          <cell r="B83" t="str">
            <v>Non Sector - Scotland</v>
          </cell>
          <cell r="D83">
            <v>3.5</v>
          </cell>
          <cell r="E83">
            <v>1</v>
          </cell>
          <cell r="F83">
            <v>1.4</v>
          </cell>
          <cell r="G83">
            <v>5.7</v>
          </cell>
          <cell r="H83">
            <v>5.4</v>
          </cell>
          <cell r="I83">
            <v>-0.2</v>
          </cell>
          <cell r="J83">
            <v>0</v>
          </cell>
          <cell r="K83">
            <v>151.5</v>
          </cell>
          <cell r="L83">
            <v>0</v>
          </cell>
          <cell r="M83">
            <v>2.4</v>
          </cell>
          <cell r="N83">
            <v>0</v>
          </cell>
          <cell r="O83">
            <v>0.9</v>
          </cell>
          <cell r="P83">
            <v>0.1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0.6</v>
          </cell>
          <cell r="X83">
            <v>0.1</v>
          </cell>
          <cell r="Y83">
            <v>0</v>
          </cell>
          <cell r="Z83">
            <v>0</v>
          </cell>
          <cell r="AA83">
            <v>0.1</v>
          </cell>
          <cell r="AB83">
            <v>0</v>
          </cell>
          <cell r="AC83">
            <v>0</v>
          </cell>
          <cell r="AE83">
            <v>0.6</v>
          </cell>
          <cell r="AF83">
            <v>539.29999999999995</v>
          </cell>
          <cell r="AG83">
            <v>1.4</v>
          </cell>
          <cell r="AH83">
            <v>0</v>
          </cell>
          <cell r="AI83">
            <v>0</v>
          </cell>
          <cell r="AP83">
            <v>0</v>
          </cell>
          <cell r="AQ83">
            <v>1.6</v>
          </cell>
          <cell r="AR83">
            <v>0</v>
          </cell>
          <cell r="AS83">
            <v>7.9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</row>
        <row r="84">
          <cell r="B84" t="str">
            <v>Non Sector - N.Ireland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0.2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E84">
            <v>0.3</v>
          </cell>
          <cell r="AF84">
            <v>22.9</v>
          </cell>
          <cell r="AG84">
            <v>0</v>
          </cell>
          <cell r="AH84">
            <v>0</v>
          </cell>
          <cell r="AI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</row>
        <row r="85">
          <cell r="B85" t="str">
            <v>Non Sector - Leased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5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</row>
        <row r="86">
          <cell r="B86" t="str">
            <v>Isle of Man</v>
          </cell>
          <cell r="D86">
            <v>0.3</v>
          </cell>
          <cell r="E86">
            <v>1.9</v>
          </cell>
          <cell r="F86">
            <v>0.4</v>
          </cell>
          <cell r="G86">
            <v>0</v>
          </cell>
          <cell r="H86">
            <v>0.5</v>
          </cell>
          <cell r="I86">
            <v>0</v>
          </cell>
          <cell r="J86">
            <v>0</v>
          </cell>
          <cell r="K86">
            <v>1.2</v>
          </cell>
          <cell r="L86">
            <v>0</v>
          </cell>
          <cell r="M86">
            <v>1.1000000000000001</v>
          </cell>
          <cell r="N86">
            <v>0</v>
          </cell>
          <cell r="O86">
            <v>0.1</v>
          </cell>
          <cell r="P86">
            <v>0.1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0.7</v>
          </cell>
          <cell r="X86">
            <v>0.2</v>
          </cell>
          <cell r="Y86">
            <v>0</v>
          </cell>
          <cell r="Z86">
            <v>0</v>
          </cell>
          <cell r="AA86">
            <v>0</v>
          </cell>
          <cell r="AB86">
            <v>0.5</v>
          </cell>
          <cell r="AC86">
            <v>0.4</v>
          </cell>
          <cell r="AE86">
            <v>1.7</v>
          </cell>
          <cell r="AF86">
            <v>19.399999999999999</v>
          </cell>
          <cell r="AG86">
            <v>0</v>
          </cell>
          <cell r="AH86">
            <v>0.1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0.5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</row>
        <row r="88">
          <cell r="B88" t="str">
            <v>Under 10m - England</v>
          </cell>
          <cell r="D88">
            <v>404.1</v>
          </cell>
          <cell r="E88">
            <v>35.099999999999994</v>
          </cell>
          <cell r="F88">
            <v>31</v>
          </cell>
          <cell r="G88">
            <v>8.8000000000000007</v>
          </cell>
          <cell r="H88">
            <v>184.1</v>
          </cell>
          <cell r="I88">
            <v>198.5</v>
          </cell>
          <cell r="J88">
            <v>1.6</v>
          </cell>
          <cell r="K88">
            <v>589.1</v>
          </cell>
          <cell r="L88">
            <v>0</v>
          </cell>
          <cell r="M88">
            <v>20.9</v>
          </cell>
          <cell r="N88">
            <v>1.1000000000000001</v>
          </cell>
          <cell r="O88">
            <v>260.3</v>
          </cell>
          <cell r="P88">
            <v>124</v>
          </cell>
          <cell r="Q88">
            <v>0</v>
          </cell>
          <cell r="R88">
            <v>41.6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12.9</v>
          </cell>
          <cell r="X88">
            <v>0</v>
          </cell>
          <cell r="Y88">
            <v>53.7</v>
          </cell>
          <cell r="Z88">
            <v>0</v>
          </cell>
          <cell r="AA88">
            <v>33.4</v>
          </cell>
          <cell r="AB88">
            <v>0.2</v>
          </cell>
          <cell r="AC88">
            <v>0</v>
          </cell>
          <cell r="AE88">
            <v>-0.6</v>
          </cell>
          <cell r="AF88">
            <v>60.4</v>
          </cell>
          <cell r="AG88">
            <v>15.2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O88">
            <v>0</v>
          </cell>
          <cell r="AP88">
            <v>0.1</v>
          </cell>
          <cell r="AQ88">
            <v>1.2999999999999998</v>
          </cell>
          <cell r="AR88">
            <v>0</v>
          </cell>
          <cell r="AS88">
            <v>37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3.9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</row>
        <row r="89">
          <cell r="B89" t="str">
            <v>Under 10m - Leased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5.2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</row>
        <row r="90">
          <cell r="B90" t="str">
            <v>Under 10m - Wales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1.3</v>
          </cell>
          <cell r="AB90">
            <v>0</v>
          </cell>
          <cell r="AC90">
            <v>0</v>
          </cell>
          <cell r="AE90">
            <v>0.3</v>
          </cell>
          <cell r="AF90">
            <v>18.899999999999999</v>
          </cell>
          <cell r="AG90">
            <v>0</v>
          </cell>
          <cell r="AH90">
            <v>0</v>
          </cell>
          <cell r="AI90">
            <v>0</v>
          </cell>
          <cell r="AP90">
            <v>0.1</v>
          </cell>
          <cell r="AQ90">
            <v>0</v>
          </cell>
          <cell r="AR90">
            <v>0</v>
          </cell>
          <cell r="AS90">
            <v>0.1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3.9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</row>
        <row r="91">
          <cell r="B91" t="str">
            <v>Under 10m - Scotland</v>
          </cell>
          <cell r="D91">
            <v>96</v>
          </cell>
          <cell r="E91">
            <v>16.2</v>
          </cell>
          <cell r="F91">
            <v>0.5</v>
          </cell>
          <cell r="G91">
            <v>14.6</v>
          </cell>
          <cell r="H91">
            <v>4.8</v>
          </cell>
          <cell r="I91">
            <v>0.1</v>
          </cell>
          <cell r="J91">
            <v>0</v>
          </cell>
          <cell r="K91">
            <v>484.6</v>
          </cell>
          <cell r="L91">
            <v>0</v>
          </cell>
          <cell r="M91">
            <v>11.2</v>
          </cell>
          <cell r="N91">
            <v>1.8</v>
          </cell>
          <cell r="O91">
            <v>0.6</v>
          </cell>
          <cell r="P91">
            <v>1.5</v>
          </cell>
          <cell r="Q91">
            <v>0</v>
          </cell>
          <cell r="R91">
            <v>0.1</v>
          </cell>
          <cell r="S91">
            <v>0</v>
          </cell>
          <cell r="T91">
            <v>-0.4</v>
          </cell>
          <cell r="U91">
            <v>0</v>
          </cell>
          <cell r="V91">
            <v>0</v>
          </cell>
          <cell r="W91">
            <v>8.6</v>
          </cell>
          <cell r="X91">
            <v>1.7</v>
          </cell>
          <cell r="Y91">
            <v>0</v>
          </cell>
          <cell r="Z91">
            <v>0</v>
          </cell>
          <cell r="AA91">
            <v>1.3</v>
          </cell>
          <cell r="AB91">
            <v>3.2</v>
          </cell>
          <cell r="AC91">
            <v>0</v>
          </cell>
          <cell r="AE91">
            <v>1.6</v>
          </cell>
          <cell r="AF91">
            <v>1288.0999999999999</v>
          </cell>
          <cell r="AG91">
            <v>5</v>
          </cell>
          <cell r="AH91">
            <v>4.8</v>
          </cell>
          <cell r="AI91">
            <v>0</v>
          </cell>
          <cell r="AP91">
            <v>0.1</v>
          </cell>
          <cell r="AQ91">
            <v>2.9</v>
          </cell>
          <cell r="AR91">
            <v>0</v>
          </cell>
          <cell r="AS91">
            <v>0.2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3.9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</row>
        <row r="92">
          <cell r="B92" t="str">
            <v>Under 10m - N.Ireland</v>
          </cell>
          <cell r="D92">
            <v>2.8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0.1</v>
          </cell>
          <cell r="J92">
            <v>0</v>
          </cell>
          <cell r="K92">
            <v>0.1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0.2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1.3</v>
          </cell>
          <cell r="X92">
            <v>0.3</v>
          </cell>
          <cell r="Y92">
            <v>0</v>
          </cell>
          <cell r="Z92">
            <v>0</v>
          </cell>
          <cell r="AA92">
            <v>1.3</v>
          </cell>
          <cell r="AB92">
            <v>1.6</v>
          </cell>
          <cell r="AC92">
            <v>0.1</v>
          </cell>
          <cell r="AE92">
            <v>3</v>
          </cell>
          <cell r="AF92">
            <v>16.5</v>
          </cell>
          <cell r="AG92">
            <v>0</v>
          </cell>
          <cell r="AH92">
            <v>0.1</v>
          </cell>
          <cell r="AI92">
            <v>0</v>
          </cell>
          <cell r="AP92">
            <v>0.1</v>
          </cell>
          <cell r="AQ92">
            <v>0</v>
          </cell>
          <cell r="AR92">
            <v>0</v>
          </cell>
          <cell r="AS92">
            <v>0.1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3.9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</row>
        <row r="103">
          <cell r="B103" t="str">
            <v>of PO</v>
          </cell>
          <cell r="D103" t="str">
            <v>NS Cod</v>
          </cell>
          <cell r="E103" t="str">
            <v>NS Had</v>
          </cell>
          <cell r="F103" t="str">
            <v>NS Whi</v>
          </cell>
          <cell r="G103" t="str">
            <v>NS Sai</v>
          </cell>
          <cell r="H103" t="str">
            <v>NS Plai</v>
          </cell>
          <cell r="I103" t="str">
            <v>NS Sole</v>
          </cell>
          <cell r="J103" t="str">
            <v>NS Hake</v>
          </cell>
          <cell r="K103" t="str">
            <v>NS Neph</v>
          </cell>
          <cell r="L103" t="str">
            <v>Nor Oth</v>
          </cell>
          <cell r="M103" t="str">
            <v>NS Monk</v>
          </cell>
          <cell r="N103" t="str">
            <v>NS Meg</v>
          </cell>
          <cell r="O103" t="str">
            <v>NS Lems/Wtch</v>
          </cell>
          <cell r="P103" t="str">
            <v>NS Sk/Rays</v>
          </cell>
          <cell r="Q103" t="str">
            <v>NS Dabs/Fldr</v>
          </cell>
          <cell r="R103" t="str">
            <v>NS Tur/Brll</v>
          </cell>
          <cell r="S103" t="str">
            <v>NS Dogs</v>
          </cell>
          <cell r="T103" t="str">
            <v>Northern Prawn</v>
          </cell>
          <cell r="U103" t="str">
            <v>Cod VIb</v>
          </cell>
          <cell r="V103" t="str">
            <v>Cod VIa</v>
          </cell>
          <cell r="W103" t="str">
            <v>Had VIa, Vb (EC)</v>
          </cell>
          <cell r="X103" t="str">
            <v>Via of which</v>
          </cell>
          <cell r="Y103" t="str">
            <v xml:space="preserve">WS Had VIb, XII, XIV </v>
          </cell>
          <cell r="Z103" t="str">
            <v>WS Whi</v>
          </cell>
          <cell r="AA103" t="str">
            <v>WS Sai</v>
          </cell>
          <cell r="AB103" t="str">
            <v>WS Plai</v>
          </cell>
          <cell r="AC103" t="str">
            <v>WS Sole</v>
          </cell>
          <cell r="AD103" t="str">
            <v>WS Hake</v>
          </cell>
          <cell r="AE103" t="str">
            <v>WS Monk</v>
          </cell>
          <cell r="AF103" t="str">
            <v>WS Neph</v>
          </cell>
          <cell r="AG103" t="str">
            <v>WS Meg</v>
          </cell>
          <cell r="AH103" t="str">
            <v>WS Poll</v>
          </cell>
          <cell r="AI103" t="str">
            <v>GHL246</v>
          </cell>
          <cell r="AJ103" t="str">
            <v>Far Cod/Had</v>
          </cell>
          <cell r="AK103" t="str">
            <v>Far Saithe</v>
          </cell>
          <cell r="AL103" t="str">
            <v>Far Red</v>
          </cell>
          <cell r="AM103" t="str">
            <v>Far Ling</v>
          </cell>
          <cell r="AN103" t="str">
            <v>Far Flat</v>
          </cell>
          <cell r="AO103" t="str">
            <v>Far Oth</v>
          </cell>
          <cell r="AP103" t="str">
            <v>TUS4</v>
          </cell>
          <cell r="AQ103" t="str">
            <v>LIN4</v>
          </cell>
          <cell r="AR103" t="str">
            <v>TUS567</v>
          </cell>
          <cell r="AS103" t="str">
            <v>LIN714</v>
          </cell>
          <cell r="AT103" t="str">
            <v>BS5678</v>
          </cell>
          <cell r="AU103" t="str">
            <v>ARG567</v>
          </cell>
          <cell r="AV103" t="str">
            <v>RG5B67</v>
          </cell>
          <cell r="AW103" t="str">
            <v>BL67</v>
          </cell>
          <cell r="AX103" t="str">
            <v>ARG112</v>
          </cell>
          <cell r="AY103" t="str">
            <v>DSSHK</v>
          </cell>
          <cell r="AZ103" t="str">
            <v>DSSHK12</v>
          </cell>
          <cell r="BA103" t="str">
            <v>ALF312</v>
          </cell>
          <cell r="BB103" t="str">
            <v>RG814</v>
          </cell>
          <cell r="BC103" t="str">
            <v>ORY114</v>
          </cell>
          <cell r="BD103" t="str">
            <v>GFB14</v>
          </cell>
          <cell r="BE103" t="str">
            <v>GFB567</v>
          </cell>
          <cell r="BF103" t="str">
            <v>GFB12</v>
          </cell>
          <cell r="BG103" t="str">
            <v>TUS4N</v>
          </cell>
          <cell r="BH103" t="str">
            <v>MON4N</v>
          </cell>
          <cell r="BI103" t="str">
            <v>LIN4N</v>
          </cell>
          <cell r="BJ103" t="str">
            <v>NEP4N</v>
          </cell>
        </row>
        <row r="105">
          <cell r="B105" t="str">
            <v>SFO</v>
          </cell>
          <cell r="D105">
            <v>3218.8</v>
          </cell>
          <cell r="E105">
            <v>7361.7</v>
          </cell>
          <cell r="F105">
            <v>3758.3</v>
          </cell>
          <cell r="G105">
            <v>1604.7</v>
          </cell>
          <cell r="H105">
            <v>1167.7</v>
          </cell>
          <cell r="I105">
            <v>3.2</v>
          </cell>
          <cell r="J105">
            <v>231.5</v>
          </cell>
          <cell r="K105">
            <v>8357.9</v>
          </cell>
          <cell r="L105">
            <v>534.79999999999995</v>
          </cell>
          <cell r="M105">
            <v>4523.3</v>
          </cell>
          <cell r="N105">
            <v>921.7</v>
          </cell>
          <cell r="O105">
            <v>915.9</v>
          </cell>
          <cell r="P105">
            <v>185.29999999999998</v>
          </cell>
          <cell r="Q105">
            <v>0</v>
          </cell>
          <cell r="R105">
            <v>62.2</v>
          </cell>
          <cell r="S105">
            <v>0</v>
          </cell>
          <cell r="T105">
            <v>204</v>
          </cell>
          <cell r="U105">
            <v>0</v>
          </cell>
          <cell r="V105">
            <v>0</v>
          </cell>
          <cell r="W105">
            <v>1904.2</v>
          </cell>
          <cell r="X105">
            <v>310.8</v>
          </cell>
          <cell r="Y105">
            <v>1424.4</v>
          </cell>
          <cell r="Z105">
            <v>0</v>
          </cell>
          <cell r="AA105">
            <v>1167.0999999999999</v>
          </cell>
          <cell r="AB105">
            <v>261.7</v>
          </cell>
          <cell r="AC105">
            <v>3.4</v>
          </cell>
          <cell r="AE105">
            <v>1150.8</v>
          </cell>
          <cell r="AF105">
            <v>5485.9</v>
          </cell>
          <cell r="AG105">
            <v>811.7</v>
          </cell>
          <cell r="AH105">
            <v>31.4</v>
          </cell>
          <cell r="AI105">
            <v>683.3</v>
          </cell>
          <cell r="AJ105">
            <v>228.8</v>
          </cell>
          <cell r="AK105">
            <v>168.5</v>
          </cell>
          <cell r="AL105">
            <v>0.1</v>
          </cell>
          <cell r="AM105">
            <v>56.1</v>
          </cell>
          <cell r="AO105">
            <v>64.099999999999994</v>
          </cell>
          <cell r="AP105">
            <v>34.4</v>
          </cell>
          <cell r="AQ105">
            <v>1080.4000000000001</v>
          </cell>
          <cell r="AR105">
            <v>185.9</v>
          </cell>
          <cell r="AS105">
            <v>1086.7</v>
          </cell>
          <cell r="AT105">
            <v>105.7</v>
          </cell>
          <cell r="AU105">
            <v>13.1</v>
          </cell>
          <cell r="AV105">
            <v>105.5</v>
          </cell>
          <cell r="AW105">
            <v>1255.3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317</v>
          </cell>
          <cell r="BF105">
            <v>0</v>
          </cell>
          <cell r="BG105">
            <v>1.4</v>
          </cell>
          <cell r="BH105">
            <v>54.4</v>
          </cell>
          <cell r="BI105">
            <v>14.4</v>
          </cell>
          <cell r="BJ105">
            <v>19.100000000000001</v>
          </cell>
        </row>
        <row r="106">
          <cell r="B106" t="str">
            <v>Aberdeen</v>
          </cell>
          <cell r="D106">
            <v>1059.7</v>
          </cell>
          <cell r="E106">
            <v>2433.7999999999997</v>
          </cell>
          <cell r="F106">
            <v>815.7</v>
          </cell>
          <cell r="G106">
            <v>493</v>
          </cell>
          <cell r="H106">
            <v>217.1</v>
          </cell>
          <cell r="I106">
            <v>0.1</v>
          </cell>
          <cell r="J106">
            <v>52.2</v>
          </cell>
          <cell r="K106">
            <v>391.59999999999997</v>
          </cell>
          <cell r="L106">
            <v>267.60000000000002</v>
          </cell>
          <cell r="M106">
            <v>595.6</v>
          </cell>
          <cell r="N106">
            <v>216</v>
          </cell>
          <cell r="O106">
            <v>159.20000000000002</v>
          </cell>
          <cell r="P106">
            <v>36.4</v>
          </cell>
          <cell r="Q106">
            <v>-0.3</v>
          </cell>
          <cell r="R106">
            <v>9.8000000000000007</v>
          </cell>
          <cell r="S106">
            <v>0</v>
          </cell>
          <cell r="T106">
            <v>2.1</v>
          </cell>
          <cell r="U106">
            <v>0</v>
          </cell>
          <cell r="V106">
            <v>0</v>
          </cell>
          <cell r="W106">
            <v>249.89999999999998</v>
          </cell>
          <cell r="X106">
            <v>49.9</v>
          </cell>
          <cell r="Y106">
            <v>269.90000000000003</v>
          </cell>
          <cell r="Z106">
            <v>0</v>
          </cell>
          <cell r="AA106">
            <v>224.4</v>
          </cell>
          <cell r="AB106">
            <v>17.8</v>
          </cell>
          <cell r="AC106">
            <v>0.2</v>
          </cell>
          <cell r="AE106">
            <v>150.9</v>
          </cell>
          <cell r="AF106">
            <v>86.3</v>
          </cell>
          <cell r="AG106">
            <v>90.7</v>
          </cell>
          <cell r="AH106">
            <v>3.8</v>
          </cell>
          <cell r="AI106">
            <v>1.1000000000000001</v>
          </cell>
          <cell r="AJ106">
            <v>0</v>
          </cell>
          <cell r="AK106">
            <v>0</v>
          </cell>
          <cell r="AL106">
            <v>0</v>
          </cell>
          <cell r="AM106">
            <v>0.1</v>
          </cell>
          <cell r="AO106">
            <v>0</v>
          </cell>
          <cell r="AP106">
            <v>5.4</v>
          </cell>
          <cell r="AQ106">
            <v>180.60000000000002</v>
          </cell>
          <cell r="AR106">
            <v>0.7</v>
          </cell>
          <cell r="AS106">
            <v>81.5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0.8</v>
          </cell>
          <cell r="BF106">
            <v>0</v>
          </cell>
          <cell r="BG106">
            <v>0.4</v>
          </cell>
          <cell r="BH106">
            <v>50.8</v>
          </cell>
          <cell r="BI106">
            <v>19.7</v>
          </cell>
          <cell r="BJ106">
            <v>0</v>
          </cell>
        </row>
        <row r="107">
          <cell r="B107" t="str">
            <v>NESFO</v>
          </cell>
          <cell r="D107">
            <v>1851.5</v>
          </cell>
          <cell r="E107">
            <v>3782.3</v>
          </cell>
          <cell r="F107">
            <v>1877.6999999999998</v>
          </cell>
          <cell r="G107">
            <v>859</v>
          </cell>
          <cell r="H107">
            <v>381.90000000000003</v>
          </cell>
          <cell r="I107">
            <v>20.100000000000001</v>
          </cell>
          <cell r="J107">
            <v>135</v>
          </cell>
          <cell r="K107">
            <v>1382.8</v>
          </cell>
          <cell r="L107">
            <v>281.40000000000003</v>
          </cell>
          <cell r="M107">
            <v>1023.4000000000001</v>
          </cell>
          <cell r="N107">
            <v>374.4</v>
          </cell>
          <cell r="O107">
            <v>250.6</v>
          </cell>
          <cell r="P107">
            <v>44.699999999999996</v>
          </cell>
          <cell r="Q107">
            <v>0</v>
          </cell>
          <cell r="R107">
            <v>13.3</v>
          </cell>
          <cell r="S107">
            <v>0</v>
          </cell>
          <cell r="T107">
            <v>26.8</v>
          </cell>
          <cell r="U107">
            <v>0</v>
          </cell>
          <cell r="V107">
            <v>0</v>
          </cell>
          <cell r="W107">
            <v>253.4</v>
          </cell>
          <cell r="X107">
            <v>47.9</v>
          </cell>
          <cell r="Y107">
            <v>344.6</v>
          </cell>
          <cell r="Z107">
            <v>0</v>
          </cell>
          <cell r="AA107">
            <v>254.6</v>
          </cell>
          <cell r="AB107">
            <v>20.100000000000001</v>
          </cell>
          <cell r="AC107">
            <v>0.3</v>
          </cell>
          <cell r="AE107">
            <v>102.4</v>
          </cell>
          <cell r="AF107">
            <v>49.7</v>
          </cell>
          <cell r="AG107">
            <v>119.8</v>
          </cell>
          <cell r="AH107">
            <v>6.4</v>
          </cell>
          <cell r="AI107">
            <v>1.9000000000000004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O107">
            <v>0</v>
          </cell>
          <cell r="AP107">
            <v>7.5</v>
          </cell>
          <cell r="AQ107">
            <v>308.10000000000002</v>
          </cell>
          <cell r="AR107">
            <v>2.2999999999999998</v>
          </cell>
          <cell r="AS107">
            <v>32.6</v>
          </cell>
          <cell r="AT107">
            <v>0</v>
          </cell>
          <cell r="AU107">
            <v>0</v>
          </cell>
          <cell r="AV107">
            <v>0</v>
          </cell>
          <cell r="AW107">
            <v>8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2.8</v>
          </cell>
          <cell r="BF107">
            <v>0</v>
          </cell>
          <cell r="BG107">
            <v>0.4</v>
          </cell>
          <cell r="BH107">
            <v>34.9</v>
          </cell>
          <cell r="BI107">
            <v>14.100000000000001</v>
          </cell>
          <cell r="BJ107">
            <v>9.5</v>
          </cell>
        </row>
        <row r="108">
          <cell r="B108" t="str">
            <v>Shetland</v>
          </cell>
          <cell r="D108">
            <v>3063.2</v>
          </cell>
          <cell r="E108">
            <v>5261.4</v>
          </cell>
          <cell r="F108">
            <v>2946.7</v>
          </cell>
          <cell r="G108">
            <v>1589.7</v>
          </cell>
          <cell r="H108">
            <v>1753.1</v>
          </cell>
          <cell r="I108">
            <v>26.8</v>
          </cell>
          <cell r="J108">
            <v>179.3</v>
          </cell>
          <cell r="K108">
            <v>1457.9</v>
          </cell>
          <cell r="L108">
            <v>432.8</v>
          </cell>
          <cell r="M108">
            <v>3139.4</v>
          </cell>
          <cell r="N108">
            <v>546.5</v>
          </cell>
          <cell r="O108">
            <v>521.4</v>
          </cell>
          <cell r="P108">
            <v>207.9</v>
          </cell>
          <cell r="Q108">
            <v>0</v>
          </cell>
          <cell r="R108">
            <v>30.5</v>
          </cell>
          <cell r="S108">
            <v>0</v>
          </cell>
          <cell r="T108">
            <v>23</v>
          </cell>
          <cell r="U108">
            <v>0</v>
          </cell>
          <cell r="V108">
            <v>0</v>
          </cell>
          <cell r="W108">
            <v>272.39999999999998</v>
          </cell>
          <cell r="X108">
            <v>60.8</v>
          </cell>
          <cell r="Y108">
            <v>513.6</v>
          </cell>
          <cell r="Z108">
            <v>0</v>
          </cell>
          <cell r="AA108">
            <v>447.8</v>
          </cell>
          <cell r="AB108">
            <v>17.7</v>
          </cell>
          <cell r="AC108">
            <v>0.1</v>
          </cell>
          <cell r="AE108">
            <v>266.39999999999998</v>
          </cell>
          <cell r="AF108">
            <v>338.5</v>
          </cell>
          <cell r="AG108">
            <v>113.1</v>
          </cell>
          <cell r="AH108">
            <v>8.4</v>
          </cell>
          <cell r="AI108">
            <v>53.4</v>
          </cell>
          <cell r="AJ108">
            <v>176.2</v>
          </cell>
          <cell r="AK108">
            <v>119.6</v>
          </cell>
          <cell r="AL108">
            <v>0.2</v>
          </cell>
          <cell r="AM108">
            <v>25.6</v>
          </cell>
          <cell r="AO108">
            <v>31.8</v>
          </cell>
          <cell r="AP108">
            <v>20.8</v>
          </cell>
          <cell r="AQ108">
            <v>675.6</v>
          </cell>
          <cell r="AR108">
            <v>13.4</v>
          </cell>
          <cell r="AS108">
            <v>102.2</v>
          </cell>
          <cell r="AT108">
            <v>11</v>
          </cell>
          <cell r="AU108">
            <v>0.1</v>
          </cell>
          <cell r="AV108">
            <v>17.2</v>
          </cell>
          <cell r="AW108">
            <v>155.9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6.1</v>
          </cell>
          <cell r="BF108">
            <v>0</v>
          </cell>
          <cell r="BG108">
            <v>0.1</v>
          </cell>
          <cell r="BH108">
            <v>19.7</v>
          </cell>
          <cell r="BI108">
            <v>3.1</v>
          </cell>
          <cell r="BJ108">
            <v>1</v>
          </cell>
        </row>
        <row r="109">
          <cell r="B109" t="str">
            <v>Fife</v>
          </cell>
          <cell r="D109">
            <v>193.7</v>
          </cell>
          <cell r="E109">
            <v>288.8</v>
          </cell>
          <cell r="F109">
            <v>114.9</v>
          </cell>
          <cell r="G109">
            <v>27</v>
          </cell>
          <cell r="H109">
            <v>4212.5</v>
          </cell>
          <cell r="I109">
            <v>41.6</v>
          </cell>
          <cell r="J109">
            <v>9.8000000000000007</v>
          </cell>
          <cell r="K109">
            <v>1457.5</v>
          </cell>
          <cell r="L109">
            <v>88</v>
          </cell>
          <cell r="M109">
            <v>115.9</v>
          </cell>
          <cell r="N109">
            <v>6.9</v>
          </cell>
          <cell r="O109">
            <v>166.1</v>
          </cell>
          <cell r="P109">
            <v>11.6</v>
          </cell>
          <cell r="Q109">
            <v>0</v>
          </cell>
          <cell r="R109">
            <v>132</v>
          </cell>
          <cell r="S109">
            <v>0</v>
          </cell>
          <cell r="T109">
            <v>6.7</v>
          </cell>
          <cell r="U109">
            <v>0</v>
          </cell>
          <cell r="V109">
            <v>0</v>
          </cell>
          <cell r="W109">
            <v>4.5999999999999996</v>
          </cell>
          <cell r="X109">
            <v>0.9</v>
          </cell>
          <cell r="Y109">
            <v>5.6</v>
          </cell>
          <cell r="Z109">
            <v>0</v>
          </cell>
          <cell r="AA109">
            <v>2.8</v>
          </cell>
          <cell r="AB109">
            <v>0.9</v>
          </cell>
          <cell r="AC109">
            <v>0</v>
          </cell>
          <cell r="AE109">
            <v>5</v>
          </cell>
          <cell r="AF109">
            <v>124.4</v>
          </cell>
          <cell r="AG109">
            <v>2.9</v>
          </cell>
          <cell r="AH109">
            <v>0.7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O109">
            <v>0</v>
          </cell>
          <cell r="AP109">
            <v>0.1</v>
          </cell>
          <cell r="AQ109">
            <v>0.9</v>
          </cell>
          <cell r="AR109">
            <v>0</v>
          </cell>
          <cell r="AS109">
            <v>0.2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0.1</v>
          </cell>
          <cell r="BF109">
            <v>0</v>
          </cell>
          <cell r="BG109">
            <v>0</v>
          </cell>
          <cell r="BH109">
            <v>0.2</v>
          </cell>
          <cell r="BI109">
            <v>0.1</v>
          </cell>
          <cell r="BJ109">
            <v>0</v>
          </cell>
        </row>
        <row r="110">
          <cell r="B110" t="str">
            <v>West Scotland</v>
          </cell>
          <cell r="D110">
            <v>146.9</v>
          </cell>
          <cell r="E110">
            <v>384.20000000000005</v>
          </cell>
          <cell r="F110">
            <v>155.9</v>
          </cell>
          <cell r="G110">
            <v>68.099999999999994</v>
          </cell>
          <cell r="H110">
            <v>144.4</v>
          </cell>
          <cell r="I110">
            <v>2.1</v>
          </cell>
          <cell r="J110">
            <v>5.3</v>
          </cell>
          <cell r="K110">
            <v>517.4</v>
          </cell>
          <cell r="L110">
            <v>37.200000000000003</v>
          </cell>
          <cell r="M110">
            <v>98.9</v>
          </cell>
          <cell r="N110">
            <v>4.7</v>
          </cell>
          <cell r="O110">
            <v>33.4</v>
          </cell>
          <cell r="P110">
            <v>12.6</v>
          </cell>
          <cell r="Q110">
            <v>0.3</v>
          </cell>
          <cell r="R110">
            <v>1.7999999999999998</v>
          </cell>
          <cell r="S110">
            <v>0</v>
          </cell>
          <cell r="T110">
            <v>0.3</v>
          </cell>
          <cell r="U110">
            <v>0</v>
          </cell>
          <cell r="V110">
            <v>0</v>
          </cell>
          <cell r="W110">
            <v>68.400000000000006</v>
          </cell>
          <cell r="X110">
            <v>10.9</v>
          </cell>
          <cell r="Y110">
            <v>36.299999999999997</v>
          </cell>
          <cell r="Z110">
            <v>0</v>
          </cell>
          <cell r="AA110">
            <v>14.1</v>
          </cell>
          <cell r="AB110">
            <v>5.8</v>
          </cell>
          <cell r="AC110">
            <v>0.2</v>
          </cell>
          <cell r="AE110">
            <v>48.9</v>
          </cell>
          <cell r="AF110">
            <v>1728.5</v>
          </cell>
          <cell r="AG110">
            <v>11.1</v>
          </cell>
          <cell r="AH110">
            <v>0.4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O110">
            <v>0</v>
          </cell>
          <cell r="AP110">
            <v>0.1</v>
          </cell>
          <cell r="AQ110">
            <v>6.1000000000000005</v>
          </cell>
          <cell r="AR110">
            <v>0</v>
          </cell>
          <cell r="AS110">
            <v>1.6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7.6000000000000005</v>
          </cell>
          <cell r="BI110">
            <v>0.40000000000000036</v>
          </cell>
          <cell r="BJ110">
            <v>0.9</v>
          </cell>
        </row>
        <row r="111">
          <cell r="B111" t="str">
            <v>Orkney</v>
          </cell>
          <cell r="D111">
            <v>288.5</v>
          </cell>
          <cell r="E111">
            <v>1007.3</v>
          </cell>
          <cell r="F111">
            <v>249.4</v>
          </cell>
          <cell r="G111">
            <v>181.8</v>
          </cell>
          <cell r="H111">
            <v>120.9</v>
          </cell>
          <cell r="I111">
            <v>0</v>
          </cell>
          <cell r="J111">
            <v>21.3</v>
          </cell>
          <cell r="K111">
            <v>88.3</v>
          </cell>
          <cell r="L111">
            <v>31</v>
          </cell>
          <cell r="M111">
            <v>185.5</v>
          </cell>
          <cell r="N111">
            <v>36.800000000000004</v>
          </cell>
          <cell r="O111">
            <v>42</v>
          </cell>
          <cell r="P111">
            <v>17.100000000000001</v>
          </cell>
          <cell r="Q111">
            <v>0</v>
          </cell>
          <cell r="R111">
            <v>1.9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221.2</v>
          </cell>
          <cell r="X111">
            <v>35.200000000000003</v>
          </cell>
          <cell r="Y111">
            <v>272.2</v>
          </cell>
          <cell r="Z111">
            <v>0</v>
          </cell>
          <cell r="AA111">
            <v>158.20000000000002</v>
          </cell>
          <cell r="AB111">
            <v>10.799999999999999</v>
          </cell>
          <cell r="AC111">
            <v>0</v>
          </cell>
          <cell r="AE111">
            <v>75.2</v>
          </cell>
          <cell r="AF111">
            <v>412.5</v>
          </cell>
          <cell r="AG111">
            <v>40.1</v>
          </cell>
          <cell r="AH111">
            <v>2.2999999999999998</v>
          </cell>
          <cell r="AI111">
            <v>12.1</v>
          </cell>
          <cell r="AJ111">
            <v>76.900000000000006</v>
          </cell>
          <cell r="AK111">
            <v>49.6</v>
          </cell>
          <cell r="AL111">
            <v>0.1</v>
          </cell>
          <cell r="AM111">
            <v>6.4</v>
          </cell>
          <cell r="AO111">
            <v>16.899999999999999</v>
          </cell>
          <cell r="AP111">
            <v>1.1000000000000001</v>
          </cell>
          <cell r="AQ111">
            <v>22.599999999999998</v>
          </cell>
          <cell r="AR111">
            <v>4.3</v>
          </cell>
          <cell r="AS111">
            <v>33.1</v>
          </cell>
          <cell r="AT111">
            <v>0.3</v>
          </cell>
          <cell r="AU111">
            <v>144.4</v>
          </cell>
          <cell r="AV111">
            <v>0.7</v>
          </cell>
          <cell r="AW111">
            <v>36.200000000000003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0.1</v>
          </cell>
          <cell r="BH111">
            <v>1.8</v>
          </cell>
          <cell r="BI111">
            <v>1.9</v>
          </cell>
          <cell r="BJ111">
            <v>0</v>
          </cell>
        </row>
        <row r="112">
          <cell r="B112" t="str">
            <v>Northern</v>
          </cell>
          <cell r="D112">
            <v>137.9</v>
          </cell>
          <cell r="E112">
            <v>439</v>
          </cell>
          <cell r="F112">
            <v>170.6</v>
          </cell>
          <cell r="G112">
            <v>51</v>
          </cell>
          <cell r="H112">
            <v>61.5</v>
          </cell>
          <cell r="I112">
            <v>0.2</v>
          </cell>
          <cell r="J112">
            <v>84.7</v>
          </cell>
          <cell r="K112">
            <v>720</v>
          </cell>
          <cell r="L112">
            <v>21.5</v>
          </cell>
          <cell r="M112">
            <v>290.5</v>
          </cell>
          <cell r="N112">
            <v>8</v>
          </cell>
          <cell r="O112">
            <v>42.5</v>
          </cell>
          <cell r="P112">
            <v>9.4</v>
          </cell>
          <cell r="Q112">
            <v>0</v>
          </cell>
          <cell r="R112">
            <v>2.2999999999999998</v>
          </cell>
          <cell r="S112">
            <v>0</v>
          </cell>
          <cell r="T112">
            <v>15.3</v>
          </cell>
          <cell r="U112">
            <v>0</v>
          </cell>
          <cell r="V112">
            <v>0</v>
          </cell>
          <cell r="W112">
            <v>47.4</v>
          </cell>
          <cell r="X112">
            <v>9.8000000000000007</v>
          </cell>
          <cell r="Y112">
            <v>23.2</v>
          </cell>
          <cell r="Z112">
            <v>0</v>
          </cell>
          <cell r="AA112">
            <v>26.7</v>
          </cell>
          <cell r="AB112">
            <v>8</v>
          </cell>
          <cell r="AC112">
            <v>0.2</v>
          </cell>
          <cell r="AE112">
            <v>69.7</v>
          </cell>
          <cell r="AF112">
            <v>376.2</v>
          </cell>
          <cell r="AG112">
            <v>40.799999999999997</v>
          </cell>
          <cell r="AH112">
            <v>6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O112">
            <v>-1.4</v>
          </cell>
          <cell r="AP112">
            <v>2.2000000000000002</v>
          </cell>
          <cell r="AQ112">
            <v>86.6</v>
          </cell>
          <cell r="AR112">
            <v>25.9</v>
          </cell>
          <cell r="AS112">
            <v>684.9</v>
          </cell>
          <cell r="AT112">
            <v>1.6</v>
          </cell>
          <cell r="AU112">
            <v>0</v>
          </cell>
          <cell r="AV112">
            <v>1.7</v>
          </cell>
          <cell r="AW112">
            <v>68.7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166.9</v>
          </cell>
          <cell r="BF112">
            <v>0</v>
          </cell>
          <cell r="BG112">
            <v>0</v>
          </cell>
          <cell r="BH112">
            <v>9.6999999999999993</v>
          </cell>
          <cell r="BI112">
            <v>0.8</v>
          </cell>
          <cell r="BJ112">
            <v>5.2</v>
          </cell>
        </row>
        <row r="113">
          <cell r="B113" t="str">
            <v>Klondyke</v>
          </cell>
          <cell r="D113">
            <v>3.2</v>
          </cell>
          <cell r="E113">
            <v>0</v>
          </cell>
          <cell r="F113">
            <v>0.4</v>
          </cell>
          <cell r="G113">
            <v>0</v>
          </cell>
          <cell r="H113">
            <v>0.1</v>
          </cell>
          <cell r="I113">
            <v>0.8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0.4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1</v>
          </cell>
          <cell r="AF113">
            <v>0</v>
          </cell>
          <cell r="AG113">
            <v>0</v>
          </cell>
          <cell r="AH113">
            <v>0</v>
          </cell>
          <cell r="AI113">
            <v>3.3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O113">
            <v>0</v>
          </cell>
          <cell r="AP113">
            <v>0</v>
          </cell>
          <cell r="AQ113">
            <v>2</v>
          </cell>
          <cell r="AR113">
            <v>0</v>
          </cell>
          <cell r="AS113">
            <v>0.2</v>
          </cell>
          <cell r="AT113">
            <v>0</v>
          </cell>
          <cell r="AU113">
            <v>0</v>
          </cell>
          <cell r="AV113">
            <v>0</v>
          </cell>
          <cell r="AW113">
            <v>1.3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0.7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</row>
        <row r="114">
          <cell r="B114" t="str">
            <v>Lunar</v>
          </cell>
          <cell r="D114">
            <v>492.6</v>
          </cell>
          <cell r="E114">
            <v>1388.4</v>
          </cell>
          <cell r="F114">
            <v>387.9</v>
          </cell>
          <cell r="G114">
            <v>280.10000000000002</v>
          </cell>
          <cell r="H114">
            <v>96.1</v>
          </cell>
          <cell r="I114">
            <v>0</v>
          </cell>
          <cell r="J114">
            <v>26.6</v>
          </cell>
          <cell r="K114">
            <v>96.100000000000009</v>
          </cell>
          <cell r="L114">
            <v>78</v>
          </cell>
          <cell r="M114">
            <v>298.8</v>
          </cell>
          <cell r="N114">
            <v>97.600000000000009</v>
          </cell>
          <cell r="O114">
            <v>65.400000000000006</v>
          </cell>
          <cell r="P114">
            <v>9.9</v>
          </cell>
          <cell r="Q114">
            <v>0</v>
          </cell>
          <cell r="R114">
            <v>2.2999999999999998</v>
          </cell>
          <cell r="S114">
            <v>0</v>
          </cell>
          <cell r="T114">
            <v>0.5</v>
          </cell>
          <cell r="U114">
            <v>0</v>
          </cell>
          <cell r="V114">
            <v>0</v>
          </cell>
          <cell r="W114">
            <v>89.899999999999991</v>
          </cell>
          <cell r="X114">
            <v>31.4</v>
          </cell>
          <cell r="Y114">
            <v>73.299999999999983</v>
          </cell>
          <cell r="Z114">
            <v>0</v>
          </cell>
          <cell r="AA114">
            <v>189.10000000000002</v>
          </cell>
          <cell r="AB114">
            <v>5.4</v>
          </cell>
          <cell r="AC114">
            <v>0</v>
          </cell>
          <cell r="AE114">
            <v>40</v>
          </cell>
          <cell r="AF114">
            <v>13</v>
          </cell>
          <cell r="AG114">
            <v>53.6</v>
          </cell>
          <cell r="AH114">
            <v>15.600000000000001</v>
          </cell>
          <cell r="AI114">
            <v>0.29999999999999716</v>
          </cell>
          <cell r="AJ114">
            <v>52.1</v>
          </cell>
          <cell r="AK114">
            <v>70</v>
          </cell>
          <cell r="AL114">
            <v>0</v>
          </cell>
          <cell r="AM114">
            <v>14.6</v>
          </cell>
          <cell r="AO114">
            <v>30.5</v>
          </cell>
          <cell r="AP114">
            <v>1.2</v>
          </cell>
          <cell r="AQ114">
            <v>46</v>
          </cell>
          <cell r="AR114">
            <v>5.8</v>
          </cell>
          <cell r="AS114">
            <v>39.700000000000003</v>
          </cell>
          <cell r="AT114">
            <v>10.3</v>
          </cell>
          <cell r="AU114">
            <v>96.5</v>
          </cell>
          <cell r="AV114">
            <v>7.8</v>
          </cell>
          <cell r="AW114">
            <v>71.900000000000006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0.7</v>
          </cell>
          <cell r="BH114">
            <v>15.8</v>
          </cell>
          <cell r="BI114">
            <v>7.1000000000000005</v>
          </cell>
          <cell r="BJ114">
            <v>0</v>
          </cell>
        </row>
        <row r="115">
          <cell r="B115" t="str">
            <v>Anglo Scottish</v>
          </cell>
          <cell r="D115">
            <v>1066.3</v>
          </cell>
          <cell r="E115">
            <v>1894.4</v>
          </cell>
          <cell r="F115">
            <v>1060.4000000000001</v>
          </cell>
          <cell r="G115">
            <v>351</v>
          </cell>
          <cell r="H115">
            <v>612.5</v>
          </cell>
          <cell r="I115">
            <v>6.4999999999999991</v>
          </cell>
          <cell r="J115">
            <v>31.4</v>
          </cell>
          <cell r="K115">
            <v>2310.2999999999997</v>
          </cell>
          <cell r="L115">
            <v>143.29999999999998</v>
          </cell>
          <cell r="M115">
            <v>269.7</v>
          </cell>
          <cell r="N115">
            <v>71.7</v>
          </cell>
          <cell r="O115">
            <v>262.8</v>
          </cell>
          <cell r="P115">
            <v>26.7</v>
          </cell>
          <cell r="Q115">
            <v>0</v>
          </cell>
          <cell r="R115">
            <v>33.199999999999996</v>
          </cell>
          <cell r="S115">
            <v>0</v>
          </cell>
          <cell r="T115">
            <v>4</v>
          </cell>
          <cell r="U115">
            <v>0</v>
          </cell>
          <cell r="V115">
            <v>0</v>
          </cell>
          <cell r="W115">
            <v>248.10000000000002</v>
          </cell>
          <cell r="X115">
            <v>35.1</v>
          </cell>
          <cell r="Y115">
            <v>445.70000000000005</v>
          </cell>
          <cell r="Z115">
            <v>0</v>
          </cell>
          <cell r="AA115">
            <v>57.099999999999994</v>
          </cell>
          <cell r="AB115">
            <v>9.4</v>
          </cell>
          <cell r="AC115">
            <v>0.2</v>
          </cell>
          <cell r="AE115">
            <v>70.2</v>
          </cell>
          <cell r="AF115">
            <v>219</v>
          </cell>
          <cell r="AG115">
            <v>18.100000000000001</v>
          </cell>
          <cell r="AH115">
            <v>2.0999999999999996</v>
          </cell>
          <cell r="AI115">
            <v>1.5999999999999996</v>
          </cell>
          <cell r="AJ115">
            <v>48.199999999999996</v>
          </cell>
          <cell r="AK115">
            <v>58.600000000000009</v>
          </cell>
          <cell r="AL115">
            <v>0</v>
          </cell>
          <cell r="AM115">
            <v>2.1000000000000014</v>
          </cell>
          <cell r="AO115">
            <v>12.099999999999994</v>
          </cell>
          <cell r="AP115">
            <v>1</v>
          </cell>
          <cell r="AQ115">
            <v>58.400000000000006</v>
          </cell>
          <cell r="AR115">
            <v>0.30000000000000004</v>
          </cell>
          <cell r="AS115">
            <v>6.5</v>
          </cell>
          <cell r="AT115">
            <v>0</v>
          </cell>
          <cell r="AU115">
            <v>0</v>
          </cell>
          <cell r="AV115">
            <v>0.20000000000000018</v>
          </cell>
          <cell r="AW115">
            <v>1.2000000000000028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0.30000000000000004</v>
          </cell>
          <cell r="BH115">
            <v>17.7</v>
          </cell>
          <cell r="BI115">
            <v>9</v>
          </cell>
          <cell r="BJ115">
            <v>0.3</v>
          </cell>
        </row>
        <row r="116">
          <cell r="B116" t="str">
            <v>EEFPO</v>
          </cell>
          <cell r="D116">
            <v>2532</v>
          </cell>
          <cell r="E116">
            <v>2208.4</v>
          </cell>
          <cell r="F116">
            <v>1021.8000000000001</v>
          </cell>
          <cell r="G116">
            <v>715.5</v>
          </cell>
          <cell r="H116">
            <v>1639.1999999999998</v>
          </cell>
          <cell r="I116">
            <v>74.099999999999994</v>
          </cell>
          <cell r="J116">
            <v>133.30000000000001</v>
          </cell>
          <cell r="K116">
            <v>1229.4000000000001</v>
          </cell>
          <cell r="L116">
            <v>705.1</v>
          </cell>
          <cell r="M116">
            <v>610.9</v>
          </cell>
          <cell r="N116">
            <v>186</v>
          </cell>
          <cell r="O116">
            <v>482.2</v>
          </cell>
          <cell r="P116">
            <v>125.7</v>
          </cell>
          <cell r="Q116">
            <v>0</v>
          </cell>
          <cell r="R116">
            <v>52.6</v>
          </cell>
          <cell r="S116">
            <v>0</v>
          </cell>
          <cell r="T116">
            <v>57.6</v>
          </cell>
          <cell r="U116">
            <v>0</v>
          </cell>
          <cell r="V116">
            <v>0</v>
          </cell>
          <cell r="W116">
            <v>43.3</v>
          </cell>
          <cell r="X116">
            <v>28.6</v>
          </cell>
          <cell r="Y116">
            <v>19.300000000000011</v>
          </cell>
          <cell r="Z116">
            <v>0</v>
          </cell>
          <cell r="AA116">
            <v>127.89999999999999</v>
          </cell>
          <cell r="AB116">
            <v>14.600000000000001</v>
          </cell>
          <cell r="AC116">
            <v>0.3</v>
          </cell>
          <cell r="AE116">
            <v>91.600000000000009</v>
          </cell>
          <cell r="AF116">
            <v>61.3</v>
          </cell>
          <cell r="AG116">
            <v>70.400000000000006</v>
          </cell>
          <cell r="AH116">
            <v>6.2</v>
          </cell>
          <cell r="AI116">
            <v>19.899999999999999</v>
          </cell>
          <cell r="AJ116">
            <v>4.0999999999999996</v>
          </cell>
          <cell r="AK116">
            <v>0.9</v>
          </cell>
          <cell r="AL116">
            <v>0</v>
          </cell>
          <cell r="AM116">
            <v>0.1</v>
          </cell>
          <cell r="AO116">
            <v>1.6</v>
          </cell>
          <cell r="AP116">
            <v>17.899999999999999</v>
          </cell>
          <cell r="AQ116">
            <v>131</v>
          </cell>
          <cell r="AR116">
            <v>49.1</v>
          </cell>
          <cell r="AS116">
            <v>97</v>
          </cell>
          <cell r="AT116">
            <v>12.6</v>
          </cell>
          <cell r="AU116">
            <v>1.1000000000000001</v>
          </cell>
          <cell r="AV116">
            <v>21.3</v>
          </cell>
          <cell r="AW116">
            <v>247.5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42</v>
          </cell>
          <cell r="BF116">
            <v>0</v>
          </cell>
          <cell r="BG116">
            <v>0.4</v>
          </cell>
          <cell r="BH116">
            <v>26.5</v>
          </cell>
          <cell r="BI116">
            <v>21.5</v>
          </cell>
          <cell r="BJ116">
            <v>0</v>
          </cell>
        </row>
        <row r="117">
          <cell r="B117" t="str">
            <v>Fleetwood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B118" t="str">
            <v>FPO</v>
          </cell>
          <cell r="D118">
            <v>286.60000000000002</v>
          </cell>
          <cell r="E118">
            <v>1447.5</v>
          </cell>
          <cell r="F118">
            <v>19.600000000000001</v>
          </cell>
          <cell r="G118">
            <v>3285.8</v>
          </cell>
          <cell r="H118">
            <v>51.4</v>
          </cell>
          <cell r="I118">
            <v>4.2</v>
          </cell>
          <cell r="J118">
            <v>523.79999999999995</v>
          </cell>
          <cell r="K118">
            <v>0</v>
          </cell>
          <cell r="L118">
            <v>58</v>
          </cell>
          <cell r="M118">
            <v>19.399999999999999</v>
          </cell>
          <cell r="N118">
            <v>9</v>
          </cell>
          <cell r="O118">
            <v>13.2</v>
          </cell>
          <cell r="P118">
            <v>38.799999999999997</v>
          </cell>
          <cell r="Q118">
            <v>0</v>
          </cell>
          <cell r="R118">
            <v>0.5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44.1</v>
          </cell>
          <cell r="X118">
            <v>9.9</v>
          </cell>
          <cell r="Y118">
            <v>430.9</v>
          </cell>
          <cell r="Z118">
            <v>0</v>
          </cell>
          <cell r="AA118">
            <v>574.1</v>
          </cell>
          <cell r="AB118">
            <v>2</v>
          </cell>
          <cell r="AC118">
            <v>0</v>
          </cell>
          <cell r="AE118">
            <v>26.3</v>
          </cell>
          <cell r="AF118">
            <v>0</v>
          </cell>
          <cell r="AG118">
            <v>14.7</v>
          </cell>
          <cell r="AH118">
            <v>1.9</v>
          </cell>
          <cell r="AI118">
            <v>284</v>
          </cell>
          <cell r="AJ118">
            <v>221.1</v>
          </cell>
          <cell r="AK118">
            <v>179.8</v>
          </cell>
          <cell r="AL118">
            <v>0.6</v>
          </cell>
          <cell r="AM118">
            <v>8.8000000000000007</v>
          </cell>
          <cell r="AO118">
            <v>7.5</v>
          </cell>
          <cell r="AP118">
            <v>4.9000000000000004</v>
          </cell>
          <cell r="AQ118">
            <v>52.7</v>
          </cell>
          <cell r="AR118">
            <v>3.9</v>
          </cell>
          <cell r="AS118">
            <v>24.4</v>
          </cell>
          <cell r="AT118">
            <v>1.9</v>
          </cell>
          <cell r="AU118">
            <v>0.6</v>
          </cell>
          <cell r="AV118">
            <v>2.7</v>
          </cell>
          <cell r="AW118">
            <v>183.2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0.6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</row>
        <row r="119">
          <cell r="B119" t="str">
            <v>NIFPO</v>
          </cell>
          <cell r="D119">
            <v>157.69999999999999</v>
          </cell>
          <cell r="E119">
            <v>264.39999999999998</v>
          </cell>
          <cell r="F119">
            <v>125.6</v>
          </cell>
          <cell r="G119">
            <v>84.7</v>
          </cell>
          <cell r="H119">
            <v>349.6</v>
          </cell>
          <cell r="I119">
            <v>3</v>
          </cell>
          <cell r="J119">
            <v>78</v>
          </cell>
          <cell r="K119">
            <v>959</v>
          </cell>
          <cell r="L119">
            <v>40.599999999999994</v>
          </cell>
          <cell r="M119">
            <v>147</v>
          </cell>
          <cell r="N119">
            <v>33.4</v>
          </cell>
          <cell r="O119">
            <v>45</v>
          </cell>
          <cell r="P119">
            <v>12.5</v>
          </cell>
          <cell r="Q119">
            <v>0</v>
          </cell>
          <cell r="R119">
            <v>9.3999999999999986</v>
          </cell>
          <cell r="S119">
            <v>0</v>
          </cell>
          <cell r="T119">
            <v>0.8</v>
          </cell>
          <cell r="U119">
            <v>0</v>
          </cell>
          <cell r="V119">
            <v>0</v>
          </cell>
          <cell r="W119">
            <v>135.80000000000001</v>
          </cell>
          <cell r="X119">
            <v>26.099999999999998</v>
          </cell>
          <cell r="Y119">
            <v>56.600000000000009</v>
          </cell>
          <cell r="Z119">
            <v>0</v>
          </cell>
          <cell r="AA119">
            <v>91</v>
          </cell>
          <cell r="AB119">
            <v>10</v>
          </cell>
          <cell r="AC119">
            <v>0.8</v>
          </cell>
          <cell r="AE119">
            <v>66.3</v>
          </cell>
          <cell r="AF119">
            <v>1930.2</v>
          </cell>
          <cell r="AG119">
            <v>36.4</v>
          </cell>
          <cell r="AH119">
            <v>6.1</v>
          </cell>
          <cell r="AI119">
            <v>0</v>
          </cell>
          <cell r="AJ119">
            <v>6</v>
          </cell>
          <cell r="AK119">
            <v>1.3</v>
          </cell>
          <cell r="AL119">
            <v>0</v>
          </cell>
          <cell r="AM119">
            <v>0.19999999999999998</v>
          </cell>
          <cell r="AO119">
            <v>2.4</v>
          </cell>
          <cell r="AP119">
            <v>0.3</v>
          </cell>
          <cell r="AQ119">
            <v>19.600000000000001</v>
          </cell>
          <cell r="AR119">
            <v>2.6999999999999997</v>
          </cell>
          <cell r="AS119">
            <v>53.7</v>
          </cell>
          <cell r="AT119">
            <v>0</v>
          </cell>
          <cell r="AU119">
            <v>0</v>
          </cell>
          <cell r="AV119">
            <v>0</v>
          </cell>
          <cell r="AW119">
            <v>1.5000000000000002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0.4</v>
          </cell>
          <cell r="BF119">
            <v>0</v>
          </cell>
          <cell r="BG119">
            <v>0</v>
          </cell>
          <cell r="BH119">
            <v>5.0999999999999996</v>
          </cell>
          <cell r="BI119">
            <v>3.2</v>
          </cell>
          <cell r="BJ119">
            <v>0</v>
          </cell>
        </row>
        <row r="120">
          <cell r="B120" t="str">
            <v>ANIFPO</v>
          </cell>
          <cell r="D120">
            <v>344.6</v>
          </cell>
          <cell r="E120">
            <v>427.3</v>
          </cell>
          <cell r="F120">
            <v>242.4</v>
          </cell>
          <cell r="G120">
            <v>107.7</v>
          </cell>
          <cell r="H120">
            <v>138.30000000000001</v>
          </cell>
          <cell r="I120">
            <v>2.6</v>
          </cell>
          <cell r="J120">
            <v>193.4</v>
          </cell>
          <cell r="K120">
            <v>818.3</v>
          </cell>
          <cell r="L120">
            <v>51.7</v>
          </cell>
          <cell r="M120">
            <v>1069.5</v>
          </cell>
          <cell r="N120">
            <v>66.8</v>
          </cell>
          <cell r="O120">
            <v>127</v>
          </cell>
          <cell r="P120">
            <v>24.7</v>
          </cell>
          <cell r="Q120">
            <v>0</v>
          </cell>
          <cell r="R120">
            <v>6.7</v>
          </cell>
          <cell r="S120">
            <v>0</v>
          </cell>
          <cell r="T120">
            <v>19.100000000000001</v>
          </cell>
          <cell r="U120">
            <v>0</v>
          </cell>
          <cell r="V120">
            <v>0</v>
          </cell>
          <cell r="W120">
            <v>101.7</v>
          </cell>
          <cell r="X120">
            <v>20.9</v>
          </cell>
          <cell r="Y120">
            <v>33.299999999999997</v>
          </cell>
          <cell r="Z120">
            <v>0</v>
          </cell>
          <cell r="AA120">
            <v>77.400000000000006</v>
          </cell>
          <cell r="AB120">
            <v>11.1</v>
          </cell>
          <cell r="AC120">
            <v>0.4</v>
          </cell>
          <cell r="AE120">
            <v>440.6</v>
          </cell>
          <cell r="AF120">
            <v>449.9</v>
          </cell>
          <cell r="AG120">
            <v>258.10000000000002</v>
          </cell>
          <cell r="AH120">
            <v>17.3</v>
          </cell>
          <cell r="AI120">
            <v>5.3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0</v>
          </cell>
          <cell r="AP120">
            <v>1.4</v>
          </cell>
          <cell r="AQ120">
            <v>171.5</v>
          </cell>
          <cell r="AR120">
            <v>21.1</v>
          </cell>
          <cell r="AS120">
            <v>822.5</v>
          </cell>
          <cell r="AT120">
            <v>22.3</v>
          </cell>
          <cell r="AU120">
            <v>4.9000000000000004</v>
          </cell>
          <cell r="AV120">
            <v>10.9</v>
          </cell>
          <cell r="AW120">
            <v>147.69999999999999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269.8</v>
          </cell>
          <cell r="BF120">
            <v>0</v>
          </cell>
          <cell r="BG120">
            <v>0</v>
          </cell>
          <cell r="BH120">
            <v>2.4</v>
          </cell>
          <cell r="BI120">
            <v>0.5</v>
          </cell>
          <cell r="BJ120">
            <v>0</v>
          </cell>
        </row>
        <row r="121">
          <cell r="B121" t="str">
            <v>Cornish</v>
          </cell>
          <cell r="D121">
            <v>706.4</v>
          </cell>
          <cell r="E121">
            <v>1397.5</v>
          </cell>
          <cell r="F121">
            <v>537.9</v>
          </cell>
          <cell r="G121">
            <v>244.9</v>
          </cell>
          <cell r="H121">
            <v>1050.2</v>
          </cell>
          <cell r="I121">
            <v>2.6999999999999993</v>
          </cell>
          <cell r="J121">
            <v>290.89999999999998</v>
          </cell>
          <cell r="K121">
            <v>51.599999999999994</v>
          </cell>
          <cell r="L121">
            <v>223.5</v>
          </cell>
          <cell r="M121">
            <v>272.3</v>
          </cell>
          <cell r="N121">
            <v>74.7</v>
          </cell>
          <cell r="O121">
            <v>96.1</v>
          </cell>
          <cell r="P121">
            <v>6.6999999999999993</v>
          </cell>
          <cell r="Q121">
            <v>0</v>
          </cell>
          <cell r="R121">
            <v>13.200000000000003</v>
          </cell>
          <cell r="S121">
            <v>0</v>
          </cell>
          <cell r="T121">
            <v>14.2</v>
          </cell>
          <cell r="U121">
            <v>0</v>
          </cell>
          <cell r="V121">
            <v>0</v>
          </cell>
          <cell r="W121">
            <v>154.19999999999999</v>
          </cell>
          <cell r="X121">
            <v>34.799999999999997</v>
          </cell>
          <cell r="Y121">
            <v>176.4</v>
          </cell>
          <cell r="Z121">
            <v>0</v>
          </cell>
          <cell r="AA121">
            <v>161.6</v>
          </cell>
          <cell r="AB121">
            <v>15.8</v>
          </cell>
          <cell r="AC121">
            <v>0.4</v>
          </cell>
          <cell r="AE121">
            <v>89.7</v>
          </cell>
          <cell r="AF121">
            <v>53</v>
          </cell>
          <cell r="AG121">
            <v>44.2</v>
          </cell>
          <cell r="AH121">
            <v>6.8</v>
          </cell>
          <cell r="AI121">
            <v>4.2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0</v>
          </cell>
          <cell r="AP121">
            <v>2.2000000000000002</v>
          </cell>
          <cell r="AQ121">
            <v>136.4</v>
          </cell>
          <cell r="AR121">
            <v>3</v>
          </cell>
          <cell r="AS121">
            <v>390.7</v>
          </cell>
          <cell r="AT121">
            <v>0</v>
          </cell>
          <cell r="AU121">
            <v>0</v>
          </cell>
          <cell r="AV121">
            <v>0</v>
          </cell>
          <cell r="AW121">
            <v>6.3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2.2999999999999998</v>
          </cell>
          <cell r="BF121">
            <v>0</v>
          </cell>
          <cell r="BG121">
            <v>0.2</v>
          </cell>
          <cell r="BH121">
            <v>5.2000000000000028</v>
          </cell>
          <cell r="BI121">
            <v>9.1999999999999993</v>
          </cell>
          <cell r="BJ121">
            <v>6</v>
          </cell>
        </row>
        <row r="122">
          <cell r="B122" t="str">
            <v>South West</v>
          </cell>
          <cell r="D122">
            <v>232.1</v>
          </cell>
          <cell r="E122">
            <v>74.7</v>
          </cell>
          <cell r="F122">
            <v>51</v>
          </cell>
          <cell r="G122">
            <v>11.5</v>
          </cell>
          <cell r="H122">
            <v>323.10000000000002</v>
          </cell>
          <cell r="I122">
            <v>41.2</v>
          </cell>
          <cell r="J122">
            <v>6.2</v>
          </cell>
          <cell r="K122">
            <v>472.4</v>
          </cell>
          <cell r="L122">
            <v>19.100000000000001</v>
          </cell>
          <cell r="M122">
            <v>232.6</v>
          </cell>
          <cell r="N122">
            <v>7.3</v>
          </cell>
          <cell r="O122">
            <v>94.4</v>
          </cell>
          <cell r="P122">
            <v>35.4</v>
          </cell>
          <cell r="Q122">
            <v>0</v>
          </cell>
          <cell r="R122">
            <v>36.6</v>
          </cell>
          <cell r="S122">
            <v>0</v>
          </cell>
          <cell r="T122">
            <v>24.6</v>
          </cell>
          <cell r="U122">
            <v>0</v>
          </cell>
          <cell r="V122">
            <v>0</v>
          </cell>
          <cell r="W122">
            <v>24.2</v>
          </cell>
          <cell r="X122">
            <v>5.5</v>
          </cell>
          <cell r="Y122">
            <v>0.2</v>
          </cell>
          <cell r="Z122">
            <v>0</v>
          </cell>
          <cell r="AA122">
            <v>14.1</v>
          </cell>
          <cell r="AB122">
            <v>4.4000000000000004</v>
          </cell>
          <cell r="AC122">
            <v>3.7</v>
          </cell>
          <cell r="AE122">
            <v>31.8</v>
          </cell>
          <cell r="AF122">
            <v>66.5</v>
          </cell>
          <cell r="AG122">
            <v>43.4</v>
          </cell>
          <cell r="AH122">
            <v>2.1</v>
          </cell>
          <cell r="AI122">
            <v>0</v>
          </cell>
          <cell r="AJ122">
            <v>3.5</v>
          </cell>
          <cell r="AK122">
            <v>1.6</v>
          </cell>
          <cell r="AL122">
            <v>0</v>
          </cell>
          <cell r="AM122">
            <v>0</v>
          </cell>
          <cell r="AO122">
            <v>0.3</v>
          </cell>
          <cell r="AP122">
            <v>0</v>
          </cell>
          <cell r="AQ122">
            <v>1.8</v>
          </cell>
          <cell r="AR122">
            <v>0</v>
          </cell>
          <cell r="AS122">
            <v>245.8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0.5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</row>
        <row r="123">
          <cell r="B123" t="str">
            <v>North sea</v>
          </cell>
          <cell r="D123">
            <v>713.7</v>
          </cell>
          <cell r="E123">
            <v>63.8</v>
          </cell>
          <cell r="F123">
            <v>27.2</v>
          </cell>
          <cell r="G123">
            <v>10.6</v>
          </cell>
          <cell r="H123">
            <v>9511.7999999999993</v>
          </cell>
          <cell r="I123">
            <v>89.2</v>
          </cell>
          <cell r="J123">
            <v>24.3</v>
          </cell>
          <cell r="K123">
            <v>154.6</v>
          </cell>
          <cell r="L123">
            <v>133.1</v>
          </cell>
          <cell r="M123">
            <v>102.5</v>
          </cell>
          <cell r="N123">
            <v>8.1</v>
          </cell>
          <cell r="O123">
            <v>134.6</v>
          </cell>
          <cell r="P123">
            <v>74.3</v>
          </cell>
          <cell r="Q123">
            <v>0</v>
          </cell>
          <cell r="R123">
            <v>317.5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2.2000000000000002</v>
          </cell>
          <cell r="X123">
            <v>0.5</v>
          </cell>
          <cell r="Y123">
            <v>2.7</v>
          </cell>
          <cell r="Z123">
            <v>0</v>
          </cell>
          <cell r="AA123">
            <v>2.6</v>
          </cell>
          <cell r="AB123">
            <v>0.2</v>
          </cell>
          <cell r="AC123">
            <v>0.2</v>
          </cell>
          <cell r="AE123">
            <v>15.9</v>
          </cell>
          <cell r="AF123">
            <v>1.3</v>
          </cell>
          <cell r="AG123">
            <v>4.7</v>
          </cell>
          <cell r="AH123">
            <v>0.1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0</v>
          </cell>
          <cell r="AQ123">
            <v>5.0999999999999996</v>
          </cell>
          <cell r="AR123">
            <v>0</v>
          </cell>
          <cell r="AS123">
            <v>0.9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4.5999999999999996</v>
          </cell>
          <cell r="BI123">
            <v>2</v>
          </cell>
          <cell r="BJ123">
            <v>0</v>
          </cell>
        </row>
        <row r="124">
          <cell r="B124" t="str">
            <v>Lowestoft</v>
          </cell>
          <cell r="D124">
            <v>81.199999999999989</v>
          </cell>
          <cell r="E124">
            <v>43.1</v>
          </cell>
          <cell r="F124">
            <v>20.6</v>
          </cell>
          <cell r="G124">
            <v>7.1</v>
          </cell>
          <cell r="H124">
            <v>7834.3</v>
          </cell>
          <cell r="I124">
            <v>174.7</v>
          </cell>
          <cell r="J124">
            <v>14.7</v>
          </cell>
          <cell r="K124">
            <v>38.9</v>
          </cell>
          <cell r="L124">
            <v>314.10000000000002</v>
          </cell>
          <cell r="M124">
            <v>63.099999999999994</v>
          </cell>
          <cell r="N124">
            <v>8.4</v>
          </cell>
          <cell r="O124">
            <v>124.7</v>
          </cell>
          <cell r="P124">
            <v>18.5</v>
          </cell>
          <cell r="Q124">
            <v>0</v>
          </cell>
          <cell r="R124">
            <v>142.69999999999999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0.2</v>
          </cell>
          <cell r="X124">
            <v>0.1</v>
          </cell>
          <cell r="Y124">
            <v>2.7</v>
          </cell>
          <cell r="Z124">
            <v>0</v>
          </cell>
          <cell r="AA124">
            <v>1.3</v>
          </cell>
          <cell r="AB124">
            <v>0.2</v>
          </cell>
          <cell r="AC124">
            <v>0</v>
          </cell>
          <cell r="AE124">
            <v>0.7</v>
          </cell>
          <cell r="AF124">
            <v>0</v>
          </cell>
          <cell r="AG124">
            <v>0.3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0</v>
          </cell>
          <cell r="AP124">
            <v>0.1</v>
          </cell>
          <cell r="AQ124">
            <v>2.7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10.3</v>
          </cell>
          <cell r="BI124">
            <v>0.1</v>
          </cell>
          <cell r="BJ124">
            <v>0</v>
          </cell>
        </row>
        <row r="125">
          <cell r="B125" t="str">
            <v>Wales &amp; WC</v>
          </cell>
          <cell r="D125">
            <v>0.2</v>
          </cell>
          <cell r="E125">
            <v>0.1</v>
          </cell>
          <cell r="F125">
            <v>0.3</v>
          </cell>
          <cell r="G125">
            <v>0.2</v>
          </cell>
          <cell r="H125">
            <v>0.2</v>
          </cell>
          <cell r="I125">
            <v>0.1</v>
          </cell>
          <cell r="J125">
            <v>21</v>
          </cell>
          <cell r="K125">
            <v>3.1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13.9</v>
          </cell>
          <cell r="U125">
            <v>0</v>
          </cell>
          <cell r="V125">
            <v>0</v>
          </cell>
          <cell r="W125">
            <v>9.8000000000000007</v>
          </cell>
          <cell r="X125">
            <v>2.2000000000000002</v>
          </cell>
          <cell r="Y125">
            <v>3.9</v>
          </cell>
          <cell r="Z125">
            <v>0</v>
          </cell>
          <cell r="AA125">
            <v>34.799999999999997</v>
          </cell>
          <cell r="AB125">
            <v>7.9</v>
          </cell>
          <cell r="AC125">
            <v>0.2</v>
          </cell>
          <cell r="AE125">
            <v>79.7</v>
          </cell>
          <cell r="AF125">
            <v>57.7</v>
          </cell>
          <cell r="AG125">
            <v>88.8</v>
          </cell>
          <cell r="AH125">
            <v>21.9</v>
          </cell>
          <cell r="AI125">
            <v>0.1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O125">
            <v>0</v>
          </cell>
          <cell r="AP125">
            <v>0.9</v>
          </cell>
          <cell r="AQ125">
            <v>48.1</v>
          </cell>
          <cell r="AR125">
            <v>21.6</v>
          </cell>
          <cell r="AS125">
            <v>540.70000000000005</v>
          </cell>
          <cell r="AT125">
            <v>2.1</v>
          </cell>
          <cell r="AU125">
            <v>0</v>
          </cell>
          <cell r="AV125">
            <v>0</v>
          </cell>
          <cell r="AW125">
            <v>49.3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37.9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</row>
        <row r="126">
          <cell r="B126" t="str">
            <v>Interfish</v>
          </cell>
          <cell r="D126">
            <v>26.8</v>
          </cell>
          <cell r="E126">
            <v>13</v>
          </cell>
          <cell r="F126">
            <v>9.1</v>
          </cell>
          <cell r="G126">
            <v>6.7</v>
          </cell>
          <cell r="H126">
            <v>1317.5</v>
          </cell>
          <cell r="I126">
            <v>33</v>
          </cell>
          <cell r="J126">
            <v>2.5</v>
          </cell>
          <cell r="K126">
            <v>382</v>
          </cell>
          <cell r="L126">
            <v>0</v>
          </cell>
          <cell r="M126">
            <v>29.4</v>
          </cell>
          <cell r="N126">
            <v>2.2999999999999998</v>
          </cell>
          <cell r="O126">
            <v>7.3</v>
          </cell>
          <cell r="P126">
            <v>2.5</v>
          </cell>
          <cell r="Q126">
            <v>0</v>
          </cell>
          <cell r="R126">
            <v>25.8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4.5999999999999996</v>
          </cell>
          <cell r="X126">
            <v>1</v>
          </cell>
          <cell r="Y126">
            <v>0.1</v>
          </cell>
          <cell r="Z126">
            <v>0</v>
          </cell>
          <cell r="AA126">
            <v>2.9</v>
          </cell>
          <cell r="AB126">
            <v>0.9</v>
          </cell>
          <cell r="AC126">
            <v>1</v>
          </cell>
          <cell r="AE126">
            <v>1</v>
          </cell>
          <cell r="AF126">
            <v>58.9</v>
          </cell>
          <cell r="AG126">
            <v>0</v>
          </cell>
          <cell r="AH126">
            <v>0</v>
          </cell>
          <cell r="AI126">
            <v>0.9</v>
          </cell>
          <cell r="AJ126">
            <v>0</v>
          </cell>
          <cell r="AK126">
            <v>0.1</v>
          </cell>
          <cell r="AL126">
            <v>0</v>
          </cell>
          <cell r="AM126">
            <v>0</v>
          </cell>
          <cell r="AO126">
            <v>0.1</v>
          </cell>
          <cell r="AP126">
            <v>0</v>
          </cell>
          <cell r="AQ126">
            <v>0.3</v>
          </cell>
          <cell r="AR126">
            <v>0</v>
          </cell>
          <cell r="AS126">
            <v>3.6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</row>
        <row r="127">
          <cell r="B127" t="str">
            <v>North Atlantic FPO</v>
          </cell>
          <cell r="D127">
            <v>20.399999999999999</v>
          </cell>
          <cell r="E127">
            <v>13</v>
          </cell>
          <cell r="F127">
            <v>6.1</v>
          </cell>
          <cell r="G127">
            <v>4.3</v>
          </cell>
          <cell r="H127">
            <v>1363.6</v>
          </cell>
          <cell r="I127">
            <v>79.400000000000006</v>
          </cell>
          <cell r="J127">
            <v>2.7</v>
          </cell>
          <cell r="K127">
            <v>15.9</v>
          </cell>
          <cell r="L127">
            <v>49.1</v>
          </cell>
          <cell r="M127">
            <v>30.6</v>
          </cell>
          <cell r="N127">
            <v>1.1000000000000001</v>
          </cell>
          <cell r="O127">
            <v>33</v>
          </cell>
          <cell r="P127">
            <v>3.8</v>
          </cell>
          <cell r="Q127">
            <v>0</v>
          </cell>
          <cell r="R127">
            <v>55.8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2.7</v>
          </cell>
          <cell r="Z127">
            <v>0</v>
          </cell>
          <cell r="AA127">
            <v>1.4</v>
          </cell>
          <cell r="AB127">
            <v>0.1</v>
          </cell>
          <cell r="AC127">
            <v>0</v>
          </cell>
          <cell r="AE127">
            <v>0.6</v>
          </cell>
          <cell r="AF127">
            <v>5.4</v>
          </cell>
          <cell r="AG127">
            <v>0.2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O127">
            <v>0</v>
          </cell>
          <cell r="AP127">
            <v>0</v>
          </cell>
          <cell r="AQ127">
            <v>0.4</v>
          </cell>
          <cell r="AR127">
            <v>0</v>
          </cell>
          <cell r="AS127">
            <v>0.5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1.4</v>
          </cell>
          <cell r="BI127">
            <v>0</v>
          </cell>
          <cell r="BJ127">
            <v>0</v>
          </cell>
        </row>
        <row r="128">
          <cell r="B128" t="str">
            <v>UK sector Total</v>
          </cell>
          <cell r="D128">
            <v>16624.000000000004</v>
          </cell>
          <cell r="E128">
            <v>30194.1</v>
          </cell>
          <cell r="F128">
            <v>13599.499999999998</v>
          </cell>
          <cell r="G128">
            <v>9984.4000000000033</v>
          </cell>
          <cell r="H128">
            <v>32347</v>
          </cell>
          <cell r="I128">
            <v>605.6</v>
          </cell>
          <cell r="J128">
            <v>2067.8999999999996</v>
          </cell>
          <cell r="K128">
            <v>20905</v>
          </cell>
          <cell r="L128">
            <v>3509.8999999999992</v>
          </cell>
          <cell r="M128">
            <v>13118.3</v>
          </cell>
          <cell r="N128">
            <v>2681.4</v>
          </cell>
          <cell r="O128">
            <v>3616.7999999999997</v>
          </cell>
          <cell r="P128">
            <v>904.9</v>
          </cell>
          <cell r="Q128">
            <v>0</v>
          </cell>
          <cell r="R128">
            <v>950.09999999999991</v>
          </cell>
          <cell r="S128">
            <v>0</v>
          </cell>
          <cell r="T128">
            <v>412.90000000000009</v>
          </cell>
          <cell r="U128">
            <v>0</v>
          </cell>
          <cell r="V128">
            <v>0</v>
          </cell>
          <cell r="W128">
            <v>3879.5999999999995</v>
          </cell>
          <cell r="X128">
            <v>722.3</v>
          </cell>
          <cell r="Y128">
            <v>4137.5999999999995</v>
          </cell>
          <cell r="Z128">
            <v>0</v>
          </cell>
          <cell r="AA128">
            <v>3631</v>
          </cell>
          <cell r="AB128">
            <v>424.79999999999995</v>
          </cell>
          <cell r="AC128">
            <v>11.6</v>
          </cell>
          <cell r="AE128">
            <v>2824.7000000000003</v>
          </cell>
          <cell r="AF128">
            <v>11518.199999999999</v>
          </cell>
          <cell r="AG128">
            <v>1863.1000000000001</v>
          </cell>
          <cell r="AH128">
            <v>139.49999999999997</v>
          </cell>
          <cell r="AI128">
            <v>1071.3999999999999</v>
          </cell>
          <cell r="AJ128">
            <v>816.90000000000009</v>
          </cell>
          <cell r="AK128">
            <v>650</v>
          </cell>
          <cell r="AL128">
            <v>1</v>
          </cell>
          <cell r="AM128">
            <v>114</v>
          </cell>
          <cell r="AN128">
            <v>204</v>
          </cell>
          <cell r="AO128">
            <v>165.89999999999998</v>
          </cell>
          <cell r="AP128">
            <v>101.5</v>
          </cell>
          <cell r="AQ128">
            <v>3036.8999999999996</v>
          </cell>
          <cell r="AR128">
            <v>340.00000000000006</v>
          </cell>
          <cell r="AS128">
            <v>4249</v>
          </cell>
          <cell r="AT128">
            <v>167.8</v>
          </cell>
          <cell r="AU128">
            <v>260.7</v>
          </cell>
          <cell r="AV128">
            <v>168</v>
          </cell>
          <cell r="AW128">
            <v>2234.0000000000005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847.9</v>
          </cell>
          <cell r="BF128">
            <v>0</v>
          </cell>
          <cell r="BG128">
            <v>3.9999999999999996</v>
          </cell>
          <cell r="BH128">
            <v>268.09999999999997</v>
          </cell>
          <cell r="BI128">
            <v>107.1</v>
          </cell>
          <cell r="BJ128">
            <v>42</v>
          </cell>
        </row>
        <row r="130">
          <cell r="B130" t="str">
            <v>Non Sector - England</v>
          </cell>
          <cell r="D130">
            <v>14.7</v>
          </cell>
          <cell r="E130">
            <v>0.4</v>
          </cell>
          <cell r="F130">
            <v>1.5</v>
          </cell>
          <cell r="G130">
            <v>0.2</v>
          </cell>
          <cell r="H130">
            <v>25.1</v>
          </cell>
          <cell r="I130">
            <v>15.9</v>
          </cell>
          <cell r="J130">
            <v>0</v>
          </cell>
          <cell r="K130">
            <v>19.600000000000001</v>
          </cell>
          <cell r="L130">
            <v>0</v>
          </cell>
          <cell r="M130">
            <v>0.2</v>
          </cell>
          <cell r="N130">
            <v>0</v>
          </cell>
          <cell r="O130">
            <v>0.2</v>
          </cell>
          <cell r="P130">
            <v>14.1</v>
          </cell>
          <cell r="Q130">
            <v>0</v>
          </cell>
          <cell r="R130">
            <v>0.6</v>
          </cell>
          <cell r="S130">
            <v>0</v>
          </cell>
          <cell r="T130">
            <v>14.8</v>
          </cell>
          <cell r="U130">
            <v>0</v>
          </cell>
          <cell r="V130">
            <v>0</v>
          </cell>
          <cell r="W130">
            <v>55</v>
          </cell>
          <cell r="X130">
            <v>0.2</v>
          </cell>
          <cell r="Y130">
            <v>53.7</v>
          </cell>
          <cell r="Z130">
            <v>0</v>
          </cell>
          <cell r="AA130">
            <v>17.399999999999999</v>
          </cell>
          <cell r="AB130">
            <v>0.2</v>
          </cell>
          <cell r="AC130">
            <v>0</v>
          </cell>
          <cell r="AE130">
            <v>0.6</v>
          </cell>
          <cell r="AF130">
            <v>99.4</v>
          </cell>
          <cell r="AG130">
            <v>15.2</v>
          </cell>
          <cell r="AH130">
            <v>0.1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0</v>
          </cell>
          <cell r="AP130">
            <v>0</v>
          </cell>
          <cell r="AQ130">
            <v>4.3</v>
          </cell>
          <cell r="AR130">
            <v>0</v>
          </cell>
          <cell r="AS130">
            <v>0.8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</row>
        <row r="131">
          <cell r="B131" t="str">
            <v>Non Sector - Wales</v>
          </cell>
          <cell r="D131">
            <v>0</v>
          </cell>
          <cell r="E131">
            <v>0</v>
          </cell>
          <cell r="F131">
            <v>-0.4</v>
          </cell>
          <cell r="G131">
            <v>0</v>
          </cell>
          <cell r="H131">
            <v>0.4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6.3</v>
          </cell>
          <cell r="AG131">
            <v>0</v>
          </cell>
          <cell r="AH131">
            <v>0.1</v>
          </cell>
          <cell r="AI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0.4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</row>
        <row r="132">
          <cell r="B132" t="str">
            <v>Non Sector - Scotland</v>
          </cell>
          <cell r="D132">
            <v>3.5</v>
          </cell>
          <cell r="E132">
            <v>1</v>
          </cell>
          <cell r="F132">
            <v>1.4</v>
          </cell>
          <cell r="G132">
            <v>5.7</v>
          </cell>
          <cell r="H132">
            <v>5.4</v>
          </cell>
          <cell r="I132">
            <v>-0.2</v>
          </cell>
          <cell r="J132">
            <v>0</v>
          </cell>
          <cell r="K132">
            <v>151.5</v>
          </cell>
          <cell r="L132">
            <v>0</v>
          </cell>
          <cell r="M132">
            <v>2.4</v>
          </cell>
          <cell r="N132">
            <v>0</v>
          </cell>
          <cell r="O132">
            <v>0.9</v>
          </cell>
          <cell r="P132">
            <v>0.1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0.6</v>
          </cell>
          <cell r="X132">
            <v>0.1</v>
          </cell>
          <cell r="Y132">
            <v>0</v>
          </cell>
          <cell r="Z132">
            <v>0</v>
          </cell>
          <cell r="AA132">
            <v>0.1</v>
          </cell>
          <cell r="AB132">
            <v>0</v>
          </cell>
          <cell r="AC132">
            <v>0</v>
          </cell>
          <cell r="AE132">
            <v>0.6</v>
          </cell>
          <cell r="AF132">
            <v>539.29999999999995</v>
          </cell>
          <cell r="AG132">
            <v>1.4</v>
          </cell>
          <cell r="AH132">
            <v>0</v>
          </cell>
          <cell r="AI132">
            <v>0</v>
          </cell>
          <cell r="AP132">
            <v>0</v>
          </cell>
          <cell r="AQ132">
            <v>1.6</v>
          </cell>
          <cell r="AR132">
            <v>0</v>
          </cell>
          <cell r="AS132">
            <v>7.9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</row>
        <row r="133">
          <cell r="B133" t="str">
            <v>Non Sector - N.Ireland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0.2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0.3</v>
          </cell>
          <cell r="AF133">
            <v>22.9</v>
          </cell>
          <cell r="AG133">
            <v>0</v>
          </cell>
          <cell r="AH133">
            <v>0</v>
          </cell>
          <cell r="AI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</row>
        <row r="134">
          <cell r="B134" t="str">
            <v>Non Sector - Leased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5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</row>
        <row r="135">
          <cell r="B135" t="str">
            <v>Isle of Man</v>
          </cell>
          <cell r="D135">
            <v>0.3</v>
          </cell>
          <cell r="E135">
            <v>1.9</v>
          </cell>
          <cell r="F135">
            <v>0.4</v>
          </cell>
          <cell r="G135">
            <v>0</v>
          </cell>
          <cell r="H135">
            <v>0.5</v>
          </cell>
          <cell r="I135">
            <v>0</v>
          </cell>
          <cell r="J135">
            <v>0</v>
          </cell>
          <cell r="K135">
            <v>1.2</v>
          </cell>
          <cell r="L135">
            <v>0</v>
          </cell>
          <cell r="M135">
            <v>1.1000000000000001</v>
          </cell>
          <cell r="N135">
            <v>0</v>
          </cell>
          <cell r="O135">
            <v>0.1</v>
          </cell>
          <cell r="P135">
            <v>0.1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0.7</v>
          </cell>
          <cell r="X135">
            <v>0.2</v>
          </cell>
          <cell r="Y135">
            <v>0</v>
          </cell>
          <cell r="Z135">
            <v>0</v>
          </cell>
          <cell r="AA135">
            <v>0</v>
          </cell>
          <cell r="AB135">
            <v>0.5</v>
          </cell>
          <cell r="AC135">
            <v>0.4</v>
          </cell>
          <cell r="AE135">
            <v>1.7</v>
          </cell>
          <cell r="AF135">
            <v>19.399999999999999</v>
          </cell>
          <cell r="AG135">
            <v>0</v>
          </cell>
          <cell r="AH135">
            <v>0.1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0.5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</row>
        <row r="137">
          <cell r="B137" t="str">
            <v>Under 10m - England</v>
          </cell>
          <cell r="D137">
            <v>420.1</v>
          </cell>
          <cell r="E137">
            <v>35.099999999999994</v>
          </cell>
          <cell r="F137">
            <v>31</v>
          </cell>
          <cell r="G137">
            <v>8.8000000000000007</v>
          </cell>
          <cell r="H137">
            <v>184.1</v>
          </cell>
          <cell r="I137">
            <v>198.5</v>
          </cell>
          <cell r="J137">
            <v>1.6</v>
          </cell>
          <cell r="K137">
            <v>589.1</v>
          </cell>
          <cell r="L137">
            <v>0</v>
          </cell>
          <cell r="M137">
            <v>20.9</v>
          </cell>
          <cell r="N137">
            <v>1.1000000000000001</v>
          </cell>
          <cell r="O137">
            <v>260.3</v>
          </cell>
          <cell r="P137">
            <v>124</v>
          </cell>
          <cell r="Q137">
            <v>0</v>
          </cell>
          <cell r="R137">
            <v>41.6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12.9</v>
          </cell>
          <cell r="X137">
            <v>0</v>
          </cell>
          <cell r="Y137">
            <v>53.7</v>
          </cell>
          <cell r="Z137">
            <v>0</v>
          </cell>
          <cell r="AA137">
            <v>33.4</v>
          </cell>
          <cell r="AB137">
            <v>0.2</v>
          </cell>
          <cell r="AC137">
            <v>0</v>
          </cell>
          <cell r="AE137">
            <v>-0.6</v>
          </cell>
          <cell r="AF137">
            <v>60.4</v>
          </cell>
          <cell r="AG137">
            <v>15.2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O137">
            <v>0</v>
          </cell>
          <cell r="AP137">
            <v>0.1</v>
          </cell>
          <cell r="AQ137">
            <v>1.2999999999999998</v>
          </cell>
          <cell r="AR137">
            <v>0</v>
          </cell>
          <cell r="AS137">
            <v>37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3.9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</row>
        <row r="138">
          <cell r="B138" t="str">
            <v>Under 10m - Leased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5.2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</row>
        <row r="139">
          <cell r="B139" t="str">
            <v>Under 10m - Wales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1.3</v>
          </cell>
          <cell r="AB139">
            <v>0</v>
          </cell>
          <cell r="AC139">
            <v>0</v>
          </cell>
          <cell r="AE139">
            <v>0.3</v>
          </cell>
          <cell r="AF139">
            <v>18.899999999999999</v>
          </cell>
          <cell r="AG139">
            <v>0</v>
          </cell>
          <cell r="AH139">
            <v>0</v>
          </cell>
          <cell r="AI139">
            <v>0</v>
          </cell>
          <cell r="AP139">
            <v>0.1</v>
          </cell>
          <cell r="AQ139">
            <v>0</v>
          </cell>
          <cell r="AR139">
            <v>0</v>
          </cell>
          <cell r="AS139">
            <v>0.1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3.9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</row>
        <row r="140">
          <cell r="B140" t="str">
            <v>Under 10m - Scotland</v>
          </cell>
          <cell r="D140">
            <v>96</v>
          </cell>
          <cell r="E140">
            <v>16.2</v>
          </cell>
          <cell r="F140">
            <v>0.5</v>
          </cell>
          <cell r="G140">
            <v>14.6</v>
          </cell>
          <cell r="H140">
            <v>4.8</v>
          </cell>
          <cell r="I140">
            <v>0.1</v>
          </cell>
          <cell r="J140">
            <v>0</v>
          </cell>
          <cell r="K140">
            <v>484.6</v>
          </cell>
          <cell r="L140">
            <v>0</v>
          </cell>
          <cell r="M140">
            <v>11.2</v>
          </cell>
          <cell r="N140">
            <v>1.8</v>
          </cell>
          <cell r="O140">
            <v>0.6</v>
          </cell>
          <cell r="P140">
            <v>1.5</v>
          </cell>
          <cell r="Q140">
            <v>0</v>
          </cell>
          <cell r="R140">
            <v>0.1</v>
          </cell>
          <cell r="S140">
            <v>0</v>
          </cell>
          <cell r="T140">
            <v>-0.4</v>
          </cell>
          <cell r="U140">
            <v>0</v>
          </cell>
          <cell r="V140">
            <v>0</v>
          </cell>
          <cell r="W140">
            <v>8.6</v>
          </cell>
          <cell r="X140">
            <v>1.7</v>
          </cell>
          <cell r="Y140">
            <v>0</v>
          </cell>
          <cell r="Z140">
            <v>0</v>
          </cell>
          <cell r="AA140">
            <v>1.3</v>
          </cell>
          <cell r="AB140">
            <v>3.2</v>
          </cell>
          <cell r="AC140">
            <v>0</v>
          </cell>
          <cell r="AE140">
            <v>1.6</v>
          </cell>
          <cell r="AF140">
            <v>1288.0999999999999</v>
          </cell>
          <cell r="AG140">
            <v>5</v>
          </cell>
          <cell r="AH140">
            <v>4.8</v>
          </cell>
          <cell r="AI140">
            <v>0</v>
          </cell>
          <cell r="AP140">
            <v>0.1</v>
          </cell>
          <cell r="AQ140">
            <v>2.9</v>
          </cell>
          <cell r="AR140">
            <v>0</v>
          </cell>
          <cell r="AS140">
            <v>0.2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3.9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</row>
        <row r="141">
          <cell r="B141" t="str">
            <v>Under 10m - N.Ireland</v>
          </cell>
          <cell r="D141">
            <v>2.8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0.1</v>
          </cell>
          <cell r="J141">
            <v>0</v>
          </cell>
          <cell r="K141">
            <v>0.1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0.2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1.3</v>
          </cell>
          <cell r="X141">
            <v>0.3</v>
          </cell>
          <cell r="Y141">
            <v>0</v>
          </cell>
          <cell r="Z141">
            <v>0</v>
          </cell>
          <cell r="AA141">
            <v>1.3</v>
          </cell>
          <cell r="AB141">
            <v>1.6</v>
          </cell>
          <cell r="AC141">
            <v>0.1</v>
          </cell>
          <cell r="AE141">
            <v>3</v>
          </cell>
          <cell r="AF141">
            <v>16.5</v>
          </cell>
          <cell r="AG141">
            <v>0</v>
          </cell>
          <cell r="AH141">
            <v>0.1</v>
          </cell>
          <cell r="AI141">
            <v>0</v>
          </cell>
          <cell r="AP141">
            <v>0.1</v>
          </cell>
          <cell r="AQ141">
            <v>0</v>
          </cell>
          <cell r="AR141">
            <v>0</v>
          </cell>
          <cell r="AS141">
            <v>0.1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3.9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</row>
        <row r="143">
          <cell r="B143" t="str">
            <v>TOTAL</v>
          </cell>
          <cell r="D143">
            <v>17161.400000000001</v>
          </cell>
          <cell r="E143">
            <v>30248.7</v>
          </cell>
          <cell r="F143">
            <v>13633.899999999998</v>
          </cell>
          <cell r="G143">
            <v>10013.700000000004</v>
          </cell>
          <cell r="H143">
            <v>32567.3</v>
          </cell>
          <cell r="I143">
            <v>820</v>
          </cell>
          <cell r="J143">
            <v>2069.4999999999995</v>
          </cell>
          <cell r="K143">
            <v>22151.099999999995</v>
          </cell>
          <cell r="L143">
            <v>3509.8999999999992</v>
          </cell>
          <cell r="M143">
            <v>13154.1</v>
          </cell>
          <cell r="N143">
            <v>2684.3</v>
          </cell>
          <cell r="O143">
            <v>3878.8999999999996</v>
          </cell>
          <cell r="P143">
            <v>1055.1000000000001</v>
          </cell>
          <cell r="Q143">
            <v>0</v>
          </cell>
          <cell r="R143">
            <v>992.4</v>
          </cell>
          <cell r="S143">
            <v>0</v>
          </cell>
          <cell r="T143">
            <v>427.30000000000013</v>
          </cell>
          <cell r="U143">
            <v>45</v>
          </cell>
          <cell r="V143">
            <v>0</v>
          </cell>
          <cell r="W143">
            <v>3958.8999999999992</v>
          </cell>
          <cell r="X143">
            <v>724.80000000000007</v>
          </cell>
          <cell r="Y143">
            <v>4244.9999999999991</v>
          </cell>
          <cell r="Z143">
            <v>122</v>
          </cell>
          <cell r="AA143">
            <v>3685.8000000000006</v>
          </cell>
          <cell r="AB143">
            <v>430.49999999999994</v>
          </cell>
          <cell r="AC143">
            <v>12.1</v>
          </cell>
          <cell r="AE143">
            <v>2832.2000000000003</v>
          </cell>
          <cell r="AF143">
            <v>13589.399999999996</v>
          </cell>
          <cell r="AG143">
            <v>1899.9000000000003</v>
          </cell>
          <cell r="AH143">
            <v>144.69999999999996</v>
          </cell>
          <cell r="AI143">
            <v>1071.3999999999999</v>
          </cell>
          <cell r="AJ143">
            <v>816.90000000000009</v>
          </cell>
          <cell r="AK143">
            <v>650</v>
          </cell>
          <cell r="AL143">
            <v>1</v>
          </cell>
          <cell r="AM143">
            <v>114</v>
          </cell>
          <cell r="AO143">
            <v>165.89999999999998</v>
          </cell>
          <cell r="AP143">
            <v>101.89999999999998</v>
          </cell>
          <cell r="AQ143">
            <v>3047</v>
          </cell>
          <cell r="AR143">
            <v>340.00000000000006</v>
          </cell>
          <cell r="AS143">
            <v>4296</v>
          </cell>
          <cell r="AT143">
            <v>167.8</v>
          </cell>
          <cell r="AU143">
            <v>260.7</v>
          </cell>
          <cell r="AV143">
            <v>168</v>
          </cell>
          <cell r="AW143">
            <v>2234.0000000000005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863.49999999999989</v>
          </cell>
          <cell r="BF143">
            <v>0</v>
          </cell>
          <cell r="BG143">
            <v>3.9999999999999996</v>
          </cell>
          <cell r="BH143">
            <v>268.09999999999997</v>
          </cell>
          <cell r="BI143">
            <v>107.1</v>
          </cell>
          <cell r="BJ143">
            <v>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 - IV&amp;VI"/>
      <sheetName val="D1 - DSS"/>
      <sheetName val="D1 - Maj pel"/>
      <sheetName val="D1 - VII"/>
      <sheetName val="D1 - Min pel"/>
      <sheetName val="IV&amp;VI Combined"/>
      <sheetName val="Maj Pel Combined"/>
      <sheetName val="DSS Combined"/>
      <sheetName val="Faroes Combined"/>
      <sheetName val="Retained Mackerel allocated29_8"/>
      <sheetName val="Windfall banking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703</v>
          </cell>
        </row>
        <row r="29">
          <cell r="B29">
            <v>14.7</v>
          </cell>
          <cell r="C29">
            <v>0.4</v>
          </cell>
          <cell r="D29">
            <v>1.5</v>
          </cell>
          <cell r="E29">
            <v>0.2</v>
          </cell>
          <cell r="F29">
            <v>25.1</v>
          </cell>
          <cell r="G29">
            <v>15.9</v>
          </cell>
          <cell r="H29">
            <v>0</v>
          </cell>
          <cell r="I29">
            <v>19.600000000000001</v>
          </cell>
          <cell r="J29">
            <v>0</v>
          </cell>
          <cell r="K29">
            <v>0.2</v>
          </cell>
          <cell r="L29">
            <v>0</v>
          </cell>
          <cell r="M29">
            <v>0.2</v>
          </cell>
          <cell r="N29">
            <v>14.1</v>
          </cell>
          <cell r="O29">
            <v>0</v>
          </cell>
          <cell r="P29">
            <v>0.6</v>
          </cell>
          <cell r="Q29">
            <v>14.8</v>
          </cell>
          <cell r="R29">
            <v>0</v>
          </cell>
          <cell r="S29">
            <v>0</v>
          </cell>
          <cell r="T29">
            <v>55</v>
          </cell>
          <cell r="U29">
            <v>0.2</v>
          </cell>
          <cell r="V29">
            <v>53.7</v>
          </cell>
          <cell r="W29">
            <v>0</v>
          </cell>
          <cell r="X29">
            <v>17.399999999999999</v>
          </cell>
          <cell r="Y29">
            <v>0.2</v>
          </cell>
          <cell r="Z29">
            <v>0</v>
          </cell>
          <cell r="AA29">
            <v>99.4</v>
          </cell>
          <cell r="AB29">
            <v>0.6</v>
          </cell>
          <cell r="AC29">
            <v>15.2</v>
          </cell>
          <cell r="AD29">
            <v>0.1</v>
          </cell>
          <cell r="AE29">
            <v>0</v>
          </cell>
        </row>
        <row r="30">
          <cell r="B30">
            <v>3.3</v>
          </cell>
          <cell r="C30">
            <v>0</v>
          </cell>
          <cell r="D30">
            <v>0</v>
          </cell>
          <cell r="E30">
            <v>0</v>
          </cell>
          <cell r="F30">
            <v>0.4</v>
          </cell>
          <cell r="G30">
            <v>0.1</v>
          </cell>
          <cell r="H30">
            <v>0</v>
          </cell>
          <cell r="I30">
            <v>0.9</v>
          </cell>
          <cell r="J30">
            <v>0</v>
          </cell>
          <cell r="K30">
            <v>0.1</v>
          </cell>
          <cell r="L30">
            <v>0</v>
          </cell>
          <cell r="M30">
            <v>0.1</v>
          </cell>
          <cell r="N30">
            <v>0</v>
          </cell>
          <cell r="O30">
            <v>0</v>
          </cell>
          <cell r="P30">
            <v>0.3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6.3</v>
          </cell>
          <cell r="AB30">
            <v>0</v>
          </cell>
          <cell r="AC30">
            <v>0</v>
          </cell>
          <cell r="AD30">
            <v>0.1</v>
          </cell>
          <cell r="AE30">
            <v>0</v>
          </cell>
        </row>
        <row r="31">
          <cell r="B31">
            <v>3.5</v>
          </cell>
          <cell r="C31">
            <v>1</v>
          </cell>
          <cell r="D31">
            <v>1.4</v>
          </cell>
          <cell r="E31">
            <v>5.7</v>
          </cell>
          <cell r="F31">
            <v>5.4</v>
          </cell>
          <cell r="G31">
            <v>-0.2</v>
          </cell>
          <cell r="H31">
            <v>0</v>
          </cell>
          <cell r="I31">
            <v>151.5</v>
          </cell>
          <cell r="J31">
            <v>0</v>
          </cell>
          <cell r="K31">
            <v>2.4</v>
          </cell>
          <cell r="L31">
            <v>0</v>
          </cell>
          <cell r="M31">
            <v>0.9</v>
          </cell>
          <cell r="N31">
            <v>0.1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0.6</v>
          </cell>
          <cell r="U31">
            <v>0.1</v>
          </cell>
          <cell r="V31">
            <v>0</v>
          </cell>
          <cell r="W31">
            <v>0</v>
          </cell>
          <cell r="X31">
            <v>0.1</v>
          </cell>
          <cell r="Y31">
            <v>0</v>
          </cell>
          <cell r="Z31">
            <v>0</v>
          </cell>
          <cell r="AA31">
            <v>539.29999999999995</v>
          </cell>
          <cell r="AB31">
            <v>0.6</v>
          </cell>
          <cell r="AC31">
            <v>1.4</v>
          </cell>
          <cell r="AD31">
            <v>0</v>
          </cell>
          <cell r="A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22.9</v>
          </cell>
          <cell r="AB32">
            <v>0.3</v>
          </cell>
          <cell r="AC32">
            <v>0</v>
          </cell>
          <cell r="AD32">
            <v>0</v>
          </cell>
          <cell r="AE32">
            <v>0</v>
          </cell>
        </row>
        <row r="36">
          <cell r="B36">
            <v>504.1</v>
          </cell>
          <cell r="C36">
            <v>96.3</v>
          </cell>
          <cell r="D36">
            <v>29.9</v>
          </cell>
          <cell r="E36">
            <v>8.8000000000000007</v>
          </cell>
          <cell r="F36">
            <v>183.5</v>
          </cell>
          <cell r="G36">
            <v>128.4</v>
          </cell>
          <cell r="H36">
            <v>0.6</v>
          </cell>
          <cell r="I36">
            <v>584.1</v>
          </cell>
          <cell r="J36">
            <v>0</v>
          </cell>
          <cell r="K36">
            <v>30.7</v>
          </cell>
          <cell r="L36">
            <v>0.1</v>
          </cell>
          <cell r="M36">
            <v>260</v>
          </cell>
          <cell r="N36">
            <v>75.599999999999994</v>
          </cell>
          <cell r="O36">
            <v>0</v>
          </cell>
          <cell r="P36">
            <v>18.3</v>
          </cell>
          <cell r="Q36">
            <v>0</v>
          </cell>
          <cell r="R36">
            <v>0</v>
          </cell>
          <cell r="S36">
            <v>0</v>
          </cell>
          <cell r="T36">
            <v>12.9</v>
          </cell>
          <cell r="U36">
            <v>0</v>
          </cell>
          <cell r="V36">
            <v>53.7</v>
          </cell>
          <cell r="W36">
            <v>0</v>
          </cell>
          <cell r="X36">
            <v>33.4</v>
          </cell>
          <cell r="Y36">
            <v>0.2</v>
          </cell>
          <cell r="Z36">
            <v>0</v>
          </cell>
          <cell r="AA36">
            <v>60.4</v>
          </cell>
          <cell r="AB36">
            <v>0.1</v>
          </cell>
          <cell r="AC36">
            <v>15.2</v>
          </cell>
          <cell r="AD36">
            <v>0</v>
          </cell>
          <cell r="AE36">
            <v>0</v>
          </cell>
        </row>
        <row r="37">
          <cell r="B37">
            <v>3.7</v>
          </cell>
          <cell r="C37">
            <v>1.8</v>
          </cell>
          <cell r="D37">
            <v>0.7</v>
          </cell>
          <cell r="E37">
            <v>0</v>
          </cell>
          <cell r="F37">
            <v>0.6</v>
          </cell>
          <cell r="G37">
            <v>0.7</v>
          </cell>
          <cell r="H37">
            <v>0</v>
          </cell>
          <cell r="I37">
            <v>4.0999999999999996</v>
          </cell>
          <cell r="J37">
            <v>0</v>
          </cell>
          <cell r="K37">
            <v>0.1</v>
          </cell>
          <cell r="L37">
            <v>0</v>
          </cell>
          <cell r="M37">
            <v>0.2</v>
          </cell>
          <cell r="N37">
            <v>0.4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1.3</v>
          </cell>
          <cell r="Y37">
            <v>0</v>
          </cell>
          <cell r="Z37">
            <v>0</v>
          </cell>
          <cell r="AA37">
            <v>18.899999999999999</v>
          </cell>
          <cell r="AB37">
            <v>0.3</v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66</v>
          </cell>
          <cell r="C38">
            <v>6.2</v>
          </cell>
          <cell r="D38">
            <v>0.5</v>
          </cell>
          <cell r="E38">
            <v>14.6</v>
          </cell>
          <cell r="F38">
            <v>4.8</v>
          </cell>
          <cell r="G38">
            <v>0.1</v>
          </cell>
          <cell r="H38">
            <v>0</v>
          </cell>
          <cell r="I38">
            <v>484.6</v>
          </cell>
          <cell r="J38">
            <v>0</v>
          </cell>
          <cell r="K38">
            <v>1.2</v>
          </cell>
          <cell r="L38">
            <v>1.8</v>
          </cell>
          <cell r="M38">
            <v>0.6</v>
          </cell>
          <cell r="N38">
            <v>1.5</v>
          </cell>
          <cell r="O38">
            <v>0</v>
          </cell>
          <cell r="P38">
            <v>0.1</v>
          </cell>
          <cell r="Q38">
            <v>-0.4</v>
          </cell>
          <cell r="R38">
            <v>0</v>
          </cell>
          <cell r="S38">
            <v>0</v>
          </cell>
          <cell r="T38">
            <v>8.6</v>
          </cell>
          <cell r="U38">
            <v>1.7</v>
          </cell>
          <cell r="V38">
            <v>0</v>
          </cell>
          <cell r="W38">
            <v>0</v>
          </cell>
          <cell r="X38">
            <v>1.3</v>
          </cell>
          <cell r="Y38">
            <v>3.2</v>
          </cell>
          <cell r="Z38">
            <v>0</v>
          </cell>
          <cell r="AA38">
            <v>1288.0999999999999</v>
          </cell>
          <cell r="AB38">
            <v>1.6</v>
          </cell>
          <cell r="AC38">
            <v>5</v>
          </cell>
          <cell r="AD38">
            <v>4.8</v>
          </cell>
          <cell r="AE38">
            <v>0</v>
          </cell>
        </row>
        <row r="39">
          <cell r="B39">
            <v>2.8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0.1</v>
          </cell>
          <cell r="H39">
            <v>0</v>
          </cell>
          <cell r="I39">
            <v>0.1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1.3</v>
          </cell>
          <cell r="U39">
            <v>0.3</v>
          </cell>
          <cell r="V39">
            <v>0</v>
          </cell>
          <cell r="W39">
            <v>0</v>
          </cell>
          <cell r="X39">
            <v>1.3</v>
          </cell>
          <cell r="Y39">
            <v>1.6</v>
          </cell>
          <cell r="Z39">
            <v>0.1</v>
          </cell>
          <cell r="AA39">
            <v>16.5</v>
          </cell>
          <cell r="AB39">
            <v>3</v>
          </cell>
          <cell r="AC39">
            <v>0</v>
          </cell>
          <cell r="AD39">
            <v>0.1</v>
          </cell>
          <cell r="AE39">
            <v>0</v>
          </cell>
        </row>
      </sheetData>
      <sheetData sheetId="6">
        <row r="5">
          <cell r="N5">
            <v>0.1</v>
          </cell>
        </row>
      </sheetData>
      <sheetData sheetId="7">
        <row r="5">
          <cell r="B5">
            <v>0.4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  <sheetData sheetId="8">
        <row r="5">
          <cell r="B5">
            <v>94.3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182</v>
      </c>
      <c r="M1" s="23"/>
    </row>
    <row r="2" spans="2:24" x14ac:dyDescent="0.2">
      <c r="B2" s="25">
        <v>43187</v>
      </c>
      <c r="I2" s="26"/>
      <c r="M2" s="23"/>
      <c r="N2" s="27" t="s">
        <v>239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0</v>
      </c>
      <c r="D9" s="24">
        <v>2834.0320000000002</v>
      </c>
      <c r="E9" s="82" t="s">
        <v>42</v>
      </c>
      <c r="F9" s="83">
        <v>0</v>
      </c>
      <c r="G9" s="24">
        <v>1117.7164700021744</v>
      </c>
      <c r="H9" s="82" t="s">
        <v>42</v>
      </c>
      <c r="I9" s="83">
        <v>0</v>
      </c>
      <c r="J9" s="24">
        <v>45.673100000000005</v>
      </c>
      <c r="K9" s="83" t="s">
        <v>42</v>
      </c>
      <c r="L9" s="84"/>
      <c r="M9" s="83">
        <v>0</v>
      </c>
      <c r="N9" s="83">
        <v>3997.4215700021746</v>
      </c>
      <c r="O9" s="83" t="s">
        <v>42</v>
      </c>
      <c r="P9" s="85">
        <v>19067.400000000001</v>
      </c>
      <c r="Q9" s="24">
        <v>665.12570000000096</v>
      </c>
      <c r="R9" s="83">
        <v>3.48828733859887</v>
      </c>
      <c r="S9" s="83">
        <v>0</v>
      </c>
      <c r="T9" s="86">
        <v>20.964691410481628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0</v>
      </c>
      <c r="D10" s="24">
        <v>4445.2800000000007</v>
      </c>
      <c r="E10" s="82" t="s">
        <v>42</v>
      </c>
      <c r="F10" s="83">
        <v>0</v>
      </c>
      <c r="G10" s="24">
        <v>864.92182999098304</v>
      </c>
      <c r="H10" s="82" t="s">
        <v>42</v>
      </c>
      <c r="I10" s="83">
        <v>0</v>
      </c>
      <c r="J10" s="24">
        <v>27.320800000000002</v>
      </c>
      <c r="K10" s="83" t="s">
        <v>42</v>
      </c>
      <c r="L10" s="84"/>
      <c r="M10" s="83">
        <v>0</v>
      </c>
      <c r="N10" s="83">
        <v>5337.5226299909837</v>
      </c>
      <c r="O10" s="83" t="s">
        <v>42</v>
      </c>
      <c r="P10" s="85">
        <v>30870.400000000001</v>
      </c>
      <c r="Q10" s="24">
        <v>509.55924000110554</v>
      </c>
      <c r="R10" s="83">
        <v>1.6506402249439771</v>
      </c>
      <c r="S10" s="83">
        <v>0</v>
      </c>
      <c r="T10" s="86">
        <v>17.290098702935445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0</v>
      </c>
      <c r="D11" s="24">
        <v>2487.8439999999991</v>
      </c>
      <c r="E11" s="82" t="s">
        <v>42</v>
      </c>
      <c r="F11" s="83">
        <v>0</v>
      </c>
      <c r="G11" s="24">
        <v>447.72350000782012</v>
      </c>
      <c r="H11" s="82" t="s">
        <v>42</v>
      </c>
      <c r="I11" s="83">
        <v>0</v>
      </c>
      <c r="J11" s="24">
        <v>23.736499999999999</v>
      </c>
      <c r="K11" s="83" t="s">
        <v>42</v>
      </c>
      <c r="L11" s="84"/>
      <c r="M11" s="83">
        <v>0</v>
      </c>
      <c r="N11" s="83">
        <v>2959.304000007819</v>
      </c>
      <c r="O11" s="83" t="s">
        <v>42</v>
      </c>
      <c r="P11" s="85">
        <v>14945.6</v>
      </c>
      <c r="Q11" s="24">
        <v>335.93899999999985</v>
      </c>
      <c r="R11" s="83">
        <v>2.2477451557649064</v>
      </c>
      <c r="S11" s="83">
        <v>0</v>
      </c>
      <c r="T11" s="86">
        <v>19.800503158172429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0</v>
      </c>
      <c r="D12" s="24">
        <v>1527.7590000000002</v>
      </c>
      <c r="E12" s="82" t="s">
        <v>42</v>
      </c>
      <c r="F12" s="83">
        <v>0</v>
      </c>
      <c r="G12" s="24">
        <v>404.30770000000001</v>
      </c>
      <c r="H12" s="82" t="s">
        <v>42</v>
      </c>
      <c r="I12" s="83">
        <v>0</v>
      </c>
      <c r="J12" s="24">
        <v>705.31819999999993</v>
      </c>
      <c r="K12" s="83" t="s">
        <v>42</v>
      </c>
      <c r="L12" s="84"/>
      <c r="M12" s="83">
        <v>0</v>
      </c>
      <c r="N12" s="83">
        <v>2637.3849</v>
      </c>
      <c r="O12" s="83" t="s">
        <v>42</v>
      </c>
      <c r="P12" s="85">
        <v>10428.800000000001</v>
      </c>
      <c r="Q12" s="24">
        <v>346.24039999999968</v>
      </c>
      <c r="R12" s="83">
        <v>3.3200406566431391</v>
      </c>
      <c r="S12" s="83">
        <v>0</v>
      </c>
      <c r="T12" s="86">
        <v>25.289437902730899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0</v>
      </c>
      <c r="D13" s="24">
        <v>142.78299999999999</v>
      </c>
      <c r="E13" s="82" t="s">
        <v>42</v>
      </c>
      <c r="F13" s="83">
        <v>0</v>
      </c>
      <c r="G13" s="24">
        <v>45.037669993162162</v>
      </c>
      <c r="H13" s="82" t="s">
        <v>42</v>
      </c>
      <c r="I13" s="83">
        <v>0</v>
      </c>
      <c r="J13" s="24">
        <v>1542.7622999999999</v>
      </c>
      <c r="K13" s="83" t="s">
        <v>42</v>
      </c>
      <c r="L13" s="84"/>
      <c r="M13" s="83">
        <v>0</v>
      </c>
      <c r="N13" s="83">
        <v>1730.5829699931619</v>
      </c>
      <c r="O13" s="83" t="s">
        <v>42</v>
      </c>
      <c r="P13" s="85">
        <v>32567.299999999996</v>
      </c>
      <c r="Q13" s="24">
        <v>176.34883000068658</v>
      </c>
      <c r="R13" s="83">
        <v>0.54149048278698764</v>
      </c>
      <c r="S13" s="83">
        <v>0</v>
      </c>
      <c r="T13" s="86">
        <v>5.3138668848604649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</v>
      </c>
      <c r="D14" s="24">
        <v>2E-3</v>
      </c>
      <c r="E14" s="82" t="s">
        <v>42</v>
      </c>
      <c r="F14" s="81">
        <v>0</v>
      </c>
      <c r="G14" s="24">
        <v>3.1147</v>
      </c>
      <c r="H14" s="82" t="s">
        <v>42</v>
      </c>
      <c r="I14" s="81">
        <v>0</v>
      </c>
      <c r="J14" s="24">
        <v>87.650900000000007</v>
      </c>
      <c r="K14" s="83" t="s">
        <v>42</v>
      </c>
      <c r="L14" s="84"/>
      <c r="M14" s="83">
        <v>0</v>
      </c>
      <c r="N14" s="24">
        <v>90.767600000000002</v>
      </c>
      <c r="O14" s="83" t="s">
        <v>42</v>
      </c>
      <c r="P14" s="85">
        <v>820</v>
      </c>
      <c r="Q14" s="24">
        <v>7.4856000000000051</v>
      </c>
      <c r="R14" s="83">
        <v>0.9128780487804885</v>
      </c>
      <c r="S14" s="83">
        <v>0</v>
      </c>
      <c r="T14" s="86">
        <v>11.069219512195122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0</v>
      </c>
      <c r="D15" s="24">
        <v>397.755</v>
      </c>
      <c r="E15" s="82" t="s">
        <v>42</v>
      </c>
      <c r="F15" s="81">
        <v>0</v>
      </c>
      <c r="G15" s="24">
        <v>140.25269999999998</v>
      </c>
      <c r="H15" s="82" t="s">
        <v>42</v>
      </c>
      <c r="I15" s="81">
        <v>0</v>
      </c>
      <c r="J15" s="24">
        <v>19.209500000000002</v>
      </c>
      <c r="K15" s="83" t="s">
        <v>42</v>
      </c>
      <c r="L15" s="84"/>
      <c r="M15" s="83">
        <v>0</v>
      </c>
      <c r="N15" s="24">
        <v>557.21720000000005</v>
      </c>
      <c r="O15" s="83" t="s">
        <v>42</v>
      </c>
      <c r="P15" s="85">
        <v>2069.4999999999995</v>
      </c>
      <c r="Q15" s="24">
        <v>29.748400000000061</v>
      </c>
      <c r="R15" s="83">
        <v>1.4374679874365821</v>
      </c>
      <c r="S15" s="83">
        <v>0</v>
      </c>
      <c r="T15" s="86">
        <v>26.925208987678189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0</v>
      </c>
      <c r="D16" s="24">
        <v>931.66199999999981</v>
      </c>
      <c r="E16" s="82" t="s">
        <v>42</v>
      </c>
      <c r="F16" s="83">
        <v>0</v>
      </c>
      <c r="G16" s="24">
        <v>429.5931000061035</v>
      </c>
      <c r="H16" s="82" t="s">
        <v>42</v>
      </c>
      <c r="I16" s="83">
        <v>0</v>
      </c>
      <c r="J16" s="24">
        <v>24.567499999999995</v>
      </c>
      <c r="K16" s="83" t="s">
        <v>42</v>
      </c>
      <c r="L16" s="84"/>
      <c r="M16" s="83">
        <v>0</v>
      </c>
      <c r="N16" s="83">
        <v>1385.8226000061031</v>
      </c>
      <c r="O16" s="83" t="s">
        <v>42</v>
      </c>
      <c r="P16" s="85">
        <v>22151.1</v>
      </c>
      <c r="Q16" s="24">
        <v>83.624900000000025</v>
      </c>
      <c r="R16" s="83">
        <v>0.37752030373209472</v>
      </c>
      <c r="S16" s="83">
        <v>0</v>
      </c>
      <c r="T16" s="86">
        <v>6.2562247473312986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0</v>
      </c>
      <c r="D17" s="24">
        <v>94.725999999999999</v>
      </c>
      <c r="E17" s="82" t="s">
        <v>42</v>
      </c>
      <c r="F17" s="83">
        <v>0</v>
      </c>
      <c r="G17" s="24">
        <v>48.670699999999997</v>
      </c>
      <c r="H17" s="82" t="s">
        <v>42</v>
      </c>
      <c r="I17" s="83">
        <v>0</v>
      </c>
      <c r="J17" s="24">
        <v>0.27</v>
      </c>
      <c r="K17" s="83" t="s">
        <v>42</v>
      </c>
      <c r="L17" s="84"/>
      <c r="M17" s="83">
        <v>0</v>
      </c>
      <c r="N17" s="83">
        <v>143.66670000000002</v>
      </c>
      <c r="O17" s="83" t="s">
        <v>42</v>
      </c>
      <c r="P17" s="85">
        <v>3509.8999999999992</v>
      </c>
      <c r="Q17" s="24">
        <v>2.7463999999999942</v>
      </c>
      <c r="R17" s="83">
        <v>7.8247243511210998E-2</v>
      </c>
      <c r="S17" s="83">
        <v>0</v>
      </c>
      <c r="T17" s="86">
        <v>4.093184991025387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0</v>
      </c>
      <c r="D18" s="24">
        <v>1962.6660000000004</v>
      </c>
      <c r="E18" s="82" t="s">
        <v>42</v>
      </c>
      <c r="F18" s="83">
        <v>0</v>
      </c>
      <c r="G18" s="24">
        <v>98.319030018520365</v>
      </c>
      <c r="H18" s="82" t="s">
        <v>42</v>
      </c>
      <c r="I18" s="83">
        <v>0</v>
      </c>
      <c r="J18" s="24">
        <v>6.1544000000000008</v>
      </c>
      <c r="K18" s="83" t="s">
        <v>42</v>
      </c>
      <c r="L18" s="84"/>
      <c r="M18" s="83">
        <v>0</v>
      </c>
      <c r="N18" s="83">
        <v>2067.1394300185207</v>
      </c>
      <c r="O18" s="83" t="s">
        <v>42</v>
      </c>
      <c r="P18" s="85">
        <v>13154.099999999999</v>
      </c>
      <c r="Q18" s="24">
        <v>155.02256999855081</v>
      </c>
      <c r="R18" s="83">
        <v>1.1785114146809803</v>
      </c>
      <c r="S18" s="83">
        <v>0</v>
      </c>
      <c r="T18" s="86">
        <v>15.714791814099947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0</v>
      </c>
      <c r="D19" s="24">
        <v>226.48300000000003</v>
      </c>
      <c r="E19" s="82" t="s">
        <v>42</v>
      </c>
      <c r="F19" s="83">
        <v>0</v>
      </c>
      <c r="G19" s="24">
        <v>15.924100000000001</v>
      </c>
      <c r="H19" s="82" t="s">
        <v>42</v>
      </c>
      <c r="I19" s="83">
        <v>0</v>
      </c>
      <c r="J19" s="24">
        <v>3.49</v>
      </c>
      <c r="K19" s="83" t="s">
        <v>42</v>
      </c>
      <c r="L19" s="84"/>
      <c r="M19" s="83">
        <v>0</v>
      </c>
      <c r="N19" s="83">
        <v>245.89710000000005</v>
      </c>
      <c r="O19" s="83" t="s">
        <v>42</v>
      </c>
      <c r="P19" s="85">
        <v>2684.3</v>
      </c>
      <c r="Q19" s="24">
        <v>33.479700000000037</v>
      </c>
      <c r="R19" s="83">
        <v>1.2472413664642563</v>
      </c>
      <c r="S19" s="83">
        <v>0</v>
      </c>
      <c r="T19" s="86">
        <v>9.1605670007078217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0</v>
      </c>
      <c r="D20" s="24">
        <v>319.17399999999998</v>
      </c>
      <c r="E20" s="82" t="s">
        <v>42</v>
      </c>
      <c r="F20" s="83">
        <v>0</v>
      </c>
      <c r="G20" s="24">
        <v>18.389909999227523</v>
      </c>
      <c r="H20" s="82" t="s">
        <v>42</v>
      </c>
      <c r="I20" s="83">
        <v>0</v>
      </c>
      <c r="J20" s="24">
        <v>23.250900000000001</v>
      </c>
      <c r="K20" s="83" t="s">
        <v>42</v>
      </c>
      <c r="L20" s="84"/>
      <c r="M20" s="83">
        <v>0</v>
      </c>
      <c r="N20" s="83">
        <v>360.81480999922752</v>
      </c>
      <c r="O20" s="83" t="s">
        <v>42</v>
      </c>
      <c r="P20" s="85">
        <v>3878.8999999999996</v>
      </c>
      <c r="Q20" s="24">
        <v>35.591990000152521</v>
      </c>
      <c r="R20" s="83">
        <v>0.91757946840992344</v>
      </c>
      <c r="S20" s="83">
        <v>0</v>
      </c>
      <c r="T20" s="86">
        <v>9.301987934703849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0</v>
      </c>
      <c r="D21" s="24">
        <v>80.349000000000004</v>
      </c>
      <c r="E21" s="82" t="s">
        <v>42</v>
      </c>
      <c r="F21" s="83">
        <v>0</v>
      </c>
      <c r="G21" s="24">
        <v>64.628700000762947</v>
      </c>
      <c r="H21" s="82" t="s">
        <v>42</v>
      </c>
      <c r="I21" s="83">
        <v>0</v>
      </c>
      <c r="J21" s="24">
        <v>8.1636000000000006</v>
      </c>
      <c r="K21" s="83" t="s">
        <v>42</v>
      </c>
      <c r="L21" s="84"/>
      <c r="M21" s="83">
        <v>0</v>
      </c>
      <c r="N21" s="83">
        <v>153.14130000076295</v>
      </c>
      <c r="O21" s="83" t="s">
        <v>42</v>
      </c>
      <c r="P21" s="85">
        <v>1055.0999999999999</v>
      </c>
      <c r="Q21" s="24">
        <v>12.684400000000068</v>
      </c>
      <c r="R21" s="83">
        <v>1.202198843711503</v>
      </c>
      <c r="S21" s="83">
        <v>0</v>
      </c>
      <c r="T21" s="86">
        <v>14.514387261943225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2.6050000000000004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20.481000000000002</v>
      </c>
      <c r="K22" s="83" t="s">
        <v>42</v>
      </c>
      <c r="L22" s="84"/>
      <c r="M22" s="83">
        <v>0</v>
      </c>
      <c r="N22" s="83">
        <v>23.086000000000002</v>
      </c>
      <c r="O22" s="83" t="s">
        <v>42</v>
      </c>
      <c r="P22" s="85">
        <v>0</v>
      </c>
      <c r="Q22" s="24">
        <v>5.3690000000000033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0</v>
      </c>
      <c r="D23" s="24">
        <v>5.4180000000000001</v>
      </c>
      <c r="E23" s="82" t="s">
        <v>42</v>
      </c>
      <c r="F23" s="83">
        <v>0</v>
      </c>
      <c r="G23" s="24">
        <v>3.7980799976587298</v>
      </c>
      <c r="H23" s="82" t="s">
        <v>42</v>
      </c>
      <c r="I23" s="83">
        <v>0</v>
      </c>
      <c r="J23" s="24">
        <v>58.286099999999998</v>
      </c>
      <c r="K23" s="83" t="s">
        <v>42</v>
      </c>
      <c r="L23" s="84"/>
      <c r="M23" s="83">
        <v>0</v>
      </c>
      <c r="N23" s="83">
        <v>67.502179997658729</v>
      </c>
      <c r="O23" s="83" t="s">
        <v>42</v>
      </c>
      <c r="P23" s="85">
        <v>992.39999999999986</v>
      </c>
      <c r="Q23" s="24">
        <v>5.5493999999999986</v>
      </c>
      <c r="R23" s="83">
        <v>0.55918984280532036</v>
      </c>
      <c r="S23" s="83">
        <v>0</v>
      </c>
      <c r="T23" s="86">
        <v>6.8019125350321179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1.7399999999999999E-2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1.7399999999999999E-2</v>
      </c>
      <c r="O25" s="83" t="s">
        <v>42</v>
      </c>
      <c r="P25" s="85">
        <v>427.30000000000013</v>
      </c>
      <c r="Q25" s="24">
        <v>0</v>
      </c>
      <c r="R25" s="83">
        <v>0</v>
      </c>
      <c r="S25" s="83">
        <v>0</v>
      </c>
      <c r="T25" s="86">
        <v>4.072080505499647E-3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0</v>
      </c>
      <c r="D28" s="24">
        <v>6.2549999999999999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6.2549999999999999</v>
      </c>
      <c r="O28" s="83" t="s">
        <v>42</v>
      </c>
      <c r="P28" s="85">
        <v>45</v>
      </c>
      <c r="Q28" s="24">
        <v>1.5249999999999995</v>
      </c>
      <c r="R28" s="83">
        <v>3.388888888888888</v>
      </c>
      <c r="S28" s="83">
        <v>0</v>
      </c>
      <c r="T28" s="86">
        <v>13.899999999999999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0</v>
      </c>
      <c r="D29" s="24">
        <v>50.554000000000009</v>
      </c>
      <c r="E29" s="82" t="s">
        <v>42</v>
      </c>
      <c r="F29" s="83">
        <v>0</v>
      </c>
      <c r="G29" s="24">
        <v>8.9938000000000002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59.547800000000009</v>
      </c>
      <c r="O29" s="83" t="s">
        <v>42</v>
      </c>
      <c r="P29" s="85">
        <v>0</v>
      </c>
      <c r="Q29" s="24">
        <v>14.444200000000009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0</v>
      </c>
      <c r="D30" s="24">
        <v>297.94499999999999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297.94499999999999</v>
      </c>
      <c r="O30" s="83" t="s">
        <v>42</v>
      </c>
      <c r="P30" s="85">
        <v>4245</v>
      </c>
      <c r="Q30" s="24">
        <v>150.047</v>
      </c>
      <c r="R30" s="83">
        <v>3.5346760895170788</v>
      </c>
      <c r="S30" s="83">
        <v>0</v>
      </c>
      <c r="T30" s="86">
        <v>7.0187279151943462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0</v>
      </c>
      <c r="D31" s="24">
        <v>663.13200000000006</v>
      </c>
      <c r="E31" s="82" t="s">
        <v>42</v>
      </c>
      <c r="F31" s="83">
        <v>0</v>
      </c>
      <c r="G31" s="24">
        <v>14.8706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678.00260000000003</v>
      </c>
      <c r="O31" s="83" t="s">
        <v>42</v>
      </c>
      <c r="P31" s="85">
        <v>3958.8999999999992</v>
      </c>
      <c r="Q31" s="24">
        <v>71.402000000000015</v>
      </c>
      <c r="R31" s="83">
        <v>1.8035818030260937</v>
      </c>
      <c r="S31" s="83">
        <v>0</v>
      </c>
      <c r="T31" s="86">
        <v>17.126035009724927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0</v>
      </c>
      <c r="D32" s="24">
        <v>37.93</v>
      </c>
      <c r="E32" s="82" t="s">
        <v>42</v>
      </c>
      <c r="F32" s="83">
        <v>0</v>
      </c>
      <c r="G32" s="24">
        <v>1.3211999999999999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39.251199999999997</v>
      </c>
      <c r="O32" s="83" t="s">
        <v>42</v>
      </c>
      <c r="P32" s="85">
        <v>122</v>
      </c>
      <c r="Q32" s="24">
        <v>6.8530000000000015</v>
      </c>
      <c r="R32" s="83">
        <v>5.6172131147540991</v>
      </c>
      <c r="S32" s="83">
        <v>0</v>
      </c>
      <c r="T32" s="86">
        <v>32.173114754098357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0</v>
      </c>
      <c r="D33" s="24">
        <v>939.37000000000012</v>
      </c>
      <c r="E33" s="82" t="s">
        <v>42</v>
      </c>
      <c r="F33" s="83">
        <v>0</v>
      </c>
      <c r="G33" s="24">
        <v>54.020199999999996</v>
      </c>
      <c r="H33" s="82" t="s">
        <v>42</v>
      </c>
      <c r="I33" s="83">
        <v>0</v>
      </c>
      <c r="J33" s="24">
        <v>0.65469999999999995</v>
      </c>
      <c r="K33" s="83" t="s">
        <v>42</v>
      </c>
      <c r="L33" s="84"/>
      <c r="M33" s="83">
        <v>0</v>
      </c>
      <c r="N33" s="83">
        <v>994.04490000000021</v>
      </c>
      <c r="O33" s="83" t="s">
        <v>42</v>
      </c>
      <c r="P33" s="85">
        <v>3685.8</v>
      </c>
      <c r="Q33" s="24">
        <v>111.02480000000025</v>
      </c>
      <c r="R33" s="83">
        <v>3.0122307233165189</v>
      </c>
      <c r="S33" s="83">
        <v>0</v>
      </c>
      <c r="T33" s="86">
        <v>26.969583265505459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0</v>
      </c>
      <c r="D34" s="24">
        <v>8.463000000000001</v>
      </c>
      <c r="E34" s="82" t="s">
        <v>42</v>
      </c>
      <c r="F34" s="83">
        <v>0</v>
      </c>
      <c r="G34" s="24">
        <v>0.94890000000000008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9.411900000000001</v>
      </c>
      <c r="O34" s="83" t="s">
        <v>42</v>
      </c>
      <c r="P34" s="85">
        <v>430.49999999999994</v>
      </c>
      <c r="Q34" s="24">
        <v>2.0892000000000026</v>
      </c>
      <c r="R34" s="83">
        <v>0.48529616724738744</v>
      </c>
      <c r="S34" s="83">
        <v>0</v>
      </c>
      <c r="T34" s="86">
        <v>2.1862717770034847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</v>
      </c>
      <c r="D35" s="24">
        <v>1.9E-2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1.9E-2</v>
      </c>
      <c r="O35" s="83" t="s">
        <v>42</v>
      </c>
      <c r="P35" s="85">
        <v>12.1</v>
      </c>
      <c r="Q35" s="24">
        <v>0</v>
      </c>
      <c r="R35" s="83">
        <v>0</v>
      </c>
      <c r="S35" s="83">
        <v>0</v>
      </c>
      <c r="T35" s="86">
        <v>0.15702479338842976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0</v>
      </c>
      <c r="D37" s="24">
        <v>766.47399999999982</v>
      </c>
      <c r="E37" s="82" t="s">
        <v>42</v>
      </c>
      <c r="F37" s="83">
        <v>0</v>
      </c>
      <c r="G37" s="24">
        <v>14.966700001525879</v>
      </c>
      <c r="H37" s="82" t="s">
        <v>42</v>
      </c>
      <c r="I37" s="83">
        <v>0</v>
      </c>
      <c r="J37" s="24">
        <v>137.52510000000001</v>
      </c>
      <c r="K37" s="83" t="s">
        <v>42</v>
      </c>
      <c r="L37" s="84"/>
      <c r="M37" s="83">
        <v>0</v>
      </c>
      <c r="N37" s="83">
        <v>918.96580000152562</v>
      </c>
      <c r="O37" s="83" t="s">
        <v>42</v>
      </c>
      <c r="P37" s="85">
        <v>2832.2000000000003</v>
      </c>
      <c r="Q37" s="24">
        <v>301.42739999999981</v>
      </c>
      <c r="R37" s="83">
        <v>10.642871266153513</v>
      </c>
      <c r="S37" s="83">
        <v>0</v>
      </c>
      <c r="T37" s="86">
        <v>32.44706588523146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0</v>
      </c>
      <c r="D38" s="24">
        <v>814.12900000000002</v>
      </c>
      <c r="E38" s="82" t="s">
        <v>42</v>
      </c>
      <c r="F38" s="83">
        <v>0</v>
      </c>
      <c r="G38" s="24">
        <v>31.392899999999997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845.52189999999996</v>
      </c>
      <c r="O38" s="83" t="s">
        <v>42</v>
      </c>
      <c r="P38" s="85">
        <v>13589.399999999998</v>
      </c>
      <c r="Q38" s="24">
        <v>131.91499999999985</v>
      </c>
      <c r="R38" s="83">
        <v>0.97071982574653681</v>
      </c>
      <c r="S38" s="83">
        <v>0</v>
      </c>
      <c r="T38" s="86">
        <v>6.2219222335055271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0</v>
      </c>
      <c r="D39" s="24">
        <v>242.22300000000001</v>
      </c>
      <c r="E39" s="82" t="s">
        <v>42</v>
      </c>
      <c r="F39" s="83">
        <v>0</v>
      </c>
      <c r="G39" s="24">
        <v>9.2386999999999997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251.46170000000001</v>
      </c>
      <c r="O39" s="83" t="s">
        <v>42</v>
      </c>
      <c r="P39" s="85">
        <v>1899.9000000000003</v>
      </c>
      <c r="Q39" s="24">
        <v>39.053200000000004</v>
      </c>
      <c r="R39" s="83">
        <v>2.0555397652508027</v>
      </c>
      <c r="S39" s="83">
        <v>0</v>
      </c>
      <c r="T39" s="86">
        <v>13.235522922259063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0</v>
      </c>
      <c r="D40" s="96">
        <v>6.7909999999999995</v>
      </c>
      <c r="E40" s="82" t="s">
        <v>42</v>
      </c>
      <c r="F40" s="83">
        <v>0</v>
      </c>
      <c r="G40" s="24">
        <v>1.8159000000000001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8.6068999999999996</v>
      </c>
      <c r="O40" s="83" t="s">
        <v>42</v>
      </c>
      <c r="P40" s="85">
        <v>144.69999999999996</v>
      </c>
      <c r="Q40" s="24">
        <v>1.7907999999999999</v>
      </c>
      <c r="R40" s="83">
        <v>1.2375950241879754</v>
      </c>
      <c r="S40" s="83">
        <v>0</v>
      </c>
      <c r="T40" s="86">
        <v>5.9480995162404984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1071.3999999999999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5.5785999999999998</v>
      </c>
      <c r="H42" s="82" t="s">
        <v>42</v>
      </c>
      <c r="I42" s="83" t="s">
        <v>42</v>
      </c>
      <c r="J42" s="96">
        <v>4.19E-2</v>
      </c>
      <c r="K42" s="83" t="s">
        <v>42</v>
      </c>
      <c r="L42" s="84"/>
      <c r="M42" s="83" t="s">
        <v>42</v>
      </c>
      <c r="N42" s="83">
        <v>5.6204999999999998</v>
      </c>
      <c r="O42" s="83" t="s">
        <v>42</v>
      </c>
      <c r="P42" s="85">
        <v>0</v>
      </c>
      <c r="Q42" s="24">
        <v>0.51360000000000028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183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184</v>
      </c>
      <c r="M56" s="23"/>
    </row>
    <row r="57" spans="1:29" x14ac:dyDescent="0.2">
      <c r="B57" s="25">
        <v>43187</v>
      </c>
      <c r="I57" s="26"/>
      <c r="M57" s="23"/>
      <c r="N57" s="27" t="s">
        <v>239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0</v>
      </c>
      <c r="D65" s="99">
        <v>0.108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0.108</v>
      </c>
      <c r="O65" s="82" t="s">
        <v>42</v>
      </c>
      <c r="P65" s="85">
        <v>3.9999999999999996</v>
      </c>
      <c r="Q65" s="113">
        <v>0</v>
      </c>
      <c r="R65" s="114">
        <v>0</v>
      </c>
      <c r="S65" s="83">
        <v>0</v>
      </c>
      <c r="T65" s="86">
        <v>2.7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0</v>
      </c>
      <c r="D66" s="99">
        <v>4.5340000000000007</v>
      </c>
      <c r="E66" s="82" t="s">
        <v>42</v>
      </c>
      <c r="F66" s="81">
        <v>0</v>
      </c>
      <c r="G66" s="99">
        <v>1.0989</v>
      </c>
      <c r="H66" s="98" t="s">
        <v>42</v>
      </c>
      <c r="I66" s="81">
        <v>0</v>
      </c>
      <c r="J66" s="99">
        <v>0.372</v>
      </c>
      <c r="K66" s="83" t="s">
        <v>42</v>
      </c>
      <c r="L66" s="84"/>
      <c r="M66" s="98">
        <v>0</v>
      </c>
      <c r="N66" s="98">
        <v>6.004900000000001</v>
      </c>
      <c r="O66" s="82" t="s">
        <v>42</v>
      </c>
      <c r="P66" s="85">
        <v>268.09999999999997</v>
      </c>
      <c r="Q66" s="113">
        <v>-4.6399999999999331E-2</v>
      </c>
      <c r="R66" s="114">
        <v>-1.730697500932463E-2</v>
      </c>
      <c r="S66" s="83">
        <v>0</v>
      </c>
      <c r="T66" s="86">
        <v>2.2397985826184263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0</v>
      </c>
      <c r="D67" s="99">
        <v>1.9080000000000001</v>
      </c>
      <c r="E67" s="82" t="s">
        <v>42</v>
      </c>
      <c r="F67" s="81">
        <v>0</v>
      </c>
      <c r="G67" s="99">
        <v>2.4874000000000001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4.3954000000000004</v>
      </c>
      <c r="O67" s="82" t="s">
        <v>42</v>
      </c>
      <c r="P67" s="85">
        <v>107.1</v>
      </c>
      <c r="Q67" s="113">
        <v>0.59600000000000053</v>
      </c>
      <c r="R67" s="114">
        <v>0.55648926237161589</v>
      </c>
      <c r="S67" s="83">
        <v>0</v>
      </c>
      <c r="T67" s="86">
        <v>4.1040149393090575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42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16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6" customWidth="1"/>
    <col min="21" max="16384" width="10.28515625" style="130"/>
  </cols>
  <sheetData>
    <row r="1" spans="1:17" s="130" customFormat="1" ht="10.7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7" customHeight="1" x14ac:dyDescent="0.2">
      <c r="A2" s="122"/>
      <c r="B2" s="131" t="s">
        <v>240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7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7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43166</v>
      </c>
      <c r="L6" s="151">
        <v>43173</v>
      </c>
      <c r="M6" s="151">
        <v>43180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158" t="s">
        <v>163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  <c r="Q8" s="145"/>
    </row>
    <row r="9" spans="1:17" s="130" customFormat="1" ht="10.7" customHeight="1" x14ac:dyDescent="0.2">
      <c r="A9" s="122"/>
      <c r="B9" s="161" t="s">
        <v>80</v>
      </c>
      <c r="C9" s="162">
        <v>3266.8</v>
      </c>
      <c r="D9" s="163">
        <v>3180.5</v>
      </c>
      <c r="E9" s="163">
        <v>-38.300000000000182</v>
      </c>
      <c r="F9" s="163">
        <v>-86.300000000000182</v>
      </c>
      <c r="G9" s="164">
        <v>3180.5</v>
      </c>
      <c r="H9" s="163">
        <v>869.66901000671385</v>
      </c>
      <c r="I9" s="165">
        <v>27.343782738774213</v>
      </c>
      <c r="J9" s="164">
        <v>2310.830989993286</v>
      </c>
      <c r="K9" s="163">
        <v>68.97180000000003</v>
      </c>
      <c r="L9" s="163">
        <v>25.380999999999972</v>
      </c>
      <c r="M9" s="163">
        <v>46.923299999999927</v>
      </c>
      <c r="N9" s="163">
        <v>100.26110000000006</v>
      </c>
      <c r="O9" s="163">
        <v>3.1523691243515186</v>
      </c>
      <c r="P9" s="163">
        <v>60.384299999999996</v>
      </c>
      <c r="Q9" s="146">
        <v>36.268738562727172</v>
      </c>
    </row>
    <row r="10" spans="1:17" s="130" customFormat="1" ht="10.7" customHeight="1" x14ac:dyDescent="0.2">
      <c r="A10" s="122"/>
      <c r="B10" s="161" t="s">
        <v>81</v>
      </c>
      <c r="C10" s="162">
        <v>1055.4000000000001</v>
      </c>
      <c r="D10" s="163">
        <v>1181.7</v>
      </c>
      <c r="E10" s="163">
        <v>122</v>
      </c>
      <c r="F10" s="163">
        <v>126.29999999999995</v>
      </c>
      <c r="G10" s="164">
        <v>1181.7</v>
      </c>
      <c r="H10" s="163">
        <v>186.6808</v>
      </c>
      <c r="I10" s="165">
        <v>15.797647457053399</v>
      </c>
      <c r="J10" s="164">
        <v>995.01920000000007</v>
      </c>
      <c r="K10" s="163">
        <v>0.9830999999999932</v>
      </c>
      <c r="L10" s="163">
        <v>16.576200000000014</v>
      </c>
      <c r="M10" s="163">
        <v>23.2654</v>
      </c>
      <c r="N10" s="163">
        <v>35.061000000000007</v>
      </c>
      <c r="O10" s="163">
        <v>2.9669966996699673</v>
      </c>
      <c r="P10" s="163">
        <v>18.971425000000004</v>
      </c>
      <c r="Q10" s="146" t="s">
        <v>186</v>
      </c>
    </row>
    <row r="11" spans="1:17" s="130" customFormat="1" ht="10.7" customHeight="1" x14ac:dyDescent="0.2">
      <c r="A11" s="122"/>
      <c r="B11" s="161" t="s">
        <v>82</v>
      </c>
      <c r="C11" s="162">
        <v>1786.2</v>
      </c>
      <c r="D11" s="163">
        <v>1937.5</v>
      </c>
      <c r="E11" s="163">
        <v>86</v>
      </c>
      <c r="F11" s="163">
        <v>151.29999999999995</v>
      </c>
      <c r="G11" s="164">
        <v>1937.5</v>
      </c>
      <c r="H11" s="163">
        <v>548.851</v>
      </c>
      <c r="I11" s="165">
        <v>28.327793548387096</v>
      </c>
      <c r="J11" s="164">
        <v>1388.6489999999999</v>
      </c>
      <c r="K11" s="163">
        <v>26.175999999999988</v>
      </c>
      <c r="L11" s="163">
        <v>36.951000000000022</v>
      </c>
      <c r="M11" s="163">
        <v>63.863999999999976</v>
      </c>
      <c r="N11" s="163">
        <v>72.25</v>
      </c>
      <c r="O11" s="163">
        <v>3.7290322580645165</v>
      </c>
      <c r="P11" s="163">
        <v>49.810249999999996</v>
      </c>
      <c r="Q11" s="146">
        <v>25.878779969986098</v>
      </c>
    </row>
    <row r="12" spans="1:17" s="130" customFormat="1" ht="10.7" customHeight="1" x14ac:dyDescent="0.2">
      <c r="A12" s="122"/>
      <c r="B12" s="161" t="s">
        <v>83</v>
      </c>
      <c r="C12" s="162">
        <v>3063.2</v>
      </c>
      <c r="D12" s="163">
        <v>3142.2999999999997</v>
      </c>
      <c r="E12" s="163">
        <v>79.099999999999909</v>
      </c>
      <c r="F12" s="163">
        <v>79.099999999999909</v>
      </c>
      <c r="G12" s="164">
        <v>3142.2999999999997</v>
      </c>
      <c r="H12" s="163">
        <v>745.19899999999996</v>
      </c>
      <c r="I12" s="165">
        <v>23.71508130986857</v>
      </c>
      <c r="J12" s="164">
        <v>2397.1009999999997</v>
      </c>
      <c r="K12" s="163">
        <v>42.640000000000043</v>
      </c>
      <c r="L12" s="163">
        <v>44.447999999999979</v>
      </c>
      <c r="M12" s="163">
        <v>64.430999999999926</v>
      </c>
      <c r="N12" s="163">
        <v>95.177999999999997</v>
      </c>
      <c r="O12" s="163">
        <v>3.0289278553925469</v>
      </c>
      <c r="P12" s="163">
        <v>61.674249999999986</v>
      </c>
      <c r="Q12" s="146">
        <v>36.867128501765329</v>
      </c>
    </row>
    <row r="13" spans="1:17" s="130" customFormat="1" ht="10.7" customHeight="1" x14ac:dyDescent="0.2">
      <c r="A13" s="122"/>
      <c r="B13" s="161" t="s">
        <v>84</v>
      </c>
      <c r="C13" s="162">
        <v>193.7</v>
      </c>
      <c r="D13" s="163">
        <v>193.7</v>
      </c>
      <c r="E13" s="163">
        <v>0</v>
      </c>
      <c r="F13" s="163">
        <v>0</v>
      </c>
      <c r="G13" s="164">
        <v>193.7</v>
      </c>
      <c r="H13" s="163">
        <v>21.783399996948241</v>
      </c>
      <c r="I13" s="165">
        <v>11.245947339673847</v>
      </c>
      <c r="J13" s="164">
        <v>171.91660000305174</v>
      </c>
      <c r="K13" s="163">
        <v>1.2282000000000011</v>
      </c>
      <c r="L13" s="163">
        <v>3.4367999988555926</v>
      </c>
      <c r="M13" s="163">
        <v>5.2715999996185268</v>
      </c>
      <c r="N13" s="163">
        <v>3.3886000000000003</v>
      </c>
      <c r="O13" s="163">
        <v>1.7494062983995873</v>
      </c>
      <c r="P13" s="163">
        <v>3.3312999996185302</v>
      </c>
      <c r="Q13" s="146">
        <v>49.606459947389325</v>
      </c>
    </row>
    <row r="14" spans="1:17" s="130" customFormat="1" ht="10.7" customHeight="1" x14ac:dyDescent="0.2">
      <c r="A14" s="122"/>
      <c r="B14" s="161" t="s">
        <v>85</v>
      </c>
      <c r="C14" s="162">
        <v>150.1</v>
      </c>
      <c r="D14" s="163">
        <v>153.9</v>
      </c>
      <c r="E14" s="163">
        <v>7</v>
      </c>
      <c r="F14" s="163">
        <v>3.8000000000000114</v>
      </c>
      <c r="G14" s="164">
        <v>153.9</v>
      </c>
      <c r="H14" s="163">
        <v>7.4102999999999994</v>
      </c>
      <c r="I14" s="165">
        <v>4.8150097465886939</v>
      </c>
      <c r="J14" s="164">
        <v>146.4897</v>
      </c>
      <c r="K14" s="163">
        <v>0.8879999999999999</v>
      </c>
      <c r="L14" s="163">
        <v>1.9999999999999574E-2</v>
      </c>
      <c r="M14" s="163">
        <v>1.2299999999999756E-2</v>
      </c>
      <c r="N14" s="163">
        <v>0</v>
      </c>
      <c r="O14" s="163">
        <v>0</v>
      </c>
      <c r="P14" s="163">
        <v>0.23007499999999981</v>
      </c>
      <c r="Q14" s="146" t="s">
        <v>186</v>
      </c>
    </row>
    <row r="15" spans="1:17" s="130" customFormat="1" ht="10.7" customHeight="1" x14ac:dyDescent="0.2">
      <c r="A15" s="122"/>
      <c r="B15" s="161" t="s">
        <v>86</v>
      </c>
      <c r="C15" s="162">
        <v>288.89999999999998</v>
      </c>
      <c r="D15" s="163">
        <v>303.5</v>
      </c>
      <c r="E15" s="163">
        <v>15</v>
      </c>
      <c r="F15" s="163">
        <v>14.600000000000023</v>
      </c>
      <c r="G15" s="164">
        <v>303.5</v>
      </c>
      <c r="H15" s="163">
        <v>68.537000000000006</v>
      </c>
      <c r="I15" s="165">
        <v>22.582207578253708</v>
      </c>
      <c r="J15" s="164">
        <v>234.96299999999999</v>
      </c>
      <c r="K15" s="163">
        <v>0</v>
      </c>
      <c r="L15" s="163">
        <v>5.990000000000002</v>
      </c>
      <c r="M15" s="163">
        <v>1.0550000000000068</v>
      </c>
      <c r="N15" s="163">
        <v>-3.0000000000001137E-3</v>
      </c>
      <c r="O15" s="163">
        <v>-9.8846787479410676E-4</v>
      </c>
      <c r="P15" s="163">
        <v>1.7605000000000022</v>
      </c>
      <c r="Q15" s="146" t="s">
        <v>186</v>
      </c>
    </row>
    <row r="16" spans="1:17" s="130" customFormat="1" ht="10.7" customHeight="1" x14ac:dyDescent="0.2">
      <c r="A16" s="122"/>
      <c r="B16" s="161" t="s">
        <v>87</v>
      </c>
      <c r="C16" s="162">
        <v>137.9</v>
      </c>
      <c r="D16" s="163">
        <v>137.9</v>
      </c>
      <c r="E16" s="163">
        <v>0</v>
      </c>
      <c r="F16" s="163">
        <v>0</v>
      </c>
      <c r="G16" s="164">
        <v>137.9</v>
      </c>
      <c r="H16" s="163">
        <v>37.162300000000002</v>
      </c>
      <c r="I16" s="165">
        <v>26.948730964467003</v>
      </c>
      <c r="J16" s="164">
        <v>100.7377</v>
      </c>
      <c r="K16" s="163">
        <v>1.3930000000000007</v>
      </c>
      <c r="L16" s="163">
        <v>0</v>
      </c>
      <c r="M16" s="163">
        <v>7.1821999999999946</v>
      </c>
      <c r="N16" s="163">
        <v>0.87610000000000809</v>
      </c>
      <c r="O16" s="163">
        <v>0.63531544597535028</v>
      </c>
      <c r="P16" s="163">
        <v>2.3628250000000008</v>
      </c>
      <c r="Q16" s="146">
        <v>40.634431242262956</v>
      </c>
    </row>
    <row r="17" spans="1:23" ht="10.7" customHeight="1" x14ac:dyDescent="0.2">
      <c r="A17" s="122"/>
      <c r="B17" s="161" t="s">
        <v>88</v>
      </c>
      <c r="C17" s="162">
        <v>3.2</v>
      </c>
      <c r="D17" s="163">
        <v>3.2</v>
      </c>
      <c r="E17" s="163">
        <v>0</v>
      </c>
      <c r="F17" s="163">
        <v>0</v>
      </c>
      <c r="G17" s="164">
        <v>3.2</v>
      </c>
      <c r="H17" s="163">
        <v>0</v>
      </c>
      <c r="I17" s="165">
        <v>0</v>
      </c>
      <c r="J17" s="164">
        <v>3.2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46" t="s">
        <v>162</v>
      </c>
    </row>
    <row r="18" spans="1:23" ht="10.7" customHeight="1" x14ac:dyDescent="0.2">
      <c r="A18" s="122"/>
      <c r="B18" s="161" t="s">
        <v>89</v>
      </c>
      <c r="C18" s="162">
        <v>647.4</v>
      </c>
      <c r="D18" s="163">
        <v>492.6</v>
      </c>
      <c r="E18" s="163">
        <v>0</v>
      </c>
      <c r="F18" s="163">
        <v>-154.79999999999995</v>
      </c>
      <c r="G18" s="164">
        <v>492.6</v>
      </c>
      <c r="H18" s="163">
        <v>203.029</v>
      </c>
      <c r="I18" s="165">
        <v>41.215793747462442</v>
      </c>
      <c r="J18" s="164">
        <v>289.57100000000003</v>
      </c>
      <c r="K18" s="163">
        <v>12.626999999999981</v>
      </c>
      <c r="L18" s="163">
        <v>33.793000000000006</v>
      </c>
      <c r="M18" s="163">
        <v>0</v>
      </c>
      <c r="N18" s="163">
        <v>5.8029999999999973</v>
      </c>
      <c r="O18" s="163">
        <v>1.1780349167681683</v>
      </c>
      <c r="P18" s="163">
        <v>13.055749999999996</v>
      </c>
      <c r="Q18" s="146">
        <v>20.179576048867364</v>
      </c>
    </row>
    <row r="19" spans="1:23" ht="10.7" customHeight="1" x14ac:dyDescent="0.2">
      <c r="A19" s="122"/>
      <c r="B19" s="161" t="s">
        <v>90</v>
      </c>
      <c r="C19" s="162"/>
      <c r="D19" s="163"/>
      <c r="E19" s="163"/>
      <c r="F19" s="163"/>
      <c r="G19" s="164">
        <v>0</v>
      </c>
      <c r="H19" s="163"/>
      <c r="I19" s="165"/>
      <c r="J19" s="164">
        <v>0</v>
      </c>
      <c r="K19" s="163"/>
      <c r="L19" s="163"/>
      <c r="M19" s="163"/>
      <c r="N19" s="163"/>
      <c r="O19" s="163"/>
      <c r="P19" s="163"/>
      <c r="Q19" s="146"/>
      <c r="W19" s="167"/>
    </row>
    <row r="20" spans="1:23" ht="10.7" customHeight="1" x14ac:dyDescent="0.2">
      <c r="A20" s="122"/>
      <c r="B20" s="168" t="s">
        <v>91</v>
      </c>
      <c r="C20" s="162">
        <v>10592.800000000001</v>
      </c>
      <c r="D20" s="163">
        <v>10726.800000000001</v>
      </c>
      <c r="E20" s="163">
        <v>270.79999999999973</v>
      </c>
      <c r="F20" s="163">
        <v>133.99999999999972</v>
      </c>
      <c r="G20" s="164">
        <v>10726.800000000001</v>
      </c>
      <c r="H20" s="163">
        <v>2688.321810003662</v>
      </c>
      <c r="I20" s="165">
        <v>25.061731457691593</v>
      </c>
      <c r="J20" s="164">
        <v>8038.4781899963373</v>
      </c>
      <c r="K20" s="163">
        <v>154.90710000000004</v>
      </c>
      <c r="L20" s="163">
        <v>166.59599999885558</v>
      </c>
      <c r="M20" s="163">
        <v>212.00479999961837</v>
      </c>
      <c r="N20" s="163">
        <v>312.8148000000001</v>
      </c>
      <c r="O20" s="163">
        <v>2.9161986799418287</v>
      </c>
      <c r="P20" s="169">
        <v>211.58067499961851</v>
      </c>
      <c r="Q20" s="146">
        <v>35.992497140917202</v>
      </c>
      <c r="W20" s="167"/>
    </row>
    <row r="21" spans="1:23" ht="10.7" customHeight="1" x14ac:dyDescent="0.2">
      <c r="A21" s="122"/>
      <c r="B21" s="168"/>
      <c r="C21" s="162"/>
      <c r="D21" s="163"/>
      <c r="E21" s="163"/>
      <c r="F21" s="163"/>
      <c r="G21" s="164"/>
      <c r="H21" s="163"/>
      <c r="I21" s="165"/>
      <c r="J21" s="164"/>
      <c r="K21" s="163"/>
      <c r="L21" s="163"/>
      <c r="M21" s="163"/>
      <c r="N21" s="163"/>
      <c r="O21" s="163"/>
      <c r="P21" s="163"/>
      <c r="Q21" s="146"/>
      <c r="W21" s="167"/>
    </row>
    <row r="22" spans="1:23" ht="10.7" customHeight="1" x14ac:dyDescent="0.2">
      <c r="A22" s="122"/>
      <c r="B22" s="161" t="s">
        <v>92</v>
      </c>
      <c r="C22" s="162">
        <v>703</v>
      </c>
      <c r="D22" s="163">
        <v>966.8</v>
      </c>
      <c r="E22" s="163">
        <v>-99.5</v>
      </c>
      <c r="F22" s="163">
        <v>263.79999999999995</v>
      </c>
      <c r="G22" s="164">
        <v>966.8</v>
      </c>
      <c r="H22" s="163">
        <v>96.41755999851226</v>
      </c>
      <c r="I22" s="165">
        <v>9.9728547784973376</v>
      </c>
      <c r="J22" s="164">
        <v>870.38244000148768</v>
      </c>
      <c r="K22" s="163">
        <v>7.6767000000000039</v>
      </c>
      <c r="L22" s="163">
        <v>22.142599999999995</v>
      </c>
      <c r="M22" s="163">
        <v>7.5388999999999982</v>
      </c>
      <c r="N22" s="163">
        <v>17.974699999999999</v>
      </c>
      <c r="O22" s="163">
        <v>1.8591952834091849</v>
      </c>
      <c r="P22" s="163">
        <v>13.833224999999999</v>
      </c>
      <c r="Q22" s="146" t="s">
        <v>186</v>
      </c>
      <c r="T22" s="170"/>
      <c r="W22" s="167"/>
    </row>
    <row r="23" spans="1:23" ht="10.7" customHeight="1" x14ac:dyDescent="0.2">
      <c r="A23" s="122"/>
      <c r="B23" s="161" t="s">
        <v>93</v>
      </c>
      <c r="C23" s="162">
        <v>2307.1</v>
      </c>
      <c r="D23" s="163">
        <v>2520</v>
      </c>
      <c r="E23" s="163">
        <v>-12</v>
      </c>
      <c r="F23" s="163">
        <v>212.90000000000009</v>
      </c>
      <c r="G23" s="164">
        <v>2520</v>
      </c>
      <c r="H23" s="163">
        <v>734.05240000000003</v>
      </c>
      <c r="I23" s="165">
        <v>29.129063492063494</v>
      </c>
      <c r="J23" s="164">
        <v>1785.9476</v>
      </c>
      <c r="K23" s="163">
        <v>75.087199999999996</v>
      </c>
      <c r="L23" s="163">
        <v>38.331099999999992</v>
      </c>
      <c r="M23" s="163">
        <v>94.213199999999972</v>
      </c>
      <c r="N23" s="163">
        <v>235.34990000000005</v>
      </c>
      <c r="O23" s="163">
        <v>9.3392817460317481</v>
      </c>
      <c r="P23" s="163">
        <v>110.74535</v>
      </c>
      <c r="Q23" s="146">
        <v>14.126614796919238</v>
      </c>
      <c r="W23" s="167"/>
    </row>
    <row r="24" spans="1:23" ht="10.7" hidden="1" customHeight="1" x14ac:dyDescent="0.2">
      <c r="A24" s="122"/>
      <c r="B24" s="161" t="s">
        <v>94</v>
      </c>
      <c r="C24" s="162">
        <v>0</v>
      </c>
      <c r="D24" s="163">
        <v>0</v>
      </c>
      <c r="E24" s="163">
        <v>0</v>
      </c>
      <c r="F24" s="163">
        <v>0</v>
      </c>
      <c r="G24" s="164">
        <v>0</v>
      </c>
      <c r="H24" s="163">
        <v>0</v>
      </c>
      <c r="I24" s="165" t="s">
        <v>119</v>
      </c>
      <c r="J24" s="164">
        <v>0</v>
      </c>
      <c r="K24" s="163">
        <v>0</v>
      </c>
      <c r="L24" s="163">
        <v>0</v>
      </c>
      <c r="M24" s="163">
        <v>0</v>
      </c>
      <c r="N24" s="163">
        <v>0</v>
      </c>
      <c r="O24" s="163" t="s">
        <v>42</v>
      </c>
      <c r="P24" s="163">
        <v>0</v>
      </c>
      <c r="Q24" s="146">
        <v>0</v>
      </c>
      <c r="W24" s="167"/>
    </row>
    <row r="25" spans="1:23" ht="10.7" customHeight="1" x14ac:dyDescent="0.2">
      <c r="A25" s="122"/>
      <c r="B25" s="161" t="s">
        <v>95</v>
      </c>
      <c r="C25" s="162">
        <v>286.60000000000002</v>
      </c>
      <c r="D25" s="163">
        <v>286.60000000000002</v>
      </c>
      <c r="E25" s="163">
        <v>0</v>
      </c>
      <c r="F25" s="163">
        <v>0</v>
      </c>
      <c r="G25" s="164">
        <v>286.60000000000002</v>
      </c>
      <c r="H25" s="163">
        <v>18.828900000000001</v>
      </c>
      <c r="I25" s="165">
        <v>6.5697487787857636</v>
      </c>
      <c r="J25" s="164">
        <v>267.77110000000005</v>
      </c>
      <c r="K25" s="163">
        <v>0.19170000000000087</v>
      </c>
      <c r="L25" s="163">
        <v>0</v>
      </c>
      <c r="M25" s="163">
        <v>3.8162000000000003</v>
      </c>
      <c r="N25" s="163">
        <v>6.0891000000000002</v>
      </c>
      <c r="O25" s="163">
        <v>2.1245987438939289</v>
      </c>
      <c r="P25" s="163">
        <v>2.5242500000000003</v>
      </c>
      <c r="Q25" s="146" t="s">
        <v>186</v>
      </c>
      <c r="T25" s="170"/>
      <c r="W25" s="171"/>
    </row>
    <row r="26" spans="1:23" ht="10.7" customHeight="1" x14ac:dyDescent="0.2">
      <c r="A26" s="122"/>
      <c r="B26" s="161" t="s">
        <v>96</v>
      </c>
      <c r="C26" s="162">
        <v>177.5</v>
      </c>
      <c r="D26" s="163">
        <v>166.8</v>
      </c>
      <c r="E26" s="163">
        <v>9.1000000000000227</v>
      </c>
      <c r="F26" s="163">
        <v>-10.699999999999989</v>
      </c>
      <c r="G26" s="164">
        <v>166.8</v>
      </c>
      <c r="H26" s="163">
        <v>200.84460000000001</v>
      </c>
      <c r="I26" s="165">
        <v>120.41043165467627</v>
      </c>
      <c r="J26" s="164">
        <v>-34.044600000000003</v>
      </c>
      <c r="K26" s="163">
        <v>6.143100000000004</v>
      </c>
      <c r="L26" s="163">
        <v>0.2307999999999879</v>
      </c>
      <c r="M26" s="163">
        <v>29.668499999999995</v>
      </c>
      <c r="N26" s="163">
        <v>34.685400000000016</v>
      </c>
      <c r="O26" s="163">
        <v>20.794604316546771</v>
      </c>
      <c r="P26" s="163">
        <v>17.681950000000001</v>
      </c>
      <c r="Q26" s="146">
        <v>0</v>
      </c>
    </row>
    <row r="27" spans="1:23" ht="10.7" customHeight="1" x14ac:dyDescent="0.2">
      <c r="A27" s="122"/>
      <c r="B27" s="161" t="s">
        <v>97</v>
      </c>
      <c r="C27" s="162">
        <v>344.6</v>
      </c>
      <c r="D27" s="163">
        <v>344.6</v>
      </c>
      <c r="E27" s="163">
        <v>0</v>
      </c>
      <c r="F27" s="163">
        <v>0</v>
      </c>
      <c r="G27" s="164">
        <v>344.6</v>
      </c>
      <c r="H27" s="163">
        <v>0</v>
      </c>
      <c r="I27" s="165">
        <v>0</v>
      </c>
      <c r="J27" s="164">
        <v>344.6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46" t="s">
        <v>186</v>
      </c>
    </row>
    <row r="28" spans="1:23" ht="10.7" customHeight="1" x14ac:dyDescent="0.2">
      <c r="A28" s="122"/>
      <c r="B28" s="161" t="s">
        <v>98</v>
      </c>
      <c r="C28" s="162">
        <v>648.4</v>
      </c>
      <c r="D28" s="163">
        <v>639</v>
      </c>
      <c r="E28" s="163">
        <v>-67.399999999999977</v>
      </c>
      <c r="F28" s="163">
        <v>-9.3999999999999773</v>
      </c>
      <c r="G28" s="164">
        <v>639</v>
      </c>
      <c r="H28" s="163">
        <v>209.86089999999999</v>
      </c>
      <c r="I28" s="165">
        <v>32.8420813771518</v>
      </c>
      <c r="J28" s="164">
        <v>429.13909999999998</v>
      </c>
      <c r="K28" s="163">
        <v>1.9934000000000083</v>
      </c>
      <c r="L28" s="163">
        <v>1.1349999999999909</v>
      </c>
      <c r="M28" s="163">
        <v>22.487799999999993</v>
      </c>
      <c r="N28" s="163">
        <v>53.936900000000009</v>
      </c>
      <c r="O28" s="163">
        <v>8.4408294209702674</v>
      </c>
      <c r="P28" s="163">
        <v>19.888275</v>
      </c>
      <c r="Q28" s="146">
        <v>19.577492266171902</v>
      </c>
    </row>
    <row r="29" spans="1:23" ht="10.7" customHeight="1" x14ac:dyDescent="0.2">
      <c r="A29" s="122"/>
      <c r="B29" s="161" t="s">
        <v>99</v>
      </c>
      <c r="C29" s="162">
        <v>111.1</v>
      </c>
      <c r="D29" s="163">
        <v>212.1</v>
      </c>
      <c r="E29" s="163">
        <v>-20</v>
      </c>
      <c r="F29" s="163">
        <v>101</v>
      </c>
      <c r="G29" s="164">
        <v>212.1</v>
      </c>
      <c r="H29" s="163">
        <v>0</v>
      </c>
      <c r="I29" s="165">
        <v>0</v>
      </c>
      <c r="J29" s="164">
        <v>212.1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46" t="s">
        <v>186</v>
      </c>
    </row>
    <row r="30" spans="1:23" ht="10.7" customHeight="1" x14ac:dyDescent="0.2">
      <c r="A30" s="122"/>
      <c r="B30" s="161" t="s">
        <v>100</v>
      </c>
      <c r="C30" s="162">
        <v>240.5</v>
      </c>
      <c r="D30" s="163">
        <v>638.70000000000005</v>
      </c>
      <c r="E30" s="163">
        <v>-75</v>
      </c>
      <c r="F30" s="163">
        <v>398.20000000000005</v>
      </c>
      <c r="G30" s="164">
        <v>638.70000000000005</v>
      </c>
      <c r="H30" s="163">
        <v>13.0078</v>
      </c>
      <c r="I30" s="165">
        <v>2.0366056051354313</v>
      </c>
      <c r="J30" s="164">
        <v>625.69220000000007</v>
      </c>
      <c r="K30" s="163">
        <v>0.52199999999999847</v>
      </c>
      <c r="L30" s="163">
        <v>2.5390999999999995</v>
      </c>
      <c r="M30" s="163">
        <v>0.22290000000000099</v>
      </c>
      <c r="N30" s="163">
        <v>1.4421999999999997</v>
      </c>
      <c r="O30" s="163">
        <v>0.22580241114764357</v>
      </c>
      <c r="P30" s="163">
        <v>1.1815499999999997</v>
      </c>
      <c r="Q30" s="146" t="s">
        <v>186</v>
      </c>
    </row>
    <row r="31" spans="1:23" ht="10.7" customHeight="1" x14ac:dyDescent="0.2">
      <c r="A31" s="122"/>
      <c r="B31" s="161" t="s">
        <v>101</v>
      </c>
      <c r="C31" s="162">
        <v>82.8</v>
      </c>
      <c r="D31" s="163">
        <v>75.699999999999989</v>
      </c>
      <c r="E31" s="163">
        <v>-5.5</v>
      </c>
      <c r="F31" s="163">
        <v>-7.1000000000000085</v>
      </c>
      <c r="G31" s="164">
        <v>75.699999999999989</v>
      </c>
      <c r="H31" s="163">
        <v>3.5253999999999999</v>
      </c>
      <c r="I31" s="165">
        <v>4.657067371202114</v>
      </c>
      <c r="J31" s="164">
        <v>72.174599999999984</v>
      </c>
      <c r="K31" s="163">
        <v>1.2958000000000001</v>
      </c>
      <c r="L31" s="163">
        <v>0.56239999999999979</v>
      </c>
      <c r="M31" s="163">
        <v>7.9000000000002402E-3</v>
      </c>
      <c r="N31" s="163">
        <v>1.839999999999975E-2</v>
      </c>
      <c r="O31" s="163">
        <v>2.4306472919418433E-2</v>
      </c>
      <c r="P31" s="163">
        <v>0.47112499999999996</v>
      </c>
      <c r="Q31" s="146" t="s">
        <v>186</v>
      </c>
    </row>
    <row r="32" spans="1:23" ht="10.7" customHeight="1" x14ac:dyDescent="0.2">
      <c r="A32" s="122"/>
      <c r="B32" s="161" t="s">
        <v>102</v>
      </c>
      <c r="C32" s="162">
        <v>0.2</v>
      </c>
      <c r="D32" s="163">
        <v>0.2</v>
      </c>
      <c r="E32" s="163">
        <v>0</v>
      </c>
      <c r="F32" s="163">
        <v>0</v>
      </c>
      <c r="G32" s="164">
        <v>0.2</v>
      </c>
      <c r="H32" s="163">
        <v>0</v>
      </c>
      <c r="I32" s="165">
        <v>0</v>
      </c>
      <c r="J32" s="164">
        <v>0.2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46" t="s">
        <v>186</v>
      </c>
    </row>
    <row r="33" spans="1:22" ht="10.7" customHeight="1" x14ac:dyDescent="0.2">
      <c r="A33" s="122"/>
      <c r="B33" s="161" t="s">
        <v>103</v>
      </c>
      <c r="C33" s="162">
        <v>26.8</v>
      </c>
      <c r="D33" s="163">
        <v>26.8</v>
      </c>
      <c r="E33" s="163">
        <v>0</v>
      </c>
      <c r="F33" s="163">
        <v>0</v>
      </c>
      <c r="G33" s="164">
        <v>26.8</v>
      </c>
      <c r="H33" s="163">
        <v>0</v>
      </c>
      <c r="I33" s="165">
        <v>0</v>
      </c>
      <c r="J33" s="164">
        <v>26.8</v>
      </c>
      <c r="K33" s="163">
        <v>0</v>
      </c>
      <c r="L33" s="163">
        <v>0</v>
      </c>
      <c r="M33" s="163">
        <v>0</v>
      </c>
      <c r="N33" s="163">
        <v>0</v>
      </c>
      <c r="O33" s="163">
        <v>0</v>
      </c>
      <c r="P33" s="163">
        <v>0</v>
      </c>
      <c r="Q33" s="146" t="s">
        <v>186</v>
      </c>
    </row>
    <row r="34" spans="1:22" ht="10.7" customHeight="1" x14ac:dyDescent="0.2">
      <c r="A34" s="122"/>
      <c r="B34" s="1" t="s">
        <v>104</v>
      </c>
      <c r="C34" s="162">
        <v>20.399999999999999</v>
      </c>
      <c r="D34" s="163">
        <v>36.4</v>
      </c>
      <c r="E34" s="163">
        <v>16</v>
      </c>
      <c r="F34" s="163">
        <v>16</v>
      </c>
      <c r="G34" s="164">
        <v>36.4</v>
      </c>
      <c r="H34" s="163">
        <v>1.3702000000000001</v>
      </c>
      <c r="I34" s="165">
        <v>3.7642857142857147</v>
      </c>
      <c r="J34" s="164">
        <v>35.029800000000002</v>
      </c>
      <c r="K34" s="163">
        <v>3.7399999999999878E-2</v>
      </c>
      <c r="L34" s="163">
        <v>0</v>
      </c>
      <c r="M34" s="163">
        <v>2.3000000000001908E-3</v>
      </c>
      <c r="N34" s="163">
        <v>0</v>
      </c>
      <c r="O34" s="163">
        <v>0</v>
      </c>
      <c r="P34" s="163">
        <v>9.9250000000000171E-3</v>
      </c>
      <c r="Q34" s="146" t="s">
        <v>186</v>
      </c>
    </row>
    <row r="35" spans="1:22" ht="10.7" customHeight="1" x14ac:dyDescent="0.2">
      <c r="A35" s="122"/>
      <c r="B35" s="1" t="s">
        <v>105</v>
      </c>
      <c r="C35" s="162"/>
      <c r="D35" s="163">
        <v>0</v>
      </c>
      <c r="E35" s="163"/>
      <c r="F35" s="163"/>
      <c r="G35" s="164">
        <v>0</v>
      </c>
      <c r="H35" s="163"/>
      <c r="I35" s="165"/>
      <c r="J35" s="164">
        <v>0</v>
      </c>
      <c r="K35" s="163"/>
      <c r="L35" s="163"/>
      <c r="M35" s="163"/>
      <c r="N35" s="163"/>
      <c r="O35" s="163"/>
      <c r="P35" s="163"/>
      <c r="Q35" s="146"/>
    </row>
    <row r="36" spans="1:22" ht="10.7" customHeight="1" x14ac:dyDescent="0.2">
      <c r="A36" s="122"/>
      <c r="B36" s="168" t="s">
        <v>106</v>
      </c>
      <c r="C36" s="172">
        <v>15541.800000000001</v>
      </c>
      <c r="D36" s="163">
        <v>16640.5</v>
      </c>
      <c r="E36" s="163">
        <v>16.499999999999773</v>
      </c>
      <c r="F36" s="163">
        <v>1098.6999999999998</v>
      </c>
      <c r="G36" s="164">
        <v>16640.5</v>
      </c>
      <c r="H36" s="163">
        <v>3966.2295700021741</v>
      </c>
      <c r="I36" s="165">
        <v>23.834798052956184</v>
      </c>
      <c r="J36" s="164">
        <v>12674.270429997825</v>
      </c>
      <c r="K36" s="163">
        <v>247.85439999999971</v>
      </c>
      <c r="L36" s="163">
        <v>231.53699999885475</v>
      </c>
      <c r="M36" s="163">
        <v>369.96249999961856</v>
      </c>
      <c r="N36" s="163">
        <v>662.31140000000096</v>
      </c>
      <c r="O36" s="163">
        <v>3.9801171839788525</v>
      </c>
      <c r="P36" s="163">
        <v>377.9163249996185</v>
      </c>
      <c r="Q36" s="146">
        <v>31.537239837444488</v>
      </c>
      <c r="T36" s="170"/>
    </row>
    <row r="37" spans="1:22" ht="10.7" customHeight="1" x14ac:dyDescent="0.2">
      <c r="A37" s="122"/>
      <c r="B37" s="168"/>
      <c r="C37" s="162"/>
      <c r="D37" s="163"/>
      <c r="E37" s="163"/>
      <c r="F37" s="163"/>
      <c r="G37" s="164"/>
      <c r="H37" s="163"/>
      <c r="I37" s="165"/>
      <c r="J37" s="164"/>
      <c r="K37" s="163"/>
      <c r="L37" s="163"/>
      <c r="M37" s="163"/>
      <c r="N37" s="163"/>
      <c r="O37" s="163"/>
      <c r="P37" s="163"/>
      <c r="Q37" s="146"/>
    </row>
    <row r="38" spans="1:22" ht="10.7" customHeight="1" x14ac:dyDescent="0.2">
      <c r="A38" s="122"/>
      <c r="B38" s="161" t="s">
        <v>107</v>
      </c>
      <c r="C38" s="162">
        <v>0.3</v>
      </c>
      <c r="D38" s="163">
        <v>0.3</v>
      </c>
      <c r="E38" s="163">
        <v>0</v>
      </c>
      <c r="F38" s="163">
        <v>0</v>
      </c>
      <c r="G38" s="164">
        <v>0.3</v>
      </c>
      <c r="H38" s="163">
        <v>0</v>
      </c>
      <c r="I38" s="165">
        <v>0</v>
      </c>
      <c r="J38" s="164">
        <v>0.3</v>
      </c>
      <c r="K38" s="163">
        <v>0</v>
      </c>
      <c r="L38" s="163">
        <v>0</v>
      </c>
      <c r="M38" s="163">
        <v>0</v>
      </c>
      <c r="N38" s="163">
        <v>0</v>
      </c>
      <c r="O38" s="163">
        <v>0</v>
      </c>
      <c r="P38" s="163">
        <v>0</v>
      </c>
      <c r="Q38" s="146" t="s">
        <v>186</v>
      </c>
    </row>
    <row r="39" spans="1:22" ht="10.7" customHeight="1" x14ac:dyDescent="0.2">
      <c r="A39" s="122"/>
      <c r="B39" s="161" t="s">
        <v>108</v>
      </c>
      <c r="C39" s="162">
        <v>21.5</v>
      </c>
      <c r="D39" s="162">
        <v>17.7</v>
      </c>
      <c r="E39" s="173">
        <v>-0.5</v>
      </c>
      <c r="F39" s="163">
        <v>-3.8000000000000007</v>
      </c>
      <c r="G39" s="164">
        <v>17.7</v>
      </c>
      <c r="H39" s="163">
        <v>1.982</v>
      </c>
      <c r="I39" s="165">
        <v>11.197740112994349</v>
      </c>
      <c r="J39" s="164">
        <v>15.718</v>
      </c>
      <c r="K39" s="163">
        <v>0.5797000000000001</v>
      </c>
      <c r="L39" s="163">
        <v>3.0000000000000027E-2</v>
      </c>
      <c r="M39" s="163">
        <v>0.1895</v>
      </c>
      <c r="N39" s="163">
        <v>2.3900000000000032E-2</v>
      </c>
      <c r="O39" s="163">
        <v>0.13502824858757081</v>
      </c>
      <c r="P39" s="163">
        <v>0.20577500000000004</v>
      </c>
      <c r="Q39" s="146" t="s">
        <v>186</v>
      </c>
    </row>
    <row r="40" spans="1:22" ht="10.7" customHeight="1" x14ac:dyDescent="0.2">
      <c r="A40" s="122"/>
      <c r="B40" s="174" t="s">
        <v>109</v>
      </c>
      <c r="C40" s="162">
        <v>576.59999999999991</v>
      </c>
      <c r="D40" s="162">
        <v>502.90000000000003</v>
      </c>
      <c r="E40" s="173">
        <v>-16</v>
      </c>
      <c r="F40" s="163">
        <v>-73.699999999999875</v>
      </c>
      <c r="G40" s="164">
        <v>502.90000000000003</v>
      </c>
      <c r="H40" s="163">
        <v>29.21</v>
      </c>
      <c r="I40" s="165">
        <v>5.8083117916086691</v>
      </c>
      <c r="J40" s="164">
        <v>473.69000000000005</v>
      </c>
      <c r="K40" s="163">
        <v>0.98650000000000126</v>
      </c>
      <c r="L40" s="163">
        <v>2.7777999999999974</v>
      </c>
      <c r="M40" s="163">
        <v>2.9632000000000005</v>
      </c>
      <c r="N40" s="163">
        <v>2.7904000000000018</v>
      </c>
      <c r="O40" s="163">
        <v>0.55486180155100451</v>
      </c>
      <c r="P40" s="163">
        <v>2.3794750000000002</v>
      </c>
      <c r="Q40" s="146" t="s">
        <v>186</v>
      </c>
    </row>
    <row r="41" spans="1:22" ht="10.7" customHeight="1" x14ac:dyDescent="0.2">
      <c r="A41" s="122"/>
      <c r="B41" s="174" t="s">
        <v>110</v>
      </c>
      <c r="C41" s="162"/>
      <c r="D41" s="163">
        <v>0</v>
      </c>
      <c r="E41" s="163"/>
      <c r="F41" s="163">
        <v>0</v>
      </c>
      <c r="G41" s="164">
        <v>0</v>
      </c>
      <c r="H41" s="163">
        <v>0</v>
      </c>
      <c r="I41" s="165" t="s">
        <v>119</v>
      </c>
      <c r="J41" s="164">
        <v>0</v>
      </c>
      <c r="K41" s="163"/>
      <c r="L41" s="163"/>
      <c r="M41" s="163"/>
      <c r="N41" s="163"/>
      <c r="O41" s="163"/>
      <c r="P41" s="163"/>
      <c r="Q41" s="146">
        <v>0</v>
      </c>
    </row>
    <row r="42" spans="1:22" ht="10.7" customHeight="1" x14ac:dyDescent="0.2">
      <c r="A42" s="122"/>
      <c r="B42" s="174" t="s">
        <v>111</v>
      </c>
      <c r="C42" s="162">
        <v>1906</v>
      </c>
      <c r="D42" s="163"/>
      <c r="E42" s="163"/>
      <c r="F42" s="173">
        <v>0</v>
      </c>
      <c r="G42" s="164">
        <v>1906</v>
      </c>
      <c r="H42" s="163"/>
      <c r="I42" s="165"/>
      <c r="J42" s="164">
        <v>1906</v>
      </c>
      <c r="K42" s="163"/>
      <c r="L42" s="163"/>
      <c r="M42" s="163"/>
      <c r="N42" s="163"/>
      <c r="O42" s="163"/>
      <c r="P42" s="163"/>
      <c r="Q42" s="146"/>
    </row>
    <row r="43" spans="1:22" ht="10.7" customHeight="1" x14ac:dyDescent="0.2">
      <c r="A43" s="122"/>
      <c r="B43" s="175" t="s">
        <v>112</v>
      </c>
      <c r="C43" s="176">
        <v>18046.2</v>
      </c>
      <c r="D43" s="176">
        <v>17161.400000000001</v>
      </c>
      <c r="E43" s="177">
        <v>-2.2737367544323206E-13</v>
      </c>
      <c r="F43" s="177">
        <v>1021.1999999999999</v>
      </c>
      <c r="G43" s="178">
        <v>19067.400000000001</v>
      </c>
      <c r="H43" s="177">
        <v>3997.4215700021741</v>
      </c>
      <c r="I43" s="179">
        <v>20.964691410481628</v>
      </c>
      <c r="J43" s="178">
        <v>15069.978429997826</v>
      </c>
      <c r="K43" s="180">
        <v>249.42059999999947</v>
      </c>
      <c r="L43" s="180">
        <v>234.34479999885525</v>
      </c>
      <c r="M43" s="180">
        <v>373.1151999996182</v>
      </c>
      <c r="N43" s="180">
        <v>665.12570000000096</v>
      </c>
      <c r="O43" s="180">
        <v>3.8757076928455771</v>
      </c>
      <c r="P43" s="180">
        <v>380.50157499961847</v>
      </c>
      <c r="Q43" s="153">
        <v>37.605561238512443</v>
      </c>
      <c r="T43" s="170"/>
      <c r="V43" s="170"/>
    </row>
    <row r="44" spans="1:22" ht="10.7" customHeight="1" x14ac:dyDescent="0.2">
      <c r="A44" s="122"/>
      <c r="B44" s="181"/>
      <c r="C44" s="173"/>
      <c r="D44" s="163"/>
      <c r="E44" s="163"/>
      <c r="F44" s="163"/>
      <c r="G44" s="164"/>
      <c r="H44" s="163"/>
      <c r="I44" s="2"/>
      <c r="J44" s="164"/>
      <c r="K44" s="163"/>
      <c r="L44" s="163"/>
      <c r="M44" s="163"/>
      <c r="N44" s="163"/>
      <c r="O44" s="163"/>
      <c r="P44" s="163"/>
      <c r="Q44" s="182"/>
    </row>
    <row r="45" spans="1:22" ht="10.7" customHeight="1" x14ac:dyDescent="0.2">
      <c r="A45" s="122"/>
      <c r="B45" s="181"/>
      <c r="C45" s="181"/>
      <c r="D45" s="135"/>
      <c r="E45" s="183"/>
      <c r="F45" s="183"/>
      <c r="G45" s="184"/>
      <c r="H45" s="183"/>
      <c r="I45" s="163"/>
      <c r="J45" s="184"/>
      <c r="K45" s="185"/>
      <c r="L45" s="185"/>
      <c r="M45" s="185"/>
      <c r="N45" s="185"/>
      <c r="O45" s="173"/>
      <c r="P45" s="183"/>
      <c r="Q45" s="182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43166</v>
      </c>
      <c r="L48" s="151">
        <v>43173</v>
      </c>
      <c r="M48" s="151">
        <v>43180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6"/>
      <c r="C50" s="187" t="s">
        <v>147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  <c r="Q50" s="136"/>
    </row>
    <row r="51" spans="1:17" s="130" customFormat="1" ht="10.7" customHeight="1" x14ac:dyDescent="0.2">
      <c r="A51" s="122"/>
      <c r="B51" s="161" t="s">
        <v>80</v>
      </c>
      <c r="C51" s="162">
        <v>7323.7</v>
      </c>
      <c r="D51" s="163">
        <v>7281.8</v>
      </c>
      <c r="E51" s="163">
        <v>-79.899999999999636</v>
      </c>
      <c r="F51" s="163">
        <v>-41.899999999999636</v>
      </c>
      <c r="G51" s="164">
        <v>7281.8</v>
      </c>
      <c r="H51" s="163">
        <v>1754.14056998775</v>
      </c>
      <c r="I51" s="165">
        <v>24.089381334117249</v>
      </c>
      <c r="J51" s="164">
        <v>5527.6594300122506</v>
      </c>
      <c r="K51" s="163">
        <v>188.30099999999993</v>
      </c>
      <c r="L51" s="163">
        <v>74.305000000000064</v>
      </c>
      <c r="M51" s="163">
        <v>128.01760000000036</v>
      </c>
      <c r="N51" s="163">
        <v>161.28039999999987</v>
      </c>
      <c r="O51" s="163">
        <v>2.2148424840012066</v>
      </c>
      <c r="P51" s="163">
        <v>137.97600000000006</v>
      </c>
      <c r="Q51" s="146">
        <v>38.06247050220508</v>
      </c>
    </row>
    <row r="52" spans="1:17" s="130" customFormat="1" ht="10.7" customHeight="1" x14ac:dyDescent="0.2">
      <c r="A52" s="122"/>
      <c r="B52" s="161" t="s">
        <v>81</v>
      </c>
      <c r="C52" s="162">
        <v>2298.6999999999998</v>
      </c>
      <c r="D52" s="163">
        <v>2483.7999999999997</v>
      </c>
      <c r="E52" s="163">
        <v>50</v>
      </c>
      <c r="F52" s="163">
        <v>185.09999999999991</v>
      </c>
      <c r="G52" s="164">
        <v>2483.7999999999997</v>
      </c>
      <c r="H52" s="163">
        <v>252.22640000000001</v>
      </c>
      <c r="I52" s="165">
        <v>10.154859489491908</v>
      </c>
      <c r="J52" s="164">
        <v>2231.5735999999997</v>
      </c>
      <c r="K52" s="163">
        <v>3.7692000000000121</v>
      </c>
      <c r="L52" s="163">
        <v>37.644799999999975</v>
      </c>
      <c r="M52" s="163">
        <v>41.00090000000003</v>
      </c>
      <c r="N52" s="163">
        <v>40.079100000000011</v>
      </c>
      <c r="O52" s="163">
        <v>1.6136202592801359</v>
      </c>
      <c r="P52" s="163">
        <v>30.623500000000007</v>
      </c>
      <c r="Q52" s="146" t="s">
        <v>186</v>
      </c>
    </row>
    <row r="53" spans="1:17" s="130" customFormat="1" ht="10.7" customHeight="1" x14ac:dyDescent="0.2">
      <c r="A53" s="122"/>
      <c r="B53" s="161" t="s">
        <v>82</v>
      </c>
      <c r="C53" s="162">
        <v>3597.3</v>
      </c>
      <c r="D53" s="163">
        <v>4003.3</v>
      </c>
      <c r="E53" s="163">
        <v>221</v>
      </c>
      <c r="F53" s="163">
        <v>406</v>
      </c>
      <c r="G53" s="164">
        <v>4003.3</v>
      </c>
      <c r="H53" s="163">
        <v>753.27200000000005</v>
      </c>
      <c r="I53" s="165">
        <v>18.816276571828244</v>
      </c>
      <c r="J53" s="164">
        <v>3250.0280000000002</v>
      </c>
      <c r="K53" s="163">
        <v>23.636999999999944</v>
      </c>
      <c r="L53" s="163">
        <v>2.5639999999999645</v>
      </c>
      <c r="M53" s="163">
        <v>70.939000000000078</v>
      </c>
      <c r="N53" s="163">
        <v>67.461000000000013</v>
      </c>
      <c r="O53" s="163">
        <v>1.6851347638198491</v>
      </c>
      <c r="P53" s="163">
        <v>41.15025</v>
      </c>
      <c r="Q53" s="146" t="s">
        <v>186</v>
      </c>
    </row>
    <row r="54" spans="1:17" s="130" customFormat="1" ht="10.7" customHeight="1" x14ac:dyDescent="0.2">
      <c r="A54" s="122"/>
      <c r="B54" s="161" t="s">
        <v>83</v>
      </c>
      <c r="C54" s="162">
        <v>5261.4</v>
      </c>
      <c r="D54" s="163">
        <v>5342.9</v>
      </c>
      <c r="E54" s="163">
        <v>81.5</v>
      </c>
      <c r="F54" s="163">
        <v>81.5</v>
      </c>
      <c r="G54" s="164">
        <v>5342.9</v>
      </c>
      <c r="H54" s="163">
        <v>685.21100000000001</v>
      </c>
      <c r="I54" s="165">
        <v>12.824701940893524</v>
      </c>
      <c r="J54" s="164">
        <v>4657.6889999999994</v>
      </c>
      <c r="K54" s="163">
        <v>44.70599999999996</v>
      </c>
      <c r="L54" s="163">
        <v>43.729000000000042</v>
      </c>
      <c r="M54" s="163">
        <v>70.40300000000002</v>
      </c>
      <c r="N54" s="163">
        <v>53.327999999999975</v>
      </c>
      <c r="O54" s="163">
        <v>0.99810964083175757</v>
      </c>
      <c r="P54" s="163">
        <v>53.041499999999999</v>
      </c>
      <c r="Q54" s="146" t="s">
        <v>186</v>
      </c>
    </row>
    <row r="55" spans="1:17" s="130" customFormat="1" ht="10.7" customHeight="1" x14ac:dyDescent="0.2">
      <c r="A55" s="122"/>
      <c r="B55" s="161" t="s">
        <v>84</v>
      </c>
      <c r="C55" s="162">
        <v>288.8</v>
      </c>
      <c r="D55" s="163">
        <v>288.8</v>
      </c>
      <c r="E55" s="163">
        <v>0</v>
      </c>
      <c r="F55" s="163">
        <v>0</v>
      </c>
      <c r="G55" s="164">
        <v>288.8</v>
      </c>
      <c r="H55" s="163">
        <v>46.784630001068109</v>
      </c>
      <c r="I55" s="165">
        <v>16.199664127793664</v>
      </c>
      <c r="J55" s="164">
        <v>242.0153699989319</v>
      </c>
      <c r="K55" s="163">
        <v>2.1310000000000002</v>
      </c>
      <c r="L55" s="163">
        <v>3.3785999999999916</v>
      </c>
      <c r="M55" s="163">
        <v>2.7522000007629472</v>
      </c>
      <c r="N55" s="163">
        <v>1.9768800010681105</v>
      </c>
      <c r="O55" s="163">
        <v>0.68451523582690799</v>
      </c>
      <c r="P55" s="163">
        <v>2.5596700004577624</v>
      </c>
      <c r="Q55" s="146" t="s">
        <v>186</v>
      </c>
    </row>
    <row r="56" spans="1:17" s="130" customFormat="1" ht="10.7" customHeight="1" x14ac:dyDescent="0.2">
      <c r="A56" s="122"/>
      <c r="B56" s="161" t="s">
        <v>85</v>
      </c>
      <c r="C56" s="162">
        <v>367.3</v>
      </c>
      <c r="D56" s="163">
        <v>393.20000000000005</v>
      </c>
      <c r="E56" s="163">
        <v>9</v>
      </c>
      <c r="F56" s="163">
        <v>25.900000000000034</v>
      </c>
      <c r="G56" s="164">
        <v>393.20000000000005</v>
      </c>
      <c r="H56" s="163">
        <v>12.4894</v>
      </c>
      <c r="I56" s="165">
        <v>3.1763479145473039</v>
      </c>
      <c r="J56" s="164">
        <v>380.71060000000006</v>
      </c>
      <c r="K56" s="163">
        <v>4.1650000000000009</v>
      </c>
      <c r="L56" s="163">
        <v>0.51399999999999935</v>
      </c>
      <c r="M56" s="163">
        <v>4.7399999999999665E-2</v>
      </c>
      <c r="N56" s="163">
        <v>0</v>
      </c>
      <c r="O56" s="163">
        <v>0</v>
      </c>
      <c r="P56" s="163">
        <v>1.1816</v>
      </c>
      <c r="Q56" s="146" t="s">
        <v>186</v>
      </c>
    </row>
    <row r="57" spans="1:17" s="130" customFormat="1" ht="10.7" customHeight="1" x14ac:dyDescent="0.2">
      <c r="A57" s="122"/>
      <c r="B57" s="161" t="s">
        <v>86</v>
      </c>
      <c r="C57" s="162">
        <v>1007.5</v>
      </c>
      <c r="D57" s="163">
        <v>1007.3</v>
      </c>
      <c r="E57" s="163">
        <v>0</v>
      </c>
      <c r="F57" s="163">
        <v>-0.20000000000004547</v>
      </c>
      <c r="G57" s="164">
        <v>1007.3</v>
      </c>
      <c r="H57" s="163">
        <v>243.49100000000001</v>
      </c>
      <c r="I57" s="165">
        <v>24.172639729971213</v>
      </c>
      <c r="J57" s="164">
        <v>763.80899999999997</v>
      </c>
      <c r="K57" s="163">
        <v>0</v>
      </c>
      <c r="L57" s="163">
        <v>0</v>
      </c>
      <c r="M57" s="163">
        <v>2.2920000000000016</v>
      </c>
      <c r="N57" s="163">
        <v>-0.48099999999999454</v>
      </c>
      <c r="O57" s="163">
        <v>-4.7751414672887377E-2</v>
      </c>
      <c r="P57" s="163">
        <v>0.45275000000000176</v>
      </c>
      <c r="Q57" s="146" t="s">
        <v>186</v>
      </c>
    </row>
    <row r="58" spans="1:17" s="130" customFormat="1" ht="10.7" customHeight="1" x14ac:dyDescent="0.2">
      <c r="A58" s="122"/>
      <c r="B58" s="161" t="s">
        <v>87</v>
      </c>
      <c r="C58" s="162">
        <v>439</v>
      </c>
      <c r="D58" s="163">
        <v>439</v>
      </c>
      <c r="E58" s="163">
        <v>0</v>
      </c>
      <c r="F58" s="163">
        <v>0</v>
      </c>
      <c r="G58" s="164">
        <v>439</v>
      </c>
      <c r="H58" s="163">
        <v>86.915500000000009</v>
      </c>
      <c r="I58" s="165">
        <v>19.798519362186791</v>
      </c>
      <c r="J58" s="164">
        <v>352.08449999999999</v>
      </c>
      <c r="K58" s="163">
        <v>2.012999999999991</v>
      </c>
      <c r="L58" s="163">
        <v>0</v>
      </c>
      <c r="M58" s="163">
        <v>19.63730000000001</v>
      </c>
      <c r="N58" s="163">
        <v>0.3002000000000038</v>
      </c>
      <c r="O58" s="163">
        <v>6.838268792710793E-2</v>
      </c>
      <c r="P58" s="163">
        <v>5.4876250000000013</v>
      </c>
      <c r="Q58" s="146" t="s">
        <v>186</v>
      </c>
    </row>
    <row r="59" spans="1:17" s="130" customFormat="1" ht="10.7" customHeight="1" x14ac:dyDescent="0.2">
      <c r="A59" s="122"/>
      <c r="B59" s="161" t="s">
        <v>88</v>
      </c>
      <c r="C59" s="162">
        <v>0</v>
      </c>
      <c r="D59" s="163">
        <v>0</v>
      </c>
      <c r="E59" s="163">
        <v>0</v>
      </c>
      <c r="F59" s="163">
        <v>0</v>
      </c>
      <c r="G59" s="164">
        <v>0</v>
      </c>
      <c r="H59" s="163">
        <v>0</v>
      </c>
      <c r="I59" s="165" t="s">
        <v>119</v>
      </c>
      <c r="J59" s="164">
        <v>0</v>
      </c>
      <c r="K59" s="163">
        <v>0</v>
      </c>
      <c r="L59" s="163">
        <v>0</v>
      </c>
      <c r="M59" s="163">
        <v>0</v>
      </c>
      <c r="N59" s="163">
        <v>0</v>
      </c>
      <c r="O59" s="163" t="s">
        <v>42</v>
      </c>
      <c r="P59" s="163">
        <v>0</v>
      </c>
      <c r="Q59" s="146" t="s">
        <v>162</v>
      </c>
    </row>
    <row r="60" spans="1:17" s="130" customFormat="1" ht="10.7" customHeight="1" x14ac:dyDescent="0.2">
      <c r="A60" s="122"/>
      <c r="B60" s="161" t="s">
        <v>89</v>
      </c>
      <c r="C60" s="162">
        <v>1743.3</v>
      </c>
      <c r="D60" s="163">
        <v>1388.4</v>
      </c>
      <c r="E60" s="163">
        <v>0</v>
      </c>
      <c r="F60" s="163">
        <v>-354.89999999999986</v>
      </c>
      <c r="G60" s="164">
        <v>1388.4</v>
      </c>
      <c r="H60" s="163">
        <v>135.846</v>
      </c>
      <c r="I60" s="165">
        <v>9.7843560933448579</v>
      </c>
      <c r="J60" s="164">
        <v>1252.5540000000001</v>
      </c>
      <c r="K60" s="163">
        <v>1.7079999999999984</v>
      </c>
      <c r="L60" s="163">
        <v>3.2249999999999943</v>
      </c>
      <c r="M60" s="163">
        <v>0</v>
      </c>
      <c r="N60" s="163">
        <v>8.8520000000000039</v>
      </c>
      <c r="O60" s="163">
        <v>0.63756842408527825</v>
      </c>
      <c r="P60" s="163">
        <v>3.4462499999999991</v>
      </c>
      <c r="Q60" s="146" t="s">
        <v>186</v>
      </c>
    </row>
    <row r="61" spans="1:17" s="130" customFormat="1" ht="10.7" customHeight="1" x14ac:dyDescent="0.2">
      <c r="A61" s="122"/>
      <c r="B61" s="168" t="s">
        <v>91</v>
      </c>
      <c r="C61" s="162">
        <v>22326.999999999996</v>
      </c>
      <c r="D61" s="163">
        <v>22628.500000000004</v>
      </c>
      <c r="E61" s="163">
        <v>281.60000000000036</v>
      </c>
      <c r="F61" s="163">
        <v>301.50000000000045</v>
      </c>
      <c r="G61" s="164">
        <v>22628.500000000004</v>
      </c>
      <c r="H61" s="163">
        <v>3970.3764999888185</v>
      </c>
      <c r="I61" s="165">
        <v>17.545911129720565</v>
      </c>
      <c r="J61" s="164">
        <v>18658.123500011181</v>
      </c>
      <c r="K61" s="163">
        <v>270.43019999999979</v>
      </c>
      <c r="L61" s="163">
        <v>165.36040000000006</v>
      </c>
      <c r="M61" s="163">
        <v>335.08940000076336</v>
      </c>
      <c r="N61" s="163">
        <v>332.79658000106804</v>
      </c>
      <c r="O61" s="163">
        <v>1.4706965994258037</v>
      </c>
      <c r="P61" s="169">
        <v>275.91914500045777</v>
      </c>
      <c r="Q61" s="146" t="s">
        <v>186</v>
      </c>
    </row>
    <row r="62" spans="1:17" s="130" customFormat="1" ht="10.7" customHeight="1" x14ac:dyDescent="0.2">
      <c r="A62" s="122"/>
      <c r="B62" s="168"/>
      <c r="C62" s="134"/>
      <c r="D62" s="163"/>
      <c r="E62" s="163"/>
      <c r="F62" s="163"/>
      <c r="G62" s="164"/>
      <c r="H62" s="163"/>
      <c r="I62" s="165"/>
      <c r="J62" s="164"/>
      <c r="K62" s="163"/>
      <c r="L62" s="163"/>
      <c r="M62" s="163"/>
      <c r="N62" s="163"/>
      <c r="O62" s="163"/>
      <c r="P62" s="163"/>
      <c r="Q62" s="146"/>
    </row>
    <row r="63" spans="1:17" s="130" customFormat="1" ht="10.7" customHeight="1" x14ac:dyDescent="0.2">
      <c r="A63" s="122"/>
      <c r="B63" s="161" t="s">
        <v>92</v>
      </c>
      <c r="C63" s="162">
        <v>1513.5</v>
      </c>
      <c r="D63" s="163">
        <v>1894.4</v>
      </c>
      <c r="E63" s="163">
        <v>0</v>
      </c>
      <c r="F63" s="163">
        <v>380.90000000000009</v>
      </c>
      <c r="G63" s="164">
        <v>1894.4</v>
      </c>
      <c r="H63" s="163">
        <v>393.13463000216484</v>
      </c>
      <c r="I63" s="165">
        <v>20.752461465485897</v>
      </c>
      <c r="J63" s="164">
        <v>1501.2653699978353</v>
      </c>
      <c r="K63" s="163">
        <v>13.215000000000032</v>
      </c>
      <c r="L63" s="163">
        <v>8.7692000000000121</v>
      </c>
      <c r="M63" s="163">
        <v>6.3140000000000214</v>
      </c>
      <c r="N63" s="163">
        <v>6.1613600000381439</v>
      </c>
      <c r="O63" s="163">
        <v>0.32524070946147293</v>
      </c>
      <c r="P63" s="163">
        <v>8.6148900000095523</v>
      </c>
      <c r="Q63" s="146" t="s">
        <v>186</v>
      </c>
    </row>
    <row r="64" spans="1:17" s="130" customFormat="1" ht="10.7" customHeight="1" x14ac:dyDescent="0.2">
      <c r="A64" s="188"/>
      <c r="B64" s="161" t="s">
        <v>93</v>
      </c>
      <c r="C64" s="162">
        <v>2481.4</v>
      </c>
      <c r="D64" s="163">
        <v>2158.4</v>
      </c>
      <c r="E64" s="163">
        <v>-50</v>
      </c>
      <c r="F64" s="163">
        <v>-323</v>
      </c>
      <c r="G64" s="164">
        <v>2158.4</v>
      </c>
      <c r="H64" s="163">
        <v>643.34209999999996</v>
      </c>
      <c r="I64" s="165">
        <v>29.806435322461081</v>
      </c>
      <c r="J64" s="164">
        <v>1515.0579000000002</v>
      </c>
      <c r="K64" s="163">
        <v>37.734499999999969</v>
      </c>
      <c r="L64" s="163">
        <v>6.7726999999999862</v>
      </c>
      <c r="M64" s="163">
        <v>71.232199999999978</v>
      </c>
      <c r="N64" s="163">
        <v>132.62110000000001</v>
      </c>
      <c r="O64" s="163">
        <v>6.1444171608598968</v>
      </c>
      <c r="P64" s="163">
        <v>62.090124999999986</v>
      </c>
      <c r="Q64" s="146">
        <v>22.400947815775869</v>
      </c>
    </row>
    <row r="65" spans="1:20" ht="10.7" hidden="1" customHeight="1" x14ac:dyDescent="0.2">
      <c r="A65" s="122"/>
      <c r="B65" s="161" t="s">
        <v>94</v>
      </c>
      <c r="C65" s="162">
        <v>0</v>
      </c>
      <c r="D65" s="163">
        <v>0</v>
      </c>
      <c r="E65" s="163">
        <v>0</v>
      </c>
      <c r="F65" s="163">
        <v>0</v>
      </c>
      <c r="G65" s="164">
        <v>0</v>
      </c>
      <c r="H65" s="163">
        <v>0</v>
      </c>
      <c r="I65" s="165" t="s">
        <v>119</v>
      </c>
      <c r="J65" s="164">
        <v>0</v>
      </c>
      <c r="K65" s="163">
        <v>0</v>
      </c>
      <c r="L65" s="163">
        <v>0</v>
      </c>
      <c r="M65" s="163">
        <v>0</v>
      </c>
      <c r="N65" s="163">
        <v>0</v>
      </c>
      <c r="O65" s="163" t="s">
        <v>42</v>
      </c>
      <c r="P65" s="163">
        <v>0</v>
      </c>
      <c r="Q65" s="146">
        <v>0</v>
      </c>
    </row>
    <row r="66" spans="1:20" ht="10.7" customHeight="1" x14ac:dyDescent="0.2">
      <c r="A66" s="122"/>
      <c r="B66" s="161" t="s">
        <v>95</v>
      </c>
      <c r="C66" s="162">
        <v>349.9</v>
      </c>
      <c r="D66" s="163">
        <v>1447.5</v>
      </c>
      <c r="E66" s="163">
        <v>0</v>
      </c>
      <c r="F66" s="163">
        <v>1097.5999999999999</v>
      </c>
      <c r="G66" s="164">
        <v>1447.5</v>
      </c>
      <c r="H66" s="163">
        <v>15.976000000000001</v>
      </c>
      <c r="I66" s="165">
        <v>1.1036960276338517</v>
      </c>
      <c r="J66" s="164">
        <v>1431.5239999999999</v>
      </c>
      <c r="K66" s="163">
        <v>2.3396999999999988</v>
      </c>
      <c r="L66" s="163">
        <v>0</v>
      </c>
      <c r="M66" s="163">
        <v>1.1813000000000002</v>
      </c>
      <c r="N66" s="163">
        <v>3.5216000000000012</v>
      </c>
      <c r="O66" s="163">
        <v>0.24328842832469785</v>
      </c>
      <c r="P66" s="163">
        <v>1.76065</v>
      </c>
      <c r="Q66" s="146" t="s">
        <v>186</v>
      </c>
    </row>
    <row r="67" spans="1:20" ht="10.7" customHeight="1" x14ac:dyDescent="0.2">
      <c r="A67" s="122"/>
      <c r="B67" s="161" t="s">
        <v>96</v>
      </c>
      <c r="C67" s="162">
        <v>291.2</v>
      </c>
      <c r="D67" s="163">
        <v>532.79999999999995</v>
      </c>
      <c r="E67" s="163">
        <v>268.39999999999998</v>
      </c>
      <c r="F67" s="163">
        <v>241.59999999999997</v>
      </c>
      <c r="G67" s="164">
        <v>532.79999999999995</v>
      </c>
      <c r="H67" s="163">
        <v>158.03370000000001</v>
      </c>
      <c r="I67" s="165">
        <v>29.660979729729736</v>
      </c>
      <c r="J67" s="164">
        <v>374.76629999999994</v>
      </c>
      <c r="K67" s="163">
        <v>28.482399999999998</v>
      </c>
      <c r="L67" s="163">
        <v>0.89039999999999964</v>
      </c>
      <c r="M67" s="163">
        <v>21.321399999999983</v>
      </c>
      <c r="N67" s="163">
        <v>12.003300000000024</v>
      </c>
      <c r="O67" s="163">
        <v>2.2528716216216265</v>
      </c>
      <c r="P67" s="163">
        <v>15.674375000000001</v>
      </c>
      <c r="Q67" s="146">
        <v>21.909489214083489</v>
      </c>
    </row>
    <row r="68" spans="1:20" ht="10.7" customHeight="1" x14ac:dyDescent="0.2">
      <c r="A68" s="122"/>
      <c r="B68" s="161" t="s">
        <v>97</v>
      </c>
      <c r="C68" s="162">
        <v>427.3</v>
      </c>
      <c r="D68" s="163">
        <v>427.3</v>
      </c>
      <c r="E68" s="163">
        <v>0</v>
      </c>
      <c r="F68" s="163">
        <v>0</v>
      </c>
      <c r="G68" s="164">
        <v>427.3</v>
      </c>
      <c r="H68" s="163">
        <v>0</v>
      </c>
      <c r="I68" s="165">
        <v>0</v>
      </c>
      <c r="J68" s="164">
        <v>427.3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46" t="s">
        <v>186</v>
      </c>
    </row>
    <row r="69" spans="1:20" ht="10.7" customHeight="1" x14ac:dyDescent="0.2">
      <c r="A69" s="122"/>
      <c r="B69" s="161" t="s">
        <v>98</v>
      </c>
      <c r="C69" s="162">
        <v>1462.5</v>
      </c>
      <c r="D69" s="163">
        <v>897.5</v>
      </c>
      <c r="E69" s="163">
        <v>-500</v>
      </c>
      <c r="F69" s="163">
        <v>-565</v>
      </c>
      <c r="G69" s="164">
        <v>897.5</v>
      </c>
      <c r="H69" s="163">
        <v>155.24790000000002</v>
      </c>
      <c r="I69" s="165">
        <v>17.297816155988858</v>
      </c>
      <c r="J69" s="164">
        <v>742.25209999999993</v>
      </c>
      <c r="K69" s="163">
        <v>24.410200000000003</v>
      </c>
      <c r="L69" s="163">
        <v>1.8799999999999955</v>
      </c>
      <c r="M69" s="163">
        <v>16.602699999999999</v>
      </c>
      <c r="N69" s="163">
        <v>22.240300000000019</v>
      </c>
      <c r="O69" s="163">
        <v>2.4780278551532056</v>
      </c>
      <c r="P69" s="163">
        <v>16.283300000000004</v>
      </c>
      <c r="Q69" s="146">
        <v>43.583640908169706</v>
      </c>
    </row>
    <row r="70" spans="1:20" ht="10.7" customHeight="1" x14ac:dyDescent="0.2">
      <c r="A70" s="122"/>
      <c r="B70" s="161" t="s">
        <v>99</v>
      </c>
      <c r="C70" s="162">
        <v>74.7</v>
      </c>
      <c r="D70" s="163">
        <v>74.7</v>
      </c>
      <c r="E70" s="163">
        <v>0</v>
      </c>
      <c r="F70" s="163">
        <v>0</v>
      </c>
      <c r="G70" s="164">
        <v>74.7</v>
      </c>
      <c r="H70" s="163">
        <v>0</v>
      </c>
      <c r="I70" s="165">
        <v>0</v>
      </c>
      <c r="J70" s="164">
        <v>74.7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46" t="s">
        <v>186</v>
      </c>
    </row>
    <row r="71" spans="1:20" ht="10.7" customHeight="1" x14ac:dyDescent="0.2">
      <c r="A71" s="122"/>
      <c r="B71" s="161" t="s">
        <v>100</v>
      </c>
      <c r="C71" s="162">
        <v>46.8</v>
      </c>
      <c r="D71" s="163">
        <v>63.8</v>
      </c>
      <c r="E71" s="163">
        <v>0</v>
      </c>
      <c r="F71" s="163">
        <v>17</v>
      </c>
      <c r="G71" s="164">
        <v>63.8</v>
      </c>
      <c r="H71" s="163">
        <v>0.1608</v>
      </c>
      <c r="I71" s="165">
        <v>0.25203761755485893</v>
      </c>
      <c r="J71" s="164">
        <v>63.639199999999995</v>
      </c>
      <c r="K71" s="163">
        <v>0</v>
      </c>
      <c r="L71" s="163">
        <v>7.0000000000000062E-3</v>
      </c>
      <c r="M71" s="163">
        <v>0</v>
      </c>
      <c r="N71" s="163">
        <v>4.9999999999999989E-2</v>
      </c>
      <c r="O71" s="163">
        <v>7.8369905956112845E-2</v>
      </c>
      <c r="P71" s="163">
        <v>1.4249999999999999E-2</v>
      </c>
      <c r="Q71" s="146" t="s">
        <v>186</v>
      </c>
    </row>
    <row r="72" spans="1:20" ht="10.7" customHeight="1" x14ac:dyDescent="0.2">
      <c r="A72" s="122"/>
      <c r="B72" s="161" t="s">
        <v>101</v>
      </c>
      <c r="C72" s="162">
        <v>43.1</v>
      </c>
      <c r="D72" s="163">
        <v>43.1</v>
      </c>
      <c r="E72" s="163">
        <v>0</v>
      </c>
      <c r="F72" s="163">
        <v>0</v>
      </c>
      <c r="G72" s="164">
        <v>43.1</v>
      </c>
      <c r="H72" s="163">
        <v>1.1000000000000001E-3</v>
      </c>
      <c r="I72" s="165">
        <v>2.5522041763341068E-3</v>
      </c>
      <c r="J72" s="164">
        <v>43.0989</v>
      </c>
      <c r="K72" s="163">
        <v>0</v>
      </c>
      <c r="L72" s="163">
        <v>1.1000000000000001E-3</v>
      </c>
      <c r="M72" s="163">
        <v>0</v>
      </c>
      <c r="N72" s="163">
        <v>0</v>
      </c>
      <c r="O72" s="163">
        <v>0</v>
      </c>
      <c r="P72" s="163">
        <v>2.7500000000000002E-4</v>
      </c>
      <c r="Q72" s="146" t="s">
        <v>186</v>
      </c>
    </row>
    <row r="73" spans="1:20" ht="10.7" customHeight="1" x14ac:dyDescent="0.2">
      <c r="A73" s="122"/>
      <c r="B73" s="161" t="s">
        <v>102</v>
      </c>
      <c r="C73" s="162">
        <v>0.1</v>
      </c>
      <c r="D73" s="163">
        <v>0.1</v>
      </c>
      <c r="E73" s="163">
        <v>0</v>
      </c>
      <c r="F73" s="163">
        <v>0</v>
      </c>
      <c r="G73" s="164">
        <v>0.1</v>
      </c>
      <c r="H73" s="163">
        <v>0</v>
      </c>
      <c r="I73" s="165">
        <v>0</v>
      </c>
      <c r="J73" s="164">
        <v>0.1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  <c r="Q73" s="146" t="s">
        <v>186</v>
      </c>
    </row>
    <row r="74" spans="1:20" ht="10.7" customHeight="1" x14ac:dyDescent="0.2">
      <c r="A74" s="122"/>
      <c r="B74" s="161" t="s">
        <v>103</v>
      </c>
      <c r="C74" s="162">
        <v>13</v>
      </c>
      <c r="D74" s="163">
        <v>13</v>
      </c>
      <c r="E74" s="163">
        <v>0</v>
      </c>
      <c r="F74" s="163">
        <v>0</v>
      </c>
      <c r="G74" s="164">
        <v>13</v>
      </c>
      <c r="H74" s="163">
        <v>0</v>
      </c>
      <c r="I74" s="165">
        <v>0</v>
      </c>
      <c r="J74" s="164">
        <v>13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46" t="s">
        <v>186</v>
      </c>
    </row>
    <row r="75" spans="1:20" ht="10.7" customHeight="1" x14ac:dyDescent="0.2">
      <c r="A75" s="122"/>
      <c r="B75" s="1" t="s">
        <v>104</v>
      </c>
      <c r="C75" s="162">
        <v>13</v>
      </c>
      <c r="D75" s="163">
        <v>13</v>
      </c>
      <c r="E75" s="163">
        <v>0</v>
      </c>
      <c r="F75" s="163">
        <v>0</v>
      </c>
      <c r="G75" s="164">
        <v>13</v>
      </c>
      <c r="H75" s="163">
        <v>0</v>
      </c>
      <c r="I75" s="165">
        <v>0</v>
      </c>
      <c r="J75" s="164">
        <v>13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46" t="s">
        <v>186</v>
      </c>
    </row>
    <row r="76" spans="1:20" ht="10.7" customHeight="1" x14ac:dyDescent="0.2">
      <c r="A76" s="122"/>
      <c r="B76" s="168" t="s">
        <v>106</v>
      </c>
      <c r="C76" s="172">
        <v>29043.499999999996</v>
      </c>
      <c r="D76" s="163">
        <v>30194.100000000002</v>
      </c>
      <c r="E76" s="163">
        <v>0</v>
      </c>
      <c r="F76" s="163">
        <v>1150.6000000000004</v>
      </c>
      <c r="G76" s="164">
        <v>30194.100000000002</v>
      </c>
      <c r="H76" s="163">
        <v>5336.2727299909839</v>
      </c>
      <c r="I76" s="165">
        <v>17.673229968738873</v>
      </c>
      <c r="J76" s="164">
        <v>24857.827270009017</v>
      </c>
      <c r="K76" s="163">
        <v>376.61200000000053</v>
      </c>
      <c r="L76" s="163">
        <v>183.68080000000009</v>
      </c>
      <c r="M76" s="163">
        <v>451.74100000076396</v>
      </c>
      <c r="N76" s="163">
        <v>509.39424000110466</v>
      </c>
      <c r="O76" s="163">
        <v>1.687065486307274</v>
      </c>
      <c r="P76" s="163">
        <v>380.35701000046731</v>
      </c>
      <c r="Q76" s="146" t="s">
        <v>186</v>
      </c>
      <c r="T76" s="170"/>
    </row>
    <row r="77" spans="1:20" ht="10.7" customHeight="1" x14ac:dyDescent="0.2">
      <c r="A77" s="122"/>
      <c r="B77" s="168"/>
      <c r="C77" s="162"/>
      <c r="D77" s="163"/>
      <c r="E77" s="163"/>
      <c r="F77" s="163"/>
      <c r="G77" s="164"/>
      <c r="H77" s="163"/>
      <c r="I77" s="165"/>
      <c r="J77" s="164"/>
      <c r="K77" s="163"/>
      <c r="L77" s="163"/>
      <c r="M77" s="163"/>
      <c r="N77" s="163"/>
      <c r="O77" s="163"/>
      <c r="P77" s="163"/>
      <c r="Q77" s="146"/>
    </row>
    <row r="78" spans="1:20" ht="10.7" customHeight="1" x14ac:dyDescent="0.2">
      <c r="A78" s="122"/>
      <c r="B78" s="161" t="s">
        <v>107</v>
      </c>
      <c r="C78" s="162">
        <v>1.9</v>
      </c>
      <c r="D78" s="163">
        <v>1.9</v>
      </c>
      <c r="E78" s="163">
        <v>0</v>
      </c>
      <c r="F78" s="163">
        <v>0</v>
      </c>
      <c r="G78" s="164">
        <v>1.9</v>
      </c>
      <c r="H78" s="163">
        <v>0</v>
      </c>
      <c r="I78" s="165">
        <v>0</v>
      </c>
      <c r="J78" s="164">
        <v>1.9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46" t="s">
        <v>186</v>
      </c>
    </row>
    <row r="79" spans="1:20" ht="10.7" customHeight="1" x14ac:dyDescent="0.2">
      <c r="A79" s="122"/>
      <c r="B79" s="161" t="s">
        <v>108</v>
      </c>
      <c r="C79" s="162">
        <v>1.4</v>
      </c>
      <c r="D79" s="162">
        <v>1.4</v>
      </c>
      <c r="E79" s="173">
        <v>0</v>
      </c>
      <c r="F79" s="163">
        <v>0</v>
      </c>
      <c r="G79" s="164">
        <v>1.4</v>
      </c>
      <c r="H79" s="163">
        <v>0.21149999999999999</v>
      </c>
      <c r="I79" s="165">
        <v>15.107142857142858</v>
      </c>
      <c r="J79" s="164">
        <v>1.1884999999999999</v>
      </c>
      <c r="K79" s="163">
        <v>0</v>
      </c>
      <c r="L79" s="163">
        <v>0</v>
      </c>
      <c r="M79" s="163">
        <v>9.2999999999999958E-3</v>
      </c>
      <c r="N79" s="163">
        <v>0.15899999999999997</v>
      </c>
      <c r="O79" s="163">
        <v>11.357142857142856</v>
      </c>
      <c r="P79" s="163">
        <v>4.2074999999999994E-2</v>
      </c>
      <c r="Q79" s="146">
        <v>26.247177658942366</v>
      </c>
    </row>
    <row r="80" spans="1:20" ht="10.7" customHeight="1" x14ac:dyDescent="0.2">
      <c r="A80" s="122"/>
      <c r="B80" s="174" t="s">
        <v>109</v>
      </c>
      <c r="C80" s="162">
        <v>104.3</v>
      </c>
      <c r="D80" s="162">
        <v>51.3</v>
      </c>
      <c r="E80" s="173">
        <v>0</v>
      </c>
      <c r="F80" s="163">
        <v>-53</v>
      </c>
      <c r="G80" s="164">
        <v>51.3</v>
      </c>
      <c r="H80" s="163">
        <v>1.0384</v>
      </c>
      <c r="I80" s="165">
        <v>2.0241715399610136</v>
      </c>
      <c r="J80" s="164">
        <v>50.261599999999994</v>
      </c>
      <c r="K80" s="163">
        <v>0.23670000000000002</v>
      </c>
      <c r="L80" s="163">
        <v>0</v>
      </c>
      <c r="M80" s="163">
        <v>0.23380000000000001</v>
      </c>
      <c r="N80" s="163">
        <v>6.0000000000000053E-3</v>
      </c>
      <c r="O80" s="163">
        <v>1.169590643274855E-2</v>
      </c>
      <c r="P80" s="163">
        <v>0.11912500000000001</v>
      </c>
      <c r="Q80" s="146" t="s">
        <v>186</v>
      </c>
    </row>
    <row r="81" spans="1:21" ht="10.7" customHeight="1" x14ac:dyDescent="0.2">
      <c r="A81" s="122"/>
      <c r="B81" s="174" t="s">
        <v>110</v>
      </c>
      <c r="C81" s="162"/>
      <c r="D81" s="163">
        <v>0</v>
      </c>
      <c r="E81" s="163"/>
      <c r="F81" s="163">
        <v>0</v>
      </c>
      <c r="G81" s="164">
        <v>0</v>
      </c>
      <c r="H81" s="163">
        <v>0</v>
      </c>
      <c r="I81" s="165" t="s">
        <v>119</v>
      </c>
      <c r="J81" s="164">
        <v>0</v>
      </c>
      <c r="K81" s="163"/>
      <c r="L81" s="163"/>
      <c r="M81" s="163"/>
      <c r="N81" s="163"/>
      <c r="O81" s="163"/>
      <c r="P81" s="163"/>
      <c r="Q81" s="146">
        <v>0</v>
      </c>
      <c r="T81" s="130"/>
    </row>
    <row r="82" spans="1:21" ht="10.7" customHeight="1" x14ac:dyDescent="0.2">
      <c r="A82" s="122"/>
      <c r="B82" s="174" t="s">
        <v>111</v>
      </c>
      <c r="C82" s="162">
        <v>621.70000000000005</v>
      </c>
      <c r="D82" s="163"/>
      <c r="E82" s="163"/>
      <c r="F82" s="163"/>
      <c r="G82" s="164">
        <v>621.70000000000005</v>
      </c>
      <c r="H82" s="163"/>
      <c r="I82" s="165"/>
      <c r="J82" s="164">
        <v>621.70000000000005</v>
      </c>
      <c r="K82" s="163"/>
      <c r="L82" s="163"/>
      <c r="M82" s="163"/>
      <c r="N82" s="163"/>
      <c r="O82" s="163"/>
      <c r="P82" s="169"/>
      <c r="Q82" s="146"/>
      <c r="T82" s="130"/>
    </row>
    <row r="83" spans="1:21" ht="10.7" customHeight="1" x14ac:dyDescent="0.2">
      <c r="A83" s="122"/>
      <c r="B83" s="175" t="s">
        <v>112</v>
      </c>
      <c r="C83" s="176">
        <v>29772.799999999996</v>
      </c>
      <c r="D83" s="176">
        <v>30248.7</v>
      </c>
      <c r="E83" s="177">
        <v>0</v>
      </c>
      <c r="F83" s="180">
        <v>1097.6000000000004</v>
      </c>
      <c r="G83" s="189">
        <v>30870.400000000001</v>
      </c>
      <c r="H83" s="180">
        <v>5337.5226299909837</v>
      </c>
      <c r="I83" s="179">
        <v>17.290098702935445</v>
      </c>
      <c r="J83" s="189">
        <v>25532.877370009017</v>
      </c>
      <c r="K83" s="180">
        <v>376.84870000000001</v>
      </c>
      <c r="L83" s="180">
        <v>183.680800000001</v>
      </c>
      <c r="M83" s="180">
        <v>451.98410000076274</v>
      </c>
      <c r="N83" s="180">
        <v>509.55924000110554</v>
      </c>
      <c r="O83" s="180">
        <v>1.6845657499367097</v>
      </c>
      <c r="P83" s="190">
        <v>380.51821000046732</v>
      </c>
      <c r="Q83" s="153" t="s">
        <v>186</v>
      </c>
      <c r="T83" s="130"/>
      <c r="U83" s="170"/>
    </row>
    <row r="84" spans="1:21" ht="10.7" customHeight="1" x14ac:dyDescent="0.2">
      <c r="A84" s="122"/>
      <c r="B84" s="191" t="s">
        <v>241</v>
      </c>
      <c r="C84" s="191"/>
      <c r="D84" s="183"/>
      <c r="E84" s="183"/>
      <c r="F84" s="183"/>
      <c r="G84" s="184"/>
      <c r="H84" s="183"/>
      <c r="I84" s="163"/>
      <c r="J84" s="184"/>
      <c r="K84" s="185"/>
      <c r="L84" s="185"/>
      <c r="M84" s="185"/>
      <c r="N84" s="185"/>
      <c r="O84" s="173"/>
      <c r="P84" s="183"/>
      <c r="Q84" s="182"/>
      <c r="T84" s="130"/>
    </row>
    <row r="85" spans="1:21" ht="10.7" customHeight="1" x14ac:dyDescent="0.2">
      <c r="A85" s="122"/>
      <c r="B85" s="123" t="s">
        <v>114</v>
      </c>
      <c r="C85" s="123"/>
      <c r="J85" s="192"/>
      <c r="T85" s="130"/>
    </row>
    <row r="89" spans="1:21" ht="10.7" customHeight="1" x14ac:dyDescent="0.2">
      <c r="A89" s="122"/>
      <c r="B89" s="123" t="s">
        <v>185</v>
      </c>
      <c r="C89" s="123"/>
      <c r="P89" s="128"/>
      <c r="T89" s="130"/>
    </row>
    <row r="90" spans="1:21" ht="10.7" customHeight="1" x14ac:dyDescent="0.2">
      <c r="A90" s="122"/>
      <c r="B90" s="131" t="s">
        <v>240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43166</v>
      </c>
      <c r="L94" s="151">
        <v>43173</v>
      </c>
      <c r="M94" s="151">
        <v>43180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6"/>
      <c r="C96" s="193" t="s">
        <v>164</v>
      </c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4"/>
      <c r="Q96" s="145"/>
      <c r="T96" s="130"/>
    </row>
    <row r="97" spans="1:17" s="130" customFormat="1" ht="10.7" customHeight="1" x14ac:dyDescent="0.2">
      <c r="A97" s="122"/>
      <c r="B97" s="161" t="s">
        <v>80</v>
      </c>
      <c r="C97" s="162">
        <v>3763.3</v>
      </c>
      <c r="D97" s="163">
        <v>3743.2000000000003</v>
      </c>
      <c r="E97" s="163">
        <v>-15.099999999999909</v>
      </c>
      <c r="F97" s="163">
        <v>-20.099999999999909</v>
      </c>
      <c r="G97" s="164">
        <v>3743.2000000000003</v>
      </c>
      <c r="H97" s="163">
        <v>851.02410000686643</v>
      </c>
      <c r="I97" s="165">
        <v>22.73520250071774</v>
      </c>
      <c r="J97" s="164">
        <v>2892.175899993134</v>
      </c>
      <c r="K97" s="163">
        <v>115.83799999999997</v>
      </c>
      <c r="L97" s="163">
        <v>67.745000000000118</v>
      </c>
      <c r="M97" s="163">
        <v>51.194599999999923</v>
      </c>
      <c r="N97" s="163">
        <v>90.880999999999972</v>
      </c>
      <c r="O97" s="163">
        <v>2.4278959179311812</v>
      </c>
      <c r="P97" s="163">
        <v>81.414649999999995</v>
      </c>
      <c r="Q97" s="146">
        <v>33.524023010516338</v>
      </c>
    </row>
    <row r="98" spans="1:17" s="130" customFormat="1" ht="10.7" customHeight="1" x14ac:dyDescent="0.2">
      <c r="A98" s="122"/>
      <c r="B98" s="161" t="s">
        <v>81</v>
      </c>
      <c r="C98" s="162">
        <v>813.1</v>
      </c>
      <c r="D98" s="163">
        <v>830.7</v>
      </c>
      <c r="E98" s="163">
        <v>15</v>
      </c>
      <c r="F98" s="163">
        <v>17.600000000000023</v>
      </c>
      <c r="G98" s="164">
        <v>830.7</v>
      </c>
      <c r="H98" s="163">
        <v>143.84950000000001</v>
      </c>
      <c r="I98" s="165">
        <v>17.316660647646565</v>
      </c>
      <c r="J98" s="164">
        <v>686.85050000000001</v>
      </c>
      <c r="K98" s="163">
        <v>0.70009999999999195</v>
      </c>
      <c r="L98" s="163">
        <v>11.722999999999999</v>
      </c>
      <c r="M98" s="163">
        <v>18.095000000000013</v>
      </c>
      <c r="N98" s="163">
        <v>21.926000000000002</v>
      </c>
      <c r="O98" s="163">
        <v>2.6394606957987241</v>
      </c>
      <c r="P98" s="163">
        <v>13.111025000000001</v>
      </c>
      <c r="Q98" s="146" t="s">
        <v>186</v>
      </c>
    </row>
    <row r="99" spans="1:17" s="130" customFormat="1" ht="10.7" customHeight="1" x14ac:dyDescent="0.2">
      <c r="A99" s="122"/>
      <c r="B99" s="161" t="s">
        <v>82</v>
      </c>
      <c r="C99" s="162">
        <v>1858.6</v>
      </c>
      <c r="D99" s="163">
        <v>1876.6999999999998</v>
      </c>
      <c r="E99" s="163">
        <v>-1</v>
      </c>
      <c r="F99" s="163">
        <v>18.099999999999909</v>
      </c>
      <c r="G99" s="164">
        <v>1876.6999999999998</v>
      </c>
      <c r="H99" s="163">
        <v>429.51400000000001</v>
      </c>
      <c r="I99" s="165">
        <v>22.886662759098421</v>
      </c>
      <c r="J99" s="164">
        <v>1447.1859999999997</v>
      </c>
      <c r="K99" s="163">
        <v>40.031999999999982</v>
      </c>
      <c r="L99" s="163">
        <v>3.1140000000000327</v>
      </c>
      <c r="M99" s="163">
        <v>66.519000000000005</v>
      </c>
      <c r="N99" s="163">
        <v>57.081999999999994</v>
      </c>
      <c r="O99" s="163">
        <v>3.0416156018543186</v>
      </c>
      <c r="P99" s="163">
        <v>41.686750000000004</v>
      </c>
      <c r="Q99" s="146">
        <v>32.715731017649482</v>
      </c>
    </row>
    <row r="100" spans="1:17" s="130" customFormat="1" ht="10.7" customHeight="1" x14ac:dyDescent="0.2">
      <c r="A100" s="122"/>
      <c r="B100" s="161" t="s">
        <v>83</v>
      </c>
      <c r="C100" s="162">
        <v>2946.7</v>
      </c>
      <c r="D100" s="163">
        <v>3002.6</v>
      </c>
      <c r="E100" s="163">
        <v>55.900000000000091</v>
      </c>
      <c r="F100" s="163">
        <v>55.900000000000091</v>
      </c>
      <c r="G100" s="164">
        <v>3002.6</v>
      </c>
      <c r="H100" s="163">
        <v>790.529</v>
      </c>
      <c r="I100" s="165">
        <v>26.328148937587422</v>
      </c>
      <c r="J100" s="164">
        <v>2212.0709999999999</v>
      </c>
      <c r="K100" s="163">
        <v>54.293000000000006</v>
      </c>
      <c r="L100" s="163">
        <v>38.583999999999946</v>
      </c>
      <c r="M100" s="163">
        <v>39.659999999999968</v>
      </c>
      <c r="N100" s="163">
        <v>47.816000000000031</v>
      </c>
      <c r="O100" s="163">
        <v>1.5924865116898699</v>
      </c>
      <c r="P100" s="163">
        <v>45.088249999999988</v>
      </c>
      <c r="Q100" s="146">
        <v>47.060919419139147</v>
      </c>
    </row>
    <row r="101" spans="1:17" s="130" customFormat="1" ht="10.7" customHeight="1" x14ac:dyDescent="0.2">
      <c r="A101" s="122"/>
      <c r="B101" s="161" t="s">
        <v>84</v>
      </c>
      <c r="C101" s="162">
        <v>114.9</v>
      </c>
      <c r="D101" s="163">
        <v>114.9</v>
      </c>
      <c r="E101" s="163">
        <v>0</v>
      </c>
      <c r="F101" s="163">
        <v>0</v>
      </c>
      <c r="G101" s="164">
        <v>114.9</v>
      </c>
      <c r="H101" s="163">
        <v>45.513199999999998</v>
      </c>
      <c r="I101" s="165">
        <v>39.611140121845075</v>
      </c>
      <c r="J101" s="164">
        <v>69.386800000000008</v>
      </c>
      <c r="K101" s="163">
        <v>3.3181000000000012</v>
      </c>
      <c r="L101" s="163">
        <v>6.5480000000000054</v>
      </c>
      <c r="M101" s="163">
        <v>3.5268000000000015</v>
      </c>
      <c r="N101" s="163">
        <v>3.8937999999999917</v>
      </c>
      <c r="O101" s="163">
        <v>3.3888598781549102</v>
      </c>
      <c r="P101" s="163">
        <v>4.3216749999999999</v>
      </c>
      <c r="Q101" s="146">
        <v>14.055534023266443</v>
      </c>
    </row>
    <row r="102" spans="1:17" s="130" customFormat="1" ht="10.7" customHeight="1" x14ac:dyDescent="0.2">
      <c r="A102" s="122"/>
      <c r="B102" s="161" t="s">
        <v>85</v>
      </c>
      <c r="C102" s="162">
        <v>144.1</v>
      </c>
      <c r="D102" s="163">
        <v>161.9</v>
      </c>
      <c r="E102" s="163">
        <v>6</v>
      </c>
      <c r="F102" s="163">
        <v>17.800000000000011</v>
      </c>
      <c r="G102" s="164">
        <v>161.9</v>
      </c>
      <c r="H102" s="163">
        <v>13.084999999999999</v>
      </c>
      <c r="I102" s="165">
        <v>8.0821494749845577</v>
      </c>
      <c r="J102" s="164">
        <v>148.815</v>
      </c>
      <c r="K102" s="163">
        <v>1.2799999999999994</v>
      </c>
      <c r="L102" s="163">
        <v>0.1720000000000006</v>
      </c>
      <c r="M102" s="163">
        <v>0.12000000000000099</v>
      </c>
      <c r="N102" s="163">
        <v>0.31999999999999851</v>
      </c>
      <c r="O102" s="163">
        <v>0.19765287214329741</v>
      </c>
      <c r="P102" s="163">
        <v>0.47299999999999986</v>
      </c>
      <c r="Q102" s="146" t="s">
        <v>186</v>
      </c>
    </row>
    <row r="103" spans="1:17" s="130" customFormat="1" ht="10.7" customHeight="1" x14ac:dyDescent="0.2">
      <c r="A103" s="122"/>
      <c r="B103" s="161" t="s">
        <v>86</v>
      </c>
      <c r="C103" s="162">
        <v>251.1</v>
      </c>
      <c r="D103" s="163">
        <v>249.4</v>
      </c>
      <c r="E103" s="163">
        <v>0</v>
      </c>
      <c r="F103" s="163">
        <v>-1.6999999999999886</v>
      </c>
      <c r="G103" s="164">
        <v>249.4</v>
      </c>
      <c r="H103" s="163">
        <v>17.853999999999999</v>
      </c>
      <c r="I103" s="165">
        <v>7.1587810745789886</v>
      </c>
      <c r="J103" s="164">
        <v>231.54599999999999</v>
      </c>
      <c r="K103" s="163">
        <v>0</v>
      </c>
      <c r="L103" s="163">
        <v>0</v>
      </c>
      <c r="M103" s="163">
        <v>1.054000000000002</v>
      </c>
      <c r="N103" s="163">
        <v>-1.0000000000012221E-3</v>
      </c>
      <c r="O103" s="163">
        <v>-4.0096230954339302E-4</v>
      </c>
      <c r="P103" s="163">
        <v>0.26325000000000021</v>
      </c>
      <c r="Q103" s="146" t="s">
        <v>186</v>
      </c>
    </row>
    <row r="104" spans="1:17" s="130" customFormat="1" ht="10.7" customHeight="1" x14ac:dyDescent="0.2">
      <c r="A104" s="122"/>
      <c r="B104" s="161" t="s">
        <v>87</v>
      </c>
      <c r="C104" s="162">
        <v>170.6</v>
      </c>
      <c r="D104" s="163">
        <v>170.6</v>
      </c>
      <c r="E104" s="163">
        <v>0</v>
      </c>
      <c r="F104" s="163">
        <v>0</v>
      </c>
      <c r="G104" s="164">
        <v>170.6</v>
      </c>
      <c r="H104" s="163">
        <v>41.780099999999997</v>
      </c>
      <c r="I104" s="165">
        <v>24.490093786635402</v>
      </c>
      <c r="J104" s="164">
        <v>128.81989999999999</v>
      </c>
      <c r="K104" s="163">
        <v>2.0670000000000002</v>
      </c>
      <c r="L104" s="163">
        <v>0</v>
      </c>
      <c r="M104" s="163">
        <v>5.2498000000000005</v>
      </c>
      <c r="N104" s="163">
        <v>0.55529999999999546</v>
      </c>
      <c r="O104" s="163">
        <v>0.32549824150058354</v>
      </c>
      <c r="P104" s="163">
        <v>1.968024999999999</v>
      </c>
      <c r="Q104" s="146" t="s">
        <v>186</v>
      </c>
    </row>
    <row r="105" spans="1:17" s="130" customFormat="1" ht="10.7" customHeight="1" x14ac:dyDescent="0.2">
      <c r="A105" s="122"/>
      <c r="B105" s="161" t="s">
        <v>88</v>
      </c>
      <c r="C105" s="162">
        <v>0.4</v>
      </c>
      <c r="D105" s="163">
        <v>0.4</v>
      </c>
      <c r="E105" s="163">
        <v>0</v>
      </c>
      <c r="F105" s="163">
        <v>0</v>
      </c>
      <c r="G105" s="164">
        <v>0.4</v>
      </c>
      <c r="H105" s="163">
        <v>0</v>
      </c>
      <c r="I105" s="165">
        <v>0</v>
      </c>
      <c r="J105" s="164">
        <v>0.4</v>
      </c>
      <c r="K105" s="163">
        <v>0</v>
      </c>
      <c r="L105" s="163">
        <v>0</v>
      </c>
      <c r="M105" s="163">
        <v>0</v>
      </c>
      <c r="N105" s="163">
        <v>0</v>
      </c>
      <c r="O105" s="163">
        <v>0</v>
      </c>
      <c r="P105" s="163">
        <v>0</v>
      </c>
      <c r="Q105" s="146" t="s">
        <v>162</v>
      </c>
    </row>
    <row r="106" spans="1:17" s="130" customFormat="1" ht="10.7" customHeight="1" x14ac:dyDescent="0.2">
      <c r="A106" s="122"/>
      <c r="B106" s="161" t="s">
        <v>89</v>
      </c>
      <c r="C106" s="162">
        <v>504.2</v>
      </c>
      <c r="D106" s="163">
        <v>387.9</v>
      </c>
      <c r="E106" s="163">
        <v>0</v>
      </c>
      <c r="F106" s="163">
        <v>-116.30000000000001</v>
      </c>
      <c r="G106" s="164">
        <v>387.9</v>
      </c>
      <c r="H106" s="163">
        <v>19.376000000000001</v>
      </c>
      <c r="I106" s="165">
        <v>4.9951018303686521</v>
      </c>
      <c r="J106" s="164">
        <v>368.524</v>
      </c>
      <c r="K106" s="163">
        <v>0.11100000000000065</v>
      </c>
      <c r="L106" s="163">
        <v>0.23600000000000065</v>
      </c>
      <c r="M106" s="163">
        <v>0</v>
      </c>
      <c r="N106" s="163">
        <v>1.8719999999999999</v>
      </c>
      <c r="O106" s="163">
        <v>0.48259860788863107</v>
      </c>
      <c r="P106" s="163">
        <v>0.5547500000000003</v>
      </c>
      <c r="Q106" s="146" t="s">
        <v>186</v>
      </c>
    </row>
    <row r="107" spans="1:17" s="130" customFormat="1" ht="10.7" customHeight="1" x14ac:dyDescent="0.2">
      <c r="A107" s="122"/>
      <c r="B107" s="168" t="s">
        <v>91</v>
      </c>
      <c r="C107" s="162">
        <v>10567.000000000002</v>
      </c>
      <c r="D107" s="163">
        <v>10538.3</v>
      </c>
      <c r="E107" s="163">
        <v>60.800000000000182</v>
      </c>
      <c r="F107" s="163">
        <v>-28.699999999999875</v>
      </c>
      <c r="G107" s="164">
        <v>10538.3</v>
      </c>
      <c r="H107" s="163">
        <v>2352.5249000068661</v>
      </c>
      <c r="I107" s="165">
        <v>22.32357116429468</v>
      </c>
      <c r="J107" s="164">
        <v>8185.7750999931341</v>
      </c>
      <c r="K107" s="163">
        <v>217.63919999999993</v>
      </c>
      <c r="L107" s="163">
        <v>128.1220000000001</v>
      </c>
      <c r="M107" s="163">
        <v>185.41919999999993</v>
      </c>
      <c r="N107" s="163">
        <v>224.34509999999995</v>
      </c>
      <c r="O107" s="163">
        <v>2.1288547488684131</v>
      </c>
      <c r="P107" s="169">
        <v>188.88137500000002</v>
      </c>
      <c r="Q107" s="146">
        <v>41.338180379050783</v>
      </c>
    </row>
    <row r="108" spans="1:17" s="130" customFormat="1" ht="10.7" customHeight="1" x14ac:dyDescent="0.2">
      <c r="A108" s="122"/>
      <c r="B108" s="168"/>
      <c r="C108" s="134"/>
      <c r="D108" s="163"/>
      <c r="E108" s="163"/>
      <c r="F108" s="163"/>
      <c r="G108" s="164"/>
      <c r="H108" s="163"/>
      <c r="I108" s="165"/>
      <c r="J108" s="164"/>
      <c r="K108" s="163"/>
      <c r="L108" s="163"/>
      <c r="M108" s="163"/>
      <c r="N108" s="163"/>
      <c r="O108" s="163"/>
      <c r="P108" s="163"/>
      <c r="Q108" s="146"/>
    </row>
    <row r="109" spans="1:17" s="130" customFormat="1" ht="10.7" customHeight="1" x14ac:dyDescent="0.2">
      <c r="A109" s="122"/>
      <c r="B109" s="161" t="s">
        <v>92</v>
      </c>
      <c r="C109" s="162">
        <v>931.2</v>
      </c>
      <c r="D109" s="163">
        <v>1055.4000000000001</v>
      </c>
      <c r="E109" s="163">
        <v>-5</v>
      </c>
      <c r="F109" s="163">
        <v>124.20000000000005</v>
      </c>
      <c r="G109" s="164">
        <v>1055.4000000000001</v>
      </c>
      <c r="H109" s="163">
        <v>102.5460000009537</v>
      </c>
      <c r="I109" s="165">
        <v>9.7163160887771163</v>
      </c>
      <c r="J109" s="164">
        <v>952.85399999904644</v>
      </c>
      <c r="K109" s="163">
        <v>9.5808999999999997</v>
      </c>
      <c r="L109" s="163">
        <v>7.0885000009537151</v>
      </c>
      <c r="M109" s="163">
        <v>9.080299999999994</v>
      </c>
      <c r="N109" s="163">
        <v>6.9590999999999923</v>
      </c>
      <c r="O109" s="163">
        <v>0.65938032973280192</v>
      </c>
      <c r="P109" s="163">
        <v>8.1772000002384253</v>
      </c>
      <c r="Q109" s="146" t="s">
        <v>186</v>
      </c>
    </row>
    <row r="110" spans="1:17" s="130" customFormat="1" ht="10.7" customHeight="1" x14ac:dyDescent="0.2">
      <c r="A110" s="122"/>
      <c r="B110" s="161" t="s">
        <v>93</v>
      </c>
      <c r="C110" s="162">
        <v>1052.4000000000001</v>
      </c>
      <c r="D110" s="163">
        <v>1016.8000000000001</v>
      </c>
      <c r="E110" s="163">
        <v>-5</v>
      </c>
      <c r="F110" s="163">
        <v>-35.600000000000023</v>
      </c>
      <c r="G110" s="164">
        <v>1016.8000000000001</v>
      </c>
      <c r="H110" s="163">
        <v>321.84220000000005</v>
      </c>
      <c r="I110" s="165">
        <v>31.652458693941782</v>
      </c>
      <c r="J110" s="164">
        <v>694.95780000000002</v>
      </c>
      <c r="K110" s="163">
        <v>49.465100000000007</v>
      </c>
      <c r="L110" s="163">
        <v>1.924900000000008</v>
      </c>
      <c r="M110" s="163">
        <v>65.415500000000009</v>
      </c>
      <c r="N110" s="163">
        <v>66.983500000000021</v>
      </c>
      <c r="O110" s="163">
        <v>6.5876770259638091</v>
      </c>
      <c r="P110" s="163">
        <v>45.947250000000011</v>
      </c>
      <c r="Q110" s="146">
        <v>13.125122831072586</v>
      </c>
    </row>
    <row r="111" spans="1:17" s="130" customFormat="1" ht="10.7" hidden="1" customHeight="1" x14ac:dyDescent="0.2">
      <c r="A111" s="122"/>
      <c r="B111" s="161" t="s">
        <v>94</v>
      </c>
      <c r="C111" s="162">
        <v>0</v>
      </c>
      <c r="D111" s="163">
        <v>0</v>
      </c>
      <c r="E111" s="163">
        <v>0</v>
      </c>
      <c r="F111" s="163">
        <v>0</v>
      </c>
      <c r="G111" s="164">
        <v>0</v>
      </c>
      <c r="H111" s="163">
        <v>0</v>
      </c>
      <c r="I111" s="165" t="s">
        <v>119</v>
      </c>
      <c r="J111" s="164">
        <v>0</v>
      </c>
      <c r="K111" s="163">
        <v>0</v>
      </c>
      <c r="L111" s="163">
        <v>0</v>
      </c>
      <c r="M111" s="163">
        <v>0</v>
      </c>
      <c r="N111" s="163">
        <v>0</v>
      </c>
      <c r="O111" s="163" t="s">
        <v>42</v>
      </c>
      <c r="P111" s="163">
        <v>0</v>
      </c>
      <c r="Q111" s="146">
        <v>0</v>
      </c>
    </row>
    <row r="112" spans="1:17" s="130" customFormat="1" ht="10.7" customHeight="1" x14ac:dyDescent="0.2">
      <c r="A112" s="122"/>
      <c r="B112" s="161" t="s">
        <v>95</v>
      </c>
      <c r="C112" s="162">
        <v>19.600000000000001</v>
      </c>
      <c r="D112" s="163">
        <v>19.600000000000001</v>
      </c>
      <c r="E112" s="163">
        <v>0</v>
      </c>
      <c r="F112" s="163">
        <v>0</v>
      </c>
      <c r="G112" s="164">
        <v>19.600000000000001</v>
      </c>
      <c r="H112" s="163">
        <v>10.7631</v>
      </c>
      <c r="I112" s="165">
        <v>54.913775510204076</v>
      </c>
      <c r="J112" s="164">
        <v>8.8369000000000018</v>
      </c>
      <c r="K112" s="163">
        <v>7.6599999999999113E-2</v>
      </c>
      <c r="L112" s="163">
        <v>0</v>
      </c>
      <c r="M112" s="163">
        <v>7.3100000000000165E-2</v>
      </c>
      <c r="N112" s="163">
        <v>2.5648999999999997</v>
      </c>
      <c r="O112" s="163">
        <v>13.086224489795917</v>
      </c>
      <c r="P112" s="163">
        <v>0.67864999999999975</v>
      </c>
      <c r="Q112" s="146">
        <v>11.021292271421212</v>
      </c>
    </row>
    <row r="113" spans="1:17" s="130" customFormat="1" ht="10.7" customHeight="1" x14ac:dyDescent="0.2">
      <c r="A113" s="122"/>
      <c r="B113" s="161" t="s">
        <v>96</v>
      </c>
      <c r="C113" s="162">
        <v>135.19999999999999</v>
      </c>
      <c r="D113" s="163">
        <v>124.79999999999998</v>
      </c>
      <c r="E113" s="163">
        <v>-0.80000000000001137</v>
      </c>
      <c r="F113" s="163">
        <v>-10.400000000000006</v>
      </c>
      <c r="G113" s="164">
        <v>124.79999999999998</v>
      </c>
      <c r="H113" s="163">
        <v>49.102000000000004</v>
      </c>
      <c r="I113" s="165">
        <v>39.344551282051292</v>
      </c>
      <c r="J113" s="164">
        <v>75.697999999999979</v>
      </c>
      <c r="K113" s="163">
        <v>9.1072999999999986</v>
      </c>
      <c r="L113" s="163">
        <v>0.92500000000000071</v>
      </c>
      <c r="M113" s="163">
        <v>13.094500000000004</v>
      </c>
      <c r="N113" s="163">
        <v>6.3220000000000027</v>
      </c>
      <c r="O113" s="163">
        <v>5.0657051282051304</v>
      </c>
      <c r="P113" s="163">
        <v>7.3622000000000014</v>
      </c>
      <c r="Q113" s="146">
        <v>8.2819809296134252</v>
      </c>
    </row>
    <row r="114" spans="1:17" s="130" customFormat="1" ht="10.7" customHeight="1" x14ac:dyDescent="0.2">
      <c r="A114" s="122"/>
      <c r="B114" s="161" t="s">
        <v>97</v>
      </c>
      <c r="C114" s="162">
        <v>242.4</v>
      </c>
      <c r="D114" s="163">
        <v>242.4</v>
      </c>
      <c r="E114" s="163">
        <v>0</v>
      </c>
      <c r="F114" s="163">
        <v>0</v>
      </c>
      <c r="G114" s="164">
        <v>242.4</v>
      </c>
      <c r="H114" s="163">
        <v>0</v>
      </c>
      <c r="I114" s="165">
        <v>0</v>
      </c>
      <c r="J114" s="164">
        <v>242.4</v>
      </c>
      <c r="K114" s="163">
        <v>0</v>
      </c>
      <c r="L114" s="163">
        <v>0</v>
      </c>
      <c r="M114" s="163">
        <v>0</v>
      </c>
      <c r="N114" s="163">
        <v>0</v>
      </c>
      <c r="O114" s="163">
        <v>0</v>
      </c>
      <c r="P114" s="163">
        <v>0</v>
      </c>
      <c r="Q114" s="146" t="s">
        <v>186</v>
      </c>
    </row>
    <row r="115" spans="1:17" s="130" customFormat="1" ht="10.7" customHeight="1" x14ac:dyDescent="0.2">
      <c r="A115" s="122"/>
      <c r="B115" s="161" t="s">
        <v>98</v>
      </c>
      <c r="C115" s="162">
        <v>472.9</v>
      </c>
      <c r="D115" s="163">
        <v>487.9</v>
      </c>
      <c r="E115" s="163">
        <v>-50</v>
      </c>
      <c r="F115" s="163">
        <v>15</v>
      </c>
      <c r="G115" s="164">
        <v>487.9</v>
      </c>
      <c r="H115" s="163">
        <v>97.9619</v>
      </c>
      <c r="I115" s="165">
        <v>20.078274236523878</v>
      </c>
      <c r="J115" s="164">
        <v>389.93809999999996</v>
      </c>
      <c r="K115" s="163">
        <v>1.3907999999999987</v>
      </c>
      <c r="L115" s="163">
        <v>2.4230000000000018</v>
      </c>
      <c r="M115" s="163">
        <v>21.363500000000002</v>
      </c>
      <c r="N115" s="163">
        <v>28.336799999999997</v>
      </c>
      <c r="O115" s="163">
        <v>5.8079114572658321</v>
      </c>
      <c r="P115" s="163">
        <v>13.378525</v>
      </c>
      <c r="Q115" s="146">
        <v>27.146568848210094</v>
      </c>
    </row>
    <row r="116" spans="1:17" s="130" customFormat="1" ht="10.7" customHeight="1" x14ac:dyDescent="0.2">
      <c r="A116" s="122"/>
      <c r="B116" s="161" t="s">
        <v>99</v>
      </c>
      <c r="C116" s="162">
        <v>51</v>
      </c>
      <c r="D116" s="163">
        <v>51</v>
      </c>
      <c r="E116" s="163">
        <v>0</v>
      </c>
      <c r="F116" s="163">
        <v>0</v>
      </c>
      <c r="G116" s="164">
        <v>51</v>
      </c>
      <c r="H116" s="163">
        <v>0</v>
      </c>
      <c r="I116" s="165">
        <v>0</v>
      </c>
      <c r="J116" s="164">
        <v>51</v>
      </c>
      <c r="K116" s="163">
        <v>0</v>
      </c>
      <c r="L116" s="163">
        <v>0</v>
      </c>
      <c r="M116" s="163">
        <v>0</v>
      </c>
      <c r="N116" s="163">
        <v>0</v>
      </c>
      <c r="O116" s="163">
        <v>0</v>
      </c>
      <c r="P116" s="163">
        <v>0</v>
      </c>
      <c r="Q116" s="146" t="s">
        <v>186</v>
      </c>
    </row>
    <row r="117" spans="1:17" s="130" customFormat="1" ht="10.7" customHeight="1" x14ac:dyDescent="0.2">
      <c r="A117" s="122"/>
      <c r="B117" s="161" t="s">
        <v>100</v>
      </c>
      <c r="C117" s="162">
        <v>22.2</v>
      </c>
      <c r="D117" s="163">
        <v>27.2</v>
      </c>
      <c r="E117" s="163">
        <v>0</v>
      </c>
      <c r="F117" s="163">
        <v>5</v>
      </c>
      <c r="G117" s="164">
        <v>27.2</v>
      </c>
      <c r="H117" s="163">
        <v>0.94350000000000001</v>
      </c>
      <c r="I117" s="165">
        <v>3.46875</v>
      </c>
      <c r="J117" s="164">
        <v>26.256499999999999</v>
      </c>
      <c r="K117" s="163">
        <v>2.4699999999999944E-2</v>
      </c>
      <c r="L117" s="163">
        <v>2.9800000000000049E-2</v>
      </c>
      <c r="M117" s="163">
        <v>0</v>
      </c>
      <c r="N117" s="163">
        <v>3.0399999999999983E-2</v>
      </c>
      <c r="O117" s="163">
        <v>0.11176470588235288</v>
      </c>
      <c r="P117" s="163">
        <v>2.1224999999999994E-2</v>
      </c>
      <c r="Q117" s="146" t="s">
        <v>186</v>
      </c>
    </row>
    <row r="118" spans="1:17" s="130" customFormat="1" ht="10.7" customHeight="1" x14ac:dyDescent="0.2">
      <c r="A118" s="122"/>
      <c r="B118" s="161" t="s">
        <v>101</v>
      </c>
      <c r="C118" s="162">
        <v>20.6</v>
      </c>
      <c r="D118" s="163">
        <v>20.6</v>
      </c>
      <c r="E118" s="163">
        <v>0</v>
      </c>
      <c r="F118" s="163">
        <v>0</v>
      </c>
      <c r="G118" s="164">
        <v>20.6</v>
      </c>
      <c r="H118" s="163">
        <v>5.7576000000000001</v>
      </c>
      <c r="I118" s="165">
        <v>27.949514563106792</v>
      </c>
      <c r="J118" s="164">
        <v>14.842400000000001</v>
      </c>
      <c r="K118" s="163">
        <v>2.4270999999999998</v>
      </c>
      <c r="L118" s="163">
        <v>5.8900000000000396E-2</v>
      </c>
      <c r="M118" s="163">
        <v>3.3000000000003027E-3</v>
      </c>
      <c r="N118" s="163">
        <v>4.6999999999999709E-2</v>
      </c>
      <c r="O118" s="163">
        <v>0.22815533980582384</v>
      </c>
      <c r="P118" s="163">
        <v>0.63407500000000006</v>
      </c>
      <c r="Q118" s="146">
        <v>21.407956472026179</v>
      </c>
    </row>
    <row r="119" spans="1:17" s="130" customFormat="1" ht="10.7" customHeight="1" x14ac:dyDescent="0.2">
      <c r="A119" s="122"/>
      <c r="B119" s="161" t="s">
        <v>102</v>
      </c>
      <c r="C119" s="162">
        <v>0.3</v>
      </c>
      <c r="D119" s="163">
        <v>0.3</v>
      </c>
      <c r="E119" s="163">
        <v>0</v>
      </c>
      <c r="F119" s="163">
        <v>0</v>
      </c>
      <c r="G119" s="164">
        <v>0.3</v>
      </c>
      <c r="H119" s="163">
        <v>0</v>
      </c>
      <c r="I119" s="165">
        <v>0</v>
      </c>
      <c r="J119" s="164">
        <v>0.3</v>
      </c>
      <c r="K119" s="163">
        <v>0</v>
      </c>
      <c r="L119" s="163">
        <v>0</v>
      </c>
      <c r="M119" s="163">
        <v>0</v>
      </c>
      <c r="N119" s="163">
        <v>0</v>
      </c>
      <c r="O119" s="163">
        <v>0</v>
      </c>
      <c r="P119" s="163">
        <v>0</v>
      </c>
      <c r="Q119" s="146" t="s">
        <v>186</v>
      </c>
    </row>
    <row r="120" spans="1:17" s="130" customFormat="1" ht="10.7" customHeight="1" x14ac:dyDescent="0.2">
      <c r="A120" s="122"/>
      <c r="B120" s="161" t="s">
        <v>103</v>
      </c>
      <c r="C120" s="162">
        <v>9.1</v>
      </c>
      <c r="D120" s="163">
        <v>9.1</v>
      </c>
      <c r="E120" s="163">
        <v>0</v>
      </c>
      <c r="F120" s="163">
        <v>0</v>
      </c>
      <c r="G120" s="164">
        <v>9.1</v>
      </c>
      <c r="H120" s="163">
        <v>0</v>
      </c>
      <c r="I120" s="165">
        <v>0</v>
      </c>
      <c r="J120" s="164">
        <v>9.1</v>
      </c>
      <c r="K120" s="163">
        <v>0</v>
      </c>
      <c r="L120" s="163">
        <v>0</v>
      </c>
      <c r="M120" s="163">
        <v>0</v>
      </c>
      <c r="N120" s="163">
        <v>0</v>
      </c>
      <c r="O120" s="163">
        <v>0</v>
      </c>
      <c r="P120" s="163">
        <v>0</v>
      </c>
      <c r="Q120" s="146" t="s">
        <v>186</v>
      </c>
    </row>
    <row r="121" spans="1:17" s="130" customFormat="1" ht="10.7" customHeight="1" x14ac:dyDescent="0.2">
      <c r="A121" s="122"/>
      <c r="B121" s="1" t="s">
        <v>104</v>
      </c>
      <c r="C121" s="162">
        <v>6.1</v>
      </c>
      <c r="D121" s="163">
        <v>6.1</v>
      </c>
      <c r="E121" s="163">
        <v>0</v>
      </c>
      <c r="F121" s="163">
        <v>0</v>
      </c>
      <c r="G121" s="164">
        <v>6.1</v>
      </c>
      <c r="H121" s="163">
        <v>1.7817000000000001</v>
      </c>
      <c r="I121" s="165">
        <v>29.208196721311481</v>
      </c>
      <c r="J121" s="164">
        <v>4.3182999999999998</v>
      </c>
      <c r="K121" s="163">
        <v>0.17480000000000007</v>
      </c>
      <c r="L121" s="163">
        <v>0</v>
      </c>
      <c r="M121" s="163">
        <v>0</v>
      </c>
      <c r="N121" s="163">
        <v>0</v>
      </c>
      <c r="O121" s="163">
        <v>0</v>
      </c>
      <c r="P121" s="163">
        <v>4.3700000000000017E-2</v>
      </c>
      <c r="Q121" s="146" t="s">
        <v>186</v>
      </c>
    </row>
    <row r="122" spans="1:17" s="130" customFormat="1" ht="10.7" customHeight="1" x14ac:dyDescent="0.2">
      <c r="A122" s="122"/>
      <c r="B122" s="168" t="s">
        <v>106</v>
      </c>
      <c r="C122" s="172">
        <v>13530.000000000002</v>
      </c>
      <c r="D122" s="163">
        <v>13599.499999999998</v>
      </c>
      <c r="E122" s="163">
        <v>0</v>
      </c>
      <c r="F122" s="163">
        <v>69.500000000000142</v>
      </c>
      <c r="G122" s="164">
        <v>13599.5</v>
      </c>
      <c r="H122" s="163">
        <v>2943.22290000782</v>
      </c>
      <c r="I122" s="165">
        <v>21.642140519929555</v>
      </c>
      <c r="J122" s="164">
        <v>10656.27709999218</v>
      </c>
      <c r="K122" s="163">
        <v>289.88650000000007</v>
      </c>
      <c r="L122" s="163">
        <v>140.57210000095347</v>
      </c>
      <c r="M122" s="163">
        <v>294.44939999999951</v>
      </c>
      <c r="N122" s="163">
        <v>335.58880000000045</v>
      </c>
      <c r="O122" s="163">
        <v>2.4676554285084045</v>
      </c>
      <c r="P122" s="163">
        <v>265.12420000023837</v>
      </c>
      <c r="Q122" s="146">
        <v>38.193528542406156</v>
      </c>
    </row>
    <row r="123" spans="1:17" s="130" customFormat="1" ht="10.7" customHeight="1" x14ac:dyDescent="0.2">
      <c r="A123" s="122"/>
      <c r="B123" s="168"/>
      <c r="C123" s="162"/>
      <c r="D123" s="163"/>
      <c r="E123" s="163"/>
      <c r="F123" s="163"/>
      <c r="G123" s="164"/>
      <c r="H123" s="163"/>
      <c r="I123" s="165"/>
      <c r="J123" s="164"/>
      <c r="K123" s="163"/>
      <c r="L123" s="163"/>
      <c r="M123" s="163"/>
      <c r="N123" s="163"/>
      <c r="O123" s="163"/>
      <c r="P123" s="163"/>
      <c r="Q123" s="146"/>
    </row>
    <row r="124" spans="1:17" s="130" customFormat="1" ht="10.7" customHeight="1" x14ac:dyDescent="0.2">
      <c r="A124" s="122"/>
      <c r="B124" s="161" t="s">
        <v>107</v>
      </c>
      <c r="C124" s="162">
        <v>0.4</v>
      </c>
      <c r="D124" s="163">
        <v>0.4</v>
      </c>
      <c r="E124" s="163">
        <v>0</v>
      </c>
      <c r="F124" s="163">
        <v>0</v>
      </c>
      <c r="G124" s="164">
        <v>0.4</v>
      </c>
      <c r="H124" s="163">
        <v>0</v>
      </c>
      <c r="I124" s="165">
        <v>0</v>
      </c>
      <c r="J124" s="164">
        <v>0.4</v>
      </c>
      <c r="K124" s="163">
        <v>0</v>
      </c>
      <c r="L124" s="163">
        <v>0</v>
      </c>
      <c r="M124" s="163">
        <v>0</v>
      </c>
      <c r="N124" s="163">
        <v>0</v>
      </c>
      <c r="O124" s="163">
        <v>0</v>
      </c>
      <c r="P124" s="163">
        <v>0</v>
      </c>
      <c r="Q124" s="146" t="s">
        <v>186</v>
      </c>
    </row>
    <row r="125" spans="1:17" s="130" customFormat="1" ht="10.7" customHeight="1" x14ac:dyDescent="0.2">
      <c r="A125" s="122"/>
      <c r="B125" s="161" t="s">
        <v>108</v>
      </c>
      <c r="C125" s="162">
        <v>2.9</v>
      </c>
      <c r="D125" s="162">
        <v>2.5</v>
      </c>
      <c r="E125" s="173">
        <v>0</v>
      </c>
      <c r="F125" s="163">
        <v>-0.39999999999999991</v>
      </c>
      <c r="G125" s="164">
        <v>2.5</v>
      </c>
      <c r="H125" s="163">
        <v>1.2475000000000001</v>
      </c>
      <c r="I125" s="165">
        <v>49.9</v>
      </c>
      <c r="J125" s="164">
        <v>1.2524999999999999</v>
      </c>
      <c r="K125" s="163">
        <v>3.0500000000000083E-2</v>
      </c>
      <c r="L125" s="163">
        <v>8.6999999999999966E-2</v>
      </c>
      <c r="M125" s="163">
        <v>0.19179999999999997</v>
      </c>
      <c r="N125" s="163">
        <v>0.22120000000000006</v>
      </c>
      <c r="O125" s="163">
        <v>8.8480000000000025</v>
      </c>
      <c r="P125" s="163">
        <v>0.13262500000000002</v>
      </c>
      <c r="Q125" s="146">
        <v>7.4439208294062187</v>
      </c>
    </row>
    <row r="126" spans="1:17" s="130" customFormat="1" ht="10.7" customHeight="1" x14ac:dyDescent="0.2">
      <c r="A126" s="122"/>
      <c r="B126" s="174" t="s">
        <v>109</v>
      </c>
      <c r="C126" s="162">
        <v>31.099999999999998</v>
      </c>
      <c r="D126" s="162">
        <v>31.5</v>
      </c>
      <c r="E126" s="173">
        <v>0</v>
      </c>
      <c r="F126" s="163">
        <v>0.40000000000000213</v>
      </c>
      <c r="G126" s="164">
        <v>31.5</v>
      </c>
      <c r="H126" s="163">
        <v>14.833600000000001</v>
      </c>
      <c r="I126" s="165">
        <v>47.090793650793657</v>
      </c>
      <c r="J126" s="164">
        <v>16.666399999999999</v>
      </c>
      <c r="K126" s="163">
        <v>0.49880000000000102</v>
      </c>
      <c r="L126" s="163">
        <v>3.2899999999999138E-2</v>
      </c>
      <c r="M126" s="163">
        <v>5.0775000000000006</v>
      </c>
      <c r="N126" s="163">
        <v>0.12899999999999956</v>
      </c>
      <c r="O126" s="163">
        <v>0.40952380952380812</v>
      </c>
      <c r="P126" s="163">
        <v>1.43455</v>
      </c>
      <c r="Q126" s="146">
        <v>9.6178592590010794</v>
      </c>
    </row>
    <row r="127" spans="1:17" s="130" customFormat="1" ht="10.7" customHeight="1" x14ac:dyDescent="0.2">
      <c r="A127" s="122"/>
      <c r="B127" s="174" t="s">
        <v>110</v>
      </c>
      <c r="C127" s="162"/>
      <c r="D127" s="163">
        <v>0</v>
      </c>
      <c r="E127" s="163"/>
      <c r="F127" s="163">
        <v>0</v>
      </c>
      <c r="G127" s="164">
        <v>0</v>
      </c>
      <c r="H127" s="163">
        <v>0</v>
      </c>
      <c r="I127" s="165" t="s">
        <v>119</v>
      </c>
      <c r="J127" s="164">
        <v>0</v>
      </c>
      <c r="K127" s="163"/>
      <c r="L127" s="163"/>
      <c r="M127" s="163"/>
      <c r="N127" s="163"/>
      <c r="O127" s="163"/>
      <c r="P127" s="163"/>
      <c r="Q127" s="146">
        <v>0</v>
      </c>
    </row>
    <row r="128" spans="1:17" s="130" customFormat="1" ht="10.7" customHeight="1" x14ac:dyDescent="0.2">
      <c r="A128" s="122"/>
      <c r="B128" s="174" t="s">
        <v>111</v>
      </c>
      <c r="C128" s="162">
        <v>1311.7</v>
      </c>
      <c r="D128" s="163"/>
      <c r="E128" s="163"/>
      <c r="F128" s="163"/>
      <c r="G128" s="164">
        <v>1311.7</v>
      </c>
      <c r="H128" s="163"/>
      <c r="I128" s="165"/>
      <c r="J128" s="164">
        <v>1311.7</v>
      </c>
      <c r="K128" s="163"/>
      <c r="L128" s="163"/>
      <c r="M128" s="163"/>
      <c r="N128" s="163"/>
      <c r="O128" s="163"/>
      <c r="P128" s="163"/>
      <c r="Q128" s="146"/>
    </row>
    <row r="129" spans="1:17" s="130" customFormat="1" ht="10.7" customHeight="1" x14ac:dyDescent="0.2">
      <c r="A129" s="122"/>
      <c r="B129" s="175" t="s">
        <v>112</v>
      </c>
      <c r="C129" s="176">
        <v>14876.100000000002</v>
      </c>
      <c r="D129" s="176">
        <v>13633.899999999998</v>
      </c>
      <c r="E129" s="177">
        <v>0</v>
      </c>
      <c r="F129" s="180">
        <v>69.500000000000142</v>
      </c>
      <c r="G129" s="189">
        <v>14945.6</v>
      </c>
      <c r="H129" s="180">
        <v>2959.3040000078199</v>
      </c>
      <c r="I129" s="179">
        <v>19.800503158172436</v>
      </c>
      <c r="J129" s="189">
        <v>11986.29599999218</v>
      </c>
      <c r="K129" s="180">
        <v>290.41579999999999</v>
      </c>
      <c r="L129" s="180">
        <v>140.69200000095361</v>
      </c>
      <c r="M129" s="180">
        <v>299.71869999999944</v>
      </c>
      <c r="N129" s="180">
        <v>335.93899999999985</v>
      </c>
      <c r="O129" s="180">
        <v>2.4639978289410944</v>
      </c>
      <c r="P129" s="190">
        <v>266.69137500023822</v>
      </c>
      <c r="Q129" s="153">
        <v>42.944445616141408</v>
      </c>
    </row>
    <row r="130" spans="1:17" s="130" customFormat="1" ht="10.7" customHeight="1" x14ac:dyDescent="0.2">
      <c r="A130" s="122"/>
      <c r="B130" s="181"/>
      <c r="C130" s="181"/>
      <c r="D130" s="163"/>
      <c r="E130" s="163"/>
      <c r="F130" s="163"/>
      <c r="G130" s="164"/>
      <c r="H130" s="163"/>
      <c r="I130" s="2"/>
      <c r="J130" s="164"/>
      <c r="K130" s="163"/>
      <c r="L130" s="163"/>
      <c r="M130" s="163"/>
      <c r="N130" s="163"/>
      <c r="O130" s="163"/>
      <c r="P130" s="163"/>
      <c r="Q130" s="182"/>
    </row>
    <row r="131" spans="1:17" s="130" customFormat="1" ht="10.7" customHeight="1" x14ac:dyDescent="0.2">
      <c r="A131" s="122"/>
      <c r="B131" s="181"/>
      <c r="C131" s="181"/>
      <c r="D131" s="135"/>
      <c r="E131" s="183"/>
      <c r="F131" s="183"/>
      <c r="G131" s="184"/>
      <c r="H131" s="183"/>
      <c r="I131" s="163"/>
      <c r="J131" s="184"/>
      <c r="K131" s="185"/>
      <c r="L131" s="185"/>
      <c r="M131" s="185"/>
      <c r="N131" s="185"/>
      <c r="O131" s="173"/>
      <c r="P131" s="183"/>
      <c r="Q131" s="182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43166</v>
      </c>
      <c r="L134" s="151">
        <v>43173</v>
      </c>
      <c r="M134" s="151">
        <v>43180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6"/>
      <c r="C136" s="193" t="s">
        <v>165</v>
      </c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4"/>
      <c r="Q136" s="145"/>
    </row>
    <row r="137" spans="1:17" s="130" customFormat="1" ht="10.7" customHeight="1" x14ac:dyDescent="0.2">
      <c r="A137" s="188"/>
      <c r="B137" s="161" t="s">
        <v>80</v>
      </c>
      <c r="C137" s="162">
        <v>1668.4</v>
      </c>
      <c r="D137" s="163">
        <v>1583.5</v>
      </c>
      <c r="E137" s="163">
        <v>-21.200000000000045</v>
      </c>
      <c r="F137" s="163">
        <v>-84.900000000000091</v>
      </c>
      <c r="G137" s="164">
        <v>1583.5</v>
      </c>
      <c r="H137" s="163">
        <v>461.30599999999998</v>
      </c>
      <c r="I137" s="165">
        <v>29.132049257972845</v>
      </c>
      <c r="J137" s="164">
        <v>1122.194</v>
      </c>
      <c r="K137" s="163">
        <v>39.486999999999966</v>
      </c>
      <c r="L137" s="163">
        <v>17.771000000000015</v>
      </c>
      <c r="M137" s="163">
        <v>39.880999999999972</v>
      </c>
      <c r="N137" s="163">
        <v>50.055000000000007</v>
      </c>
      <c r="O137" s="163">
        <v>3.1610356804546895</v>
      </c>
      <c r="P137" s="163">
        <v>36.79849999999999</v>
      </c>
      <c r="Q137" s="146">
        <v>28.495645202929474</v>
      </c>
    </row>
    <row r="138" spans="1:17" s="130" customFormat="1" ht="10.7" customHeight="1" x14ac:dyDescent="0.2">
      <c r="A138" s="188"/>
      <c r="B138" s="161" t="s">
        <v>81</v>
      </c>
      <c r="C138" s="162">
        <v>493.3</v>
      </c>
      <c r="D138" s="163">
        <v>503</v>
      </c>
      <c r="E138" s="163">
        <v>10</v>
      </c>
      <c r="F138" s="163">
        <v>9.6999999999999886</v>
      </c>
      <c r="G138" s="164">
        <v>503</v>
      </c>
      <c r="H138" s="163">
        <v>173.71350000000001</v>
      </c>
      <c r="I138" s="165">
        <v>34.535487077534796</v>
      </c>
      <c r="J138" s="164">
        <v>329.28649999999999</v>
      </c>
      <c r="K138" s="163">
        <v>0.83769999999999811</v>
      </c>
      <c r="L138" s="163">
        <v>6.127600000000001</v>
      </c>
      <c r="M138" s="163">
        <v>25.515000000000015</v>
      </c>
      <c r="N138" s="163">
        <v>26.188299999999998</v>
      </c>
      <c r="O138" s="163">
        <v>5.2064214711729617</v>
      </c>
      <c r="P138" s="163">
        <v>14.667150000000003</v>
      </c>
      <c r="Q138" s="146">
        <v>20.45061242299969</v>
      </c>
    </row>
    <row r="139" spans="1:17" s="130" customFormat="1" ht="10.7" customHeight="1" x14ac:dyDescent="0.2">
      <c r="A139" s="122"/>
      <c r="B139" s="161" t="s">
        <v>82</v>
      </c>
      <c r="C139" s="162">
        <v>797</v>
      </c>
      <c r="D139" s="163">
        <v>897.5</v>
      </c>
      <c r="E139" s="163">
        <v>38.5</v>
      </c>
      <c r="F139" s="163">
        <v>100.5</v>
      </c>
      <c r="G139" s="164">
        <v>897.5</v>
      </c>
      <c r="H139" s="163">
        <v>215.82900000000001</v>
      </c>
      <c r="I139" s="165">
        <v>24.047799442896938</v>
      </c>
      <c r="J139" s="164">
        <v>681.67100000000005</v>
      </c>
      <c r="K139" s="163">
        <v>9.4610000000000127</v>
      </c>
      <c r="L139" s="163">
        <v>11.602000000000004</v>
      </c>
      <c r="M139" s="163">
        <v>26.174999999999983</v>
      </c>
      <c r="N139" s="163">
        <v>29.314000000000021</v>
      </c>
      <c r="O139" s="163">
        <v>3.2661838440111444</v>
      </c>
      <c r="P139" s="163">
        <v>19.138000000000005</v>
      </c>
      <c r="Q139" s="146">
        <v>33.618716689309224</v>
      </c>
    </row>
    <row r="140" spans="1:17" s="130" customFormat="1" ht="10.7" customHeight="1" x14ac:dyDescent="0.2">
      <c r="A140" s="122"/>
      <c r="B140" s="161" t="s">
        <v>83</v>
      </c>
      <c r="C140" s="162">
        <v>1564.7</v>
      </c>
      <c r="D140" s="163">
        <v>1589.7</v>
      </c>
      <c r="E140" s="163">
        <v>0</v>
      </c>
      <c r="F140" s="163">
        <v>25</v>
      </c>
      <c r="G140" s="164">
        <v>1589.7</v>
      </c>
      <c r="H140" s="163">
        <v>459.20400000000001</v>
      </c>
      <c r="I140" s="165">
        <v>28.886204944329119</v>
      </c>
      <c r="J140" s="164">
        <v>1130.4960000000001</v>
      </c>
      <c r="K140" s="163">
        <v>26.257000000000005</v>
      </c>
      <c r="L140" s="163">
        <v>49.658000000000015</v>
      </c>
      <c r="M140" s="163">
        <v>16.266999999999996</v>
      </c>
      <c r="N140" s="163">
        <v>16.341000000000008</v>
      </c>
      <c r="O140" s="163">
        <v>1.027929798075109</v>
      </c>
      <c r="P140" s="163">
        <v>27.130750000000006</v>
      </c>
      <c r="Q140" s="146">
        <v>39.668438948425674</v>
      </c>
    </row>
    <row r="141" spans="1:17" s="130" customFormat="1" ht="10.7" customHeight="1" x14ac:dyDescent="0.2">
      <c r="A141" s="122"/>
      <c r="B141" s="161" t="s">
        <v>84</v>
      </c>
      <c r="C141" s="162">
        <v>27</v>
      </c>
      <c r="D141" s="163">
        <v>27</v>
      </c>
      <c r="E141" s="163">
        <v>0</v>
      </c>
      <c r="F141" s="163">
        <v>0</v>
      </c>
      <c r="G141" s="164">
        <v>27</v>
      </c>
      <c r="H141" s="163">
        <v>4.0359999999999996</v>
      </c>
      <c r="I141" s="165">
        <v>14.948148148148148</v>
      </c>
      <c r="J141" s="164">
        <v>22.963999999999999</v>
      </c>
      <c r="K141" s="163">
        <v>0.10699999999999998</v>
      </c>
      <c r="L141" s="163">
        <v>0.43600000000000017</v>
      </c>
      <c r="M141" s="163">
        <v>1.0589999999999999</v>
      </c>
      <c r="N141" s="163">
        <v>1.3749999999999996</v>
      </c>
      <c r="O141" s="163">
        <v>5.0925925925925908</v>
      </c>
      <c r="P141" s="163">
        <v>0.74424999999999986</v>
      </c>
      <c r="Q141" s="146">
        <v>28.855223379240851</v>
      </c>
    </row>
    <row r="142" spans="1:17" s="130" customFormat="1" ht="10.7" customHeight="1" x14ac:dyDescent="0.2">
      <c r="A142" s="122"/>
      <c r="B142" s="161" t="s">
        <v>85</v>
      </c>
      <c r="C142" s="162">
        <v>59.8</v>
      </c>
      <c r="D142" s="163">
        <v>68.599999999999994</v>
      </c>
      <c r="E142" s="163">
        <v>0.5</v>
      </c>
      <c r="F142" s="163">
        <v>8.7999999999999972</v>
      </c>
      <c r="G142" s="164">
        <v>68.599999999999994</v>
      </c>
      <c r="H142" s="163">
        <v>3.6819999999999999</v>
      </c>
      <c r="I142" s="165">
        <v>5.3673469387755102</v>
      </c>
      <c r="J142" s="164">
        <v>64.917999999999992</v>
      </c>
      <c r="K142" s="163">
        <v>0.24900000000000011</v>
      </c>
      <c r="L142" s="163">
        <v>0</v>
      </c>
      <c r="M142" s="163">
        <v>0</v>
      </c>
      <c r="N142" s="163">
        <v>0</v>
      </c>
      <c r="O142" s="163">
        <v>0</v>
      </c>
      <c r="P142" s="163">
        <v>6.2250000000000028E-2</v>
      </c>
      <c r="Q142" s="146" t="s">
        <v>186</v>
      </c>
    </row>
    <row r="143" spans="1:17" s="130" customFormat="1" ht="10.7" customHeight="1" x14ac:dyDescent="0.2">
      <c r="A143" s="122"/>
      <c r="B143" s="161" t="s">
        <v>86</v>
      </c>
      <c r="C143" s="162">
        <v>181.8</v>
      </c>
      <c r="D143" s="163">
        <v>181.8</v>
      </c>
      <c r="E143" s="163">
        <v>0</v>
      </c>
      <c r="F143" s="163">
        <v>0</v>
      </c>
      <c r="G143" s="164">
        <v>181.8</v>
      </c>
      <c r="H143" s="163">
        <v>27.216999999999999</v>
      </c>
      <c r="I143" s="165">
        <v>14.970847084708469</v>
      </c>
      <c r="J143" s="164">
        <v>154.58300000000003</v>
      </c>
      <c r="K143" s="163">
        <v>0</v>
      </c>
      <c r="L143" s="163">
        <v>-1.9999999999988916E-3</v>
      </c>
      <c r="M143" s="163">
        <v>0.71099999999999852</v>
      </c>
      <c r="N143" s="163">
        <v>-3.0000000000001137E-3</v>
      </c>
      <c r="O143" s="163">
        <v>-1.6501650165017126E-3</v>
      </c>
      <c r="P143" s="163">
        <v>0.17649999999999988</v>
      </c>
      <c r="Q143" s="146" t="s">
        <v>186</v>
      </c>
    </row>
    <row r="144" spans="1:17" s="130" customFormat="1" ht="10.7" customHeight="1" x14ac:dyDescent="0.2">
      <c r="A144" s="122"/>
      <c r="B144" s="161" t="s">
        <v>87</v>
      </c>
      <c r="C144" s="162">
        <v>51</v>
      </c>
      <c r="D144" s="163">
        <v>51</v>
      </c>
      <c r="E144" s="163">
        <v>0</v>
      </c>
      <c r="F144" s="163">
        <v>0</v>
      </c>
      <c r="G144" s="164">
        <v>51</v>
      </c>
      <c r="H144" s="163">
        <v>24.151</v>
      </c>
      <c r="I144" s="165">
        <v>47.354901960784311</v>
      </c>
      <c r="J144" s="164">
        <v>26.849</v>
      </c>
      <c r="K144" s="163">
        <v>0.19000000000000128</v>
      </c>
      <c r="L144" s="163">
        <v>0</v>
      </c>
      <c r="M144" s="163">
        <v>2.9280000000000008</v>
      </c>
      <c r="N144" s="163">
        <v>0.45199999999999818</v>
      </c>
      <c r="O144" s="163">
        <v>0.88627450980391798</v>
      </c>
      <c r="P144" s="163">
        <v>0.89250000000000007</v>
      </c>
      <c r="Q144" s="146">
        <v>28.082913165266103</v>
      </c>
    </row>
    <row r="145" spans="1:17" s="130" customFormat="1" ht="10.7" customHeight="1" x14ac:dyDescent="0.2">
      <c r="A145" s="122"/>
      <c r="B145" s="161" t="s">
        <v>88</v>
      </c>
      <c r="C145" s="162">
        <v>0</v>
      </c>
      <c r="D145" s="163">
        <v>0</v>
      </c>
      <c r="E145" s="163">
        <v>0</v>
      </c>
      <c r="F145" s="163">
        <v>0</v>
      </c>
      <c r="G145" s="164">
        <v>0</v>
      </c>
      <c r="H145" s="163">
        <v>0</v>
      </c>
      <c r="I145" s="165" t="s">
        <v>119</v>
      </c>
      <c r="J145" s="164">
        <v>0</v>
      </c>
      <c r="K145" s="163">
        <v>0</v>
      </c>
      <c r="L145" s="163">
        <v>0</v>
      </c>
      <c r="M145" s="163">
        <v>0</v>
      </c>
      <c r="N145" s="163">
        <v>0</v>
      </c>
      <c r="O145" s="163" t="s">
        <v>42</v>
      </c>
      <c r="P145" s="163">
        <v>0</v>
      </c>
      <c r="Q145" s="146" t="s">
        <v>162</v>
      </c>
    </row>
    <row r="146" spans="1:17" s="130" customFormat="1" ht="10.7" customHeight="1" x14ac:dyDescent="0.2">
      <c r="A146" s="122"/>
      <c r="B146" s="161" t="s">
        <v>89</v>
      </c>
      <c r="C146" s="162">
        <v>280.8</v>
      </c>
      <c r="D146" s="163">
        <v>280.10000000000002</v>
      </c>
      <c r="E146" s="163">
        <v>0</v>
      </c>
      <c r="F146" s="163">
        <v>-0.69999999999998863</v>
      </c>
      <c r="G146" s="164">
        <v>280.10000000000002</v>
      </c>
      <c r="H146" s="163">
        <v>108.76300000000001</v>
      </c>
      <c r="I146" s="165">
        <v>38.830060692609784</v>
      </c>
      <c r="J146" s="164">
        <v>171.33700000000002</v>
      </c>
      <c r="K146" s="163">
        <v>9.0190000000000055</v>
      </c>
      <c r="L146" s="163">
        <v>9.519999999999996</v>
      </c>
      <c r="M146" s="163">
        <v>0</v>
      </c>
      <c r="N146" s="163">
        <v>22.719000000000008</v>
      </c>
      <c r="O146" s="163">
        <v>8.1110317743663014</v>
      </c>
      <c r="P146" s="163">
        <v>10.314500000000002</v>
      </c>
      <c r="Q146" s="146">
        <v>14.611275389015461</v>
      </c>
    </row>
    <row r="147" spans="1:17" s="130" customFormat="1" ht="10.7" customHeight="1" x14ac:dyDescent="0.2">
      <c r="A147" s="122"/>
      <c r="B147" s="168" t="s">
        <v>91</v>
      </c>
      <c r="C147" s="162">
        <v>5123.8000000000011</v>
      </c>
      <c r="D147" s="163">
        <v>5182.2000000000007</v>
      </c>
      <c r="E147" s="163">
        <v>27.799999999999955</v>
      </c>
      <c r="F147" s="163">
        <v>58.399999999999636</v>
      </c>
      <c r="G147" s="164">
        <v>5182.2000000000007</v>
      </c>
      <c r="H147" s="163">
        <v>1477.9015000000002</v>
      </c>
      <c r="I147" s="165">
        <v>28.518804754737371</v>
      </c>
      <c r="J147" s="164">
        <v>3704.2985000000003</v>
      </c>
      <c r="K147" s="163">
        <v>85.60769999999998</v>
      </c>
      <c r="L147" s="163">
        <v>95.112600000000043</v>
      </c>
      <c r="M147" s="163">
        <v>112.53599999999996</v>
      </c>
      <c r="N147" s="163">
        <v>146.44130000000004</v>
      </c>
      <c r="O147" s="163">
        <v>2.8258519547682455</v>
      </c>
      <c r="P147" s="169">
        <v>109.92440000000002</v>
      </c>
      <c r="Q147" s="146">
        <v>31.698601038531933</v>
      </c>
    </row>
    <row r="148" spans="1:17" s="130" customFormat="1" ht="10.7" customHeight="1" x14ac:dyDescent="0.2">
      <c r="A148" s="122"/>
      <c r="B148" s="168"/>
      <c r="C148" s="134"/>
      <c r="D148" s="163"/>
      <c r="E148" s="163"/>
      <c r="F148" s="163"/>
      <c r="G148" s="164"/>
      <c r="H148" s="163"/>
      <c r="I148" s="165"/>
      <c r="J148" s="164"/>
      <c r="K148" s="163"/>
      <c r="L148" s="163"/>
      <c r="M148" s="163"/>
      <c r="N148" s="163"/>
      <c r="O148" s="163"/>
      <c r="P148" s="163"/>
      <c r="Q148" s="146"/>
    </row>
    <row r="149" spans="1:17" s="130" customFormat="1" ht="10.7" customHeight="1" x14ac:dyDescent="0.2">
      <c r="A149" s="122"/>
      <c r="B149" s="161" t="s">
        <v>92</v>
      </c>
      <c r="C149" s="162">
        <v>250.4</v>
      </c>
      <c r="D149" s="163">
        <v>351</v>
      </c>
      <c r="E149" s="163">
        <v>0</v>
      </c>
      <c r="F149" s="163">
        <v>100.6</v>
      </c>
      <c r="G149" s="164">
        <v>351</v>
      </c>
      <c r="H149" s="163">
        <v>49.703000000000003</v>
      </c>
      <c r="I149" s="165">
        <v>14.16039886039886</v>
      </c>
      <c r="J149" s="164">
        <v>301.29700000000003</v>
      </c>
      <c r="K149" s="163">
        <v>1.9510000000000005</v>
      </c>
      <c r="L149" s="163">
        <v>1.8279999999999959</v>
      </c>
      <c r="M149" s="163">
        <v>0.29510000000000502</v>
      </c>
      <c r="N149" s="163">
        <v>1.1493000000000038</v>
      </c>
      <c r="O149" s="163">
        <v>0.32743589743589852</v>
      </c>
      <c r="P149" s="163">
        <v>1.3058500000000013</v>
      </c>
      <c r="Q149" s="146" t="s">
        <v>186</v>
      </c>
    </row>
    <row r="150" spans="1:17" s="130" customFormat="1" ht="10.7" customHeight="1" x14ac:dyDescent="0.2">
      <c r="A150" s="188"/>
      <c r="B150" s="161" t="s">
        <v>93</v>
      </c>
      <c r="C150" s="162">
        <v>735.4</v>
      </c>
      <c r="D150" s="163">
        <v>708.5</v>
      </c>
      <c r="E150" s="163">
        <v>-7</v>
      </c>
      <c r="F150" s="163">
        <v>-26.899999999999977</v>
      </c>
      <c r="G150" s="164">
        <v>708.5</v>
      </c>
      <c r="H150" s="163">
        <v>285.40900000000005</v>
      </c>
      <c r="I150" s="165">
        <v>40.283556810162324</v>
      </c>
      <c r="J150" s="164">
        <v>423.09099999999995</v>
      </c>
      <c r="K150" s="163">
        <v>26.54959999999997</v>
      </c>
      <c r="L150" s="163">
        <v>2.7908999999999935</v>
      </c>
      <c r="M150" s="163">
        <v>38.639300000000048</v>
      </c>
      <c r="N150" s="163">
        <v>89.510500000000036</v>
      </c>
      <c r="O150" s="163">
        <v>12.633803810868036</v>
      </c>
      <c r="P150" s="163">
        <v>39.372575000000012</v>
      </c>
      <c r="Q150" s="146">
        <v>8.7458300606449999</v>
      </c>
    </row>
    <row r="151" spans="1:17" s="130" customFormat="1" ht="10.7" hidden="1" customHeight="1" x14ac:dyDescent="0.2">
      <c r="A151" s="122"/>
      <c r="B151" s="161" t="s">
        <v>94</v>
      </c>
      <c r="C151" s="162">
        <v>0</v>
      </c>
      <c r="D151" s="163">
        <v>0</v>
      </c>
      <c r="E151" s="163">
        <v>0</v>
      </c>
      <c r="F151" s="163">
        <v>0</v>
      </c>
      <c r="G151" s="164">
        <v>0</v>
      </c>
      <c r="H151" s="163">
        <v>0</v>
      </c>
      <c r="I151" s="165" t="s">
        <v>119</v>
      </c>
      <c r="J151" s="164">
        <v>0</v>
      </c>
      <c r="K151" s="163">
        <v>0</v>
      </c>
      <c r="L151" s="163">
        <v>0</v>
      </c>
      <c r="M151" s="163">
        <v>0</v>
      </c>
      <c r="N151" s="163">
        <v>0</v>
      </c>
      <c r="O151" s="163" t="s">
        <v>42</v>
      </c>
      <c r="P151" s="163">
        <v>0</v>
      </c>
      <c r="Q151" s="146">
        <v>0</v>
      </c>
    </row>
    <row r="152" spans="1:17" s="130" customFormat="1" ht="10.7" customHeight="1" x14ac:dyDescent="0.2">
      <c r="A152" s="188"/>
      <c r="B152" s="161" t="s">
        <v>95</v>
      </c>
      <c r="C152" s="162">
        <v>2509.6</v>
      </c>
      <c r="D152" s="163">
        <v>3285.8</v>
      </c>
      <c r="E152" s="163">
        <v>0</v>
      </c>
      <c r="F152" s="163">
        <v>776.20000000000027</v>
      </c>
      <c r="G152" s="164">
        <v>3285.8</v>
      </c>
      <c r="H152" s="163">
        <v>681.63260000000002</v>
      </c>
      <c r="I152" s="165">
        <v>20.744798831334837</v>
      </c>
      <c r="J152" s="164">
        <v>2604.1674000000003</v>
      </c>
      <c r="K152" s="163">
        <v>102.67219999999998</v>
      </c>
      <c r="L152" s="163">
        <v>0</v>
      </c>
      <c r="M152" s="163">
        <v>103.16499999999996</v>
      </c>
      <c r="N152" s="163">
        <v>86.641500000000065</v>
      </c>
      <c r="O152" s="163">
        <v>2.6368464300931298</v>
      </c>
      <c r="P152" s="163">
        <v>73.119675000000001</v>
      </c>
      <c r="Q152" s="146">
        <v>33.615139153722993</v>
      </c>
    </row>
    <row r="153" spans="1:17" s="130" customFormat="1" ht="10.7" customHeight="1" x14ac:dyDescent="0.2">
      <c r="A153" s="122"/>
      <c r="B153" s="161" t="s">
        <v>96</v>
      </c>
      <c r="C153" s="162">
        <v>96</v>
      </c>
      <c r="D153" s="163">
        <v>95.9</v>
      </c>
      <c r="E153" s="163">
        <v>11.200000000000003</v>
      </c>
      <c r="F153" s="163">
        <v>-9.9999999999994316E-2</v>
      </c>
      <c r="G153" s="164">
        <v>95.9</v>
      </c>
      <c r="H153" s="163">
        <v>70.490200000000002</v>
      </c>
      <c r="I153" s="165">
        <v>73.503858185610014</v>
      </c>
      <c r="J153" s="164">
        <v>25.409800000000004</v>
      </c>
      <c r="K153" s="163">
        <v>1.6402999999999999</v>
      </c>
      <c r="L153" s="163">
        <v>0.21799999999999997</v>
      </c>
      <c r="M153" s="163">
        <v>32.223500000000001</v>
      </c>
      <c r="N153" s="163">
        <v>10.486800000000002</v>
      </c>
      <c r="O153" s="163">
        <v>10.935140771637125</v>
      </c>
      <c r="P153" s="163">
        <v>11.142150000000001</v>
      </c>
      <c r="Q153" s="146">
        <v>0.28051139142804615</v>
      </c>
    </row>
    <row r="154" spans="1:17" s="130" customFormat="1" ht="10.7" customHeight="1" x14ac:dyDescent="0.2">
      <c r="A154" s="122"/>
      <c r="B154" s="161" t="s">
        <v>97</v>
      </c>
      <c r="C154" s="162">
        <v>107.7</v>
      </c>
      <c r="D154" s="163">
        <v>107.7</v>
      </c>
      <c r="E154" s="163">
        <v>0</v>
      </c>
      <c r="F154" s="163">
        <v>0</v>
      </c>
      <c r="G154" s="164">
        <v>107.7</v>
      </c>
      <c r="H154" s="163">
        <v>0</v>
      </c>
      <c r="I154" s="165">
        <v>0</v>
      </c>
      <c r="J154" s="164">
        <v>107.7</v>
      </c>
      <c r="K154" s="163">
        <v>0</v>
      </c>
      <c r="L154" s="163">
        <v>0</v>
      </c>
      <c r="M154" s="163">
        <v>0</v>
      </c>
      <c r="N154" s="163">
        <v>0</v>
      </c>
      <c r="O154" s="163">
        <v>0</v>
      </c>
      <c r="P154" s="163">
        <v>0</v>
      </c>
      <c r="Q154" s="146" t="s">
        <v>186</v>
      </c>
    </row>
    <row r="155" spans="1:17" s="130" customFormat="1" ht="10.7" customHeight="1" x14ac:dyDescent="0.2">
      <c r="A155" s="122"/>
      <c r="B155" s="161" t="s">
        <v>98</v>
      </c>
      <c r="C155" s="162">
        <v>244.9</v>
      </c>
      <c r="D155" s="163">
        <v>212.9</v>
      </c>
      <c r="E155" s="163">
        <v>-32</v>
      </c>
      <c r="F155" s="163">
        <v>-32</v>
      </c>
      <c r="G155" s="164">
        <v>212.9</v>
      </c>
      <c r="H155" s="163">
        <v>70.843500000000006</v>
      </c>
      <c r="I155" s="165">
        <v>33.275481446688588</v>
      </c>
      <c r="J155" s="164">
        <v>142.0565</v>
      </c>
      <c r="K155" s="163">
        <v>0.43200000000000216</v>
      </c>
      <c r="L155" s="163">
        <v>5.3410000000000011</v>
      </c>
      <c r="M155" s="163">
        <v>24.360900000000001</v>
      </c>
      <c r="N155" s="163">
        <v>11.947000000000003</v>
      </c>
      <c r="O155" s="163">
        <v>5.6115547205260699</v>
      </c>
      <c r="P155" s="163">
        <v>10.520225000000002</v>
      </c>
      <c r="Q155" s="146">
        <v>11.503180777977654</v>
      </c>
    </row>
    <row r="156" spans="1:17" s="130" customFormat="1" ht="10.7" customHeight="1" x14ac:dyDescent="0.2">
      <c r="A156" s="122"/>
      <c r="B156" s="161" t="s">
        <v>99</v>
      </c>
      <c r="C156" s="162">
        <v>11.5</v>
      </c>
      <c r="D156" s="163">
        <v>11.5</v>
      </c>
      <c r="E156" s="163">
        <v>0</v>
      </c>
      <c r="F156" s="163">
        <v>0</v>
      </c>
      <c r="G156" s="164">
        <v>11.5</v>
      </c>
      <c r="H156" s="163">
        <v>0</v>
      </c>
      <c r="I156" s="165">
        <v>0</v>
      </c>
      <c r="J156" s="164">
        <v>11.5</v>
      </c>
      <c r="K156" s="163">
        <v>0</v>
      </c>
      <c r="L156" s="163">
        <v>0</v>
      </c>
      <c r="M156" s="163">
        <v>0</v>
      </c>
      <c r="N156" s="163">
        <v>0</v>
      </c>
      <c r="O156" s="163">
        <v>0</v>
      </c>
      <c r="P156" s="163">
        <v>0</v>
      </c>
      <c r="Q156" s="146" t="s">
        <v>186</v>
      </c>
    </row>
    <row r="157" spans="1:17" s="130" customFormat="1" ht="10.7" customHeight="1" x14ac:dyDescent="0.2">
      <c r="A157" s="122"/>
      <c r="B157" s="161" t="s">
        <v>100</v>
      </c>
      <c r="C157" s="162">
        <v>10.6</v>
      </c>
      <c r="D157" s="163">
        <v>10.6</v>
      </c>
      <c r="E157" s="163">
        <v>0</v>
      </c>
      <c r="F157" s="163">
        <v>0</v>
      </c>
      <c r="G157" s="164">
        <v>10.6</v>
      </c>
      <c r="H157" s="163">
        <v>4.5999999999999999E-3</v>
      </c>
      <c r="I157" s="165">
        <v>4.3396226415094337E-2</v>
      </c>
      <c r="J157" s="164">
        <v>10.5954</v>
      </c>
      <c r="K157" s="163">
        <v>0</v>
      </c>
      <c r="L157" s="163">
        <v>4.5999999999999999E-3</v>
      </c>
      <c r="M157" s="163">
        <v>0</v>
      </c>
      <c r="N157" s="163">
        <v>0</v>
      </c>
      <c r="O157" s="163">
        <v>0</v>
      </c>
      <c r="P157" s="163">
        <v>1.15E-3</v>
      </c>
      <c r="Q157" s="146" t="s">
        <v>186</v>
      </c>
    </row>
    <row r="158" spans="1:17" s="130" customFormat="1" ht="10.7" customHeight="1" x14ac:dyDescent="0.2">
      <c r="A158" s="122"/>
      <c r="B158" s="161" t="s">
        <v>101</v>
      </c>
      <c r="C158" s="162">
        <v>7.1</v>
      </c>
      <c r="D158" s="163">
        <v>7.1</v>
      </c>
      <c r="E158" s="163">
        <v>0</v>
      </c>
      <c r="F158" s="163">
        <v>0</v>
      </c>
      <c r="G158" s="164">
        <v>7.1</v>
      </c>
      <c r="H158" s="163">
        <v>0</v>
      </c>
      <c r="I158" s="165">
        <v>0</v>
      </c>
      <c r="J158" s="164">
        <v>7.1</v>
      </c>
      <c r="K158" s="163">
        <v>0</v>
      </c>
      <c r="L158" s="163">
        <v>0</v>
      </c>
      <c r="M158" s="163">
        <v>0</v>
      </c>
      <c r="N158" s="163">
        <v>0</v>
      </c>
      <c r="O158" s="163">
        <v>0</v>
      </c>
      <c r="P158" s="163">
        <v>0</v>
      </c>
      <c r="Q158" s="146" t="s">
        <v>186</v>
      </c>
    </row>
    <row r="159" spans="1:17" s="130" customFormat="1" ht="10.7" customHeight="1" x14ac:dyDescent="0.2">
      <c r="A159" s="122"/>
      <c r="B159" s="161" t="s">
        <v>102</v>
      </c>
      <c r="C159" s="162">
        <v>0.2</v>
      </c>
      <c r="D159" s="163">
        <v>0.2</v>
      </c>
      <c r="E159" s="163">
        <v>0</v>
      </c>
      <c r="F159" s="163">
        <v>0</v>
      </c>
      <c r="G159" s="164">
        <v>0.2</v>
      </c>
      <c r="H159" s="163">
        <v>0</v>
      </c>
      <c r="I159" s="165">
        <v>0</v>
      </c>
      <c r="J159" s="164">
        <v>0.2</v>
      </c>
      <c r="K159" s="163">
        <v>0</v>
      </c>
      <c r="L159" s="163">
        <v>0</v>
      </c>
      <c r="M159" s="163">
        <v>0</v>
      </c>
      <c r="N159" s="163">
        <v>0</v>
      </c>
      <c r="O159" s="163">
        <v>0</v>
      </c>
      <c r="P159" s="163">
        <v>0</v>
      </c>
      <c r="Q159" s="146" t="s">
        <v>186</v>
      </c>
    </row>
    <row r="160" spans="1:17" s="130" customFormat="1" ht="10.7" customHeight="1" x14ac:dyDescent="0.2">
      <c r="A160" s="122"/>
      <c r="B160" s="161" t="s">
        <v>103</v>
      </c>
      <c r="C160" s="162">
        <v>6.7</v>
      </c>
      <c r="D160" s="163">
        <v>6.7</v>
      </c>
      <c r="E160" s="163">
        <v>0</v>
      </c>
      <c r="F160" s="163">
        <v>0</v>
      </c>
      <c r="G160" s="164">
        <v>6.7</v>
      </c>
      <c r="H160" s="163">
        <v>0</v>
      </c>
      <c r="I160" s="165">
        <v>0</v>
      </c>
      <c r="J160" s="164">
        <v>6.7</v>
      </c>
      <c r="K160" s="163">
        <v>0</v>
      </c>
      <c r="L160" s="163">
        <v>0</v>
      </c>
      <c r="M160" s="163">
        <v>0</v>
      </c>
      <c r="N160" s="163">
        <v>0</v>
      </c>
      <c r="O160" s="163">
        <v>0</v>
      </c>
      <c r="P160" s="163">
        <v>0</v>
      </c>
      <c r="Q160" s="146" t="s">
        <v>186</v>
      </c>
    </row>
    <row r="161" spans="1:17" s="130" customFormat="1" ht="10.7" customHeight="1" x14ac:dyDescent="0.2">
      <c r="A161" s="122"/>
      <c r="B161" s="1" t="s">
        <v>104</v>
      </c>
      <c r="C161" s="162">
        <v>4.3</v>
      </c>
      <c r="D161" s="163">
        <v>4.3</v>
      </c>
      <c r="E161" s="163">
        <v>0</v>
      </c>
      <c r="F161" s="163">
        <v>0</v>
      </c>
      <c r="G161" s="164">
        <v>4.3</v>
      </c>
      <c r="H161" s="163">
        <v>0</v>
      </c>
      <c r="I161" s="165">
        <v>0</v>
      </c>
      <c r="J161" s="164">
        <v>4.3</v>
      </c>
      <c r="K161" s="163">
        <v>0</v>
      </c>
      <c r="L161" s="163">
        <v>0</v>
      </c>
      <c r="M161" s="163">
        <v>0</v>
      </c>
      <c r="N161" s="163">
        <v>0</v>
      </c>
      <c r="O161" s="163">
        <v>0</v>
      </c>
      <c r="P161" s="163">
        <v>0</v>
      </c>
      <c r="Q161" s="146" t="s">
        <v>186</v>
      </c>
    </row>
    <row r="162" spans="1:17" s="130" customFormat="1" ht="10.7" customHeight="1" x14ac:dyDescent="0.2">
      <c r="A162" s="122"/>
      <c r="B162" s="168" t="s">
        <v>106</v>
      </c>
      <c r="C162" s="172">
        <v>9108.2000000000007</v>
      </c>
      <c r="D162" s="163">
        <v>9984.4000000000015</v>
      </c>
      <c r="E162" s="163">
        <v>0</v>
      </c>
      <c r="F162" s="163">
        <v>876.20000000000073</v>
      </c>
      <c r="G162" s="164">
        <v>9984.4000000000015</v>
      </c>
      <c r="H162" s="163">
        <v>2635.9844000000003</v>
      </c>
      <c r="I162" s="165">
        <v>26.401029606185645</v>
      </c>
      <c r="J162" s="164">
        <v>7348.4156000000012</v>
      </c>
      <c r="K162" s="163">
        <v>218.85279999999989</v>
      </c>
      <c r="L162" s="163">
        <v>105.29510000000005</v>
      </c>
      <c r="M162" s="163">
        <v>311.21980000000008</v>
      </c>
      <c r="N162" s="163">
        <v>346.17640000000029</v>
      </c>
      <c r="O162" s="163">
        <v>3.4671727895517028</v>
      </c>
      <c r="P162" s="163">
        <v>245.38602500000007</v>
      </c>
      <c r="Q162" s="146">
        <v>27.946349226692917</v>
      </c>
    </row>
    <row r="163" spans="1:17" s="130" customFormat="1" ht="10.7" customHeight="1" x14ac:dyDescent="0.2">
      <c r="A163" s="122"/>
      <c r="B163" s="168"/>
      <c r="C163" s="162"/>
      <c r="D163" s="163"/>
      <c r="E163" s="163"/>
      <c r="F163" s="163"/>
      <c r="G163" s="164"/>
      <c r="H163" s="163"/>
      <c r="I163" s="165"/>
      <c r="J163" s="164"/>
      <c r="K163" s="163"/>
      <c r="L163" s="163"/>
      <c r="M163" s="163"/>
      <c r="N163" s="163"/>
      <c r="O163" s="163"/>
      <c r="P163" s="163"/>
      <c r="Q163" s="146"/>
    </row>
    <row r="164" spans="1:17" s="130" customFormat="1" ht="10.7" customHeight="1" x14ac:dyDescent="0.2">
      <c r="A164" s="122"/>
      <c r="B164" s="161" t="s">
        <v>107</v>
      </c>
      <c r="C164" s="162">
        <v>0</v>
      </c>
      <c r="D164" s="163">
        <v>0</v>
      </c>
      <c r="E164" s="163">
        <v>0</v>
      </c>
      <c r="F164" s="163">
        <v>0</v>
      </c>
      <c r="G164" s="164">
        <v>0</v>
      </c>
      <c r="H164" s="163">
        <v>0</v>
      </c>
      <c r="I164" s="165" t="s">
        <v>119</v>
      </c>
      <c r="J164" s="164">
        <v>0</v>
      </c>
      <c r="K164" s="163">
        <v>0</v>
      </c>
      <c r="L164" s="163">
        <v>0</v>
      </c>
      <c r="M164" s="163">
        <v>0</v>
      </c>
      <c r="N164" s="163">
        <v>0</v>
      </c>
      <c r="O164" s="163" t="s">
        <v>42</v>
      </c>
      <c r="P164" s="163">
        <v>0</v>
      </c>
      <c r="Q164" s="146">
        <v>0</v>
      </c>
    </row>
    <row r="165" spans="1:17" s="130" customFormat="1" ht="10.7" customHeight="1" x14ac:dyDescent="0.2">
      <c r="A165" s="122"/>
      <c r="B165" s="161" t="s">
        <v>108</v>
      </c>
      <c r="C165" s="162">
        <v>5.9</v>
      </c>
      <c r="D165" s="162">
        <v>5.9</v>
      </c>
      <c r="E165" s="173">
        <v>0</v>
      </c>
      <c r="F165" s="163">
        <v>0</v>
      </c>
      <c r="G165" s="164">
        <v>5.9</v>
      </c>
      <c r="H165" s="163">
        <v>0</v>
      </c>
      <c r="I165" s="165">
        <v>0</v>
      </c>
      <c r="J165" s="164">
        <v>5.9</v>
      </c>
      <c r="K165" s="163">
        <v>0</v>
      </c>
      <c r="L165" s="163">
        <v>0</v>
      </c>
      <c r="M165" s="163">
        <v>0</v>
      </c>
      <c r="N165" s="163">
        <v>0</v>
      </c>
      <c r="O165" s="163">
        <v>0</v>
      </c>
      <c r="P165" s="163">
        <v>0</v>
      </c>
      <c r="Q165" s="146" t="s">
        <v>186</v>
      </c>
    </row>
    <row r="166" spans="1:17" s="130" customFormat="1" ht="10.7" customHeight="1" x14ac:dyDescent="0.2">
      <c r="A166" s="122"/>
      <c r="B166" s="174" t="s">
        <v>109</v>
      </c>
      <c r="C166" s="162">
        <v>23.4</v>
      </c>
      <c r="D166" s="162">
        <v>23.4</v>
      </c>
      <c r="E166" s="173">
        <v>0</v>
      </c>
      <c r="F166" s="163">
        <v>0</v>
      </c>
      <c r="G166" s="164">
        <v>23.4</v>
      </c>
      <c r="H166" s="163">
        <v>1.4004999999999999</v>
      </c>
      <c r="I166" s="165">
        <v>5.9850427350427351</v>
      </c>
      <c r="J166" s="164">
        <v>21.999499999999998</v>
      </c>
      <c r="K166" s="163">
        <v>0</v>
      </c>
      <c r="L166" s="163">
        <v>0.38200000000000001</v>
      </c>
      <c r="M166" s="163">
        <v>2.4000000000000021E-2</v>
      </c>
      <c r="N166" s="163">
        <v>6.3999999999999835E-2</v>
      </c>
      <c r="O166" s="163">
        <v>0.27350427350427281</v>
      </c>
      <c r="P166" s="163">
        <v>0.11749999999999997</v>
      </c>
      <c r="Q166" s="146" t="s">
        <v>186</v>
      </c>
    </row>
    <row r="167" spans="1:17" s="130" customFormat="1" ht="10.7" customHeight="1" x14ac:dyDescent="0.2">
      <c r="A167" s="122"/>
      <c r="B167" s="174"/>
      <c r="C167" s="162"/>
      <c r="D167" s="163"/>
      <c r="E167" s="163"/>
      <c r="F167" s="163"/>
      <c r="G167" s="164"/>
      <c r="H167" s="163"/>
      <c r="I167" s="165"/>
      <c r="J167" s="164"/>
      <c r="K167" s="163"/>
      <c r="L167" s="163"/>
      <c r="M167" s="163"/>
      <c r="N167" s="163"/>
      <c r="O167" s="163"/>
      <c r="P167" s="163"/>
      <c r="Q167" s="146"/>
    </row>
    <row r="168" spans="1:17" s="130" customFormat="1" ht="10.7" customHeight="1" x14ac:dyDescent="0.2">
      <c r="A168" s="122"/>
      <c r="B168" s="174" t="s">
        <v>111</v>
      </c>
      <c r="C168" s="162">
        <v>415.1</v>
      </c>
      <c r="D168" s="163"/>
      <c r="E168" s="163"/>
      <c r="F168" s="163"/>
      <c r="G168" s="164">
        <v>415.1</v>
      </c>
      <c r="H168" s="163"/>
      <c r="I168" s="165"/>
      <c r="J168" s="164">
        <v>415.1</v>
      </c>
      <c r="K168" s="163"/>
      <c r="L168" s="163"/>
      <c r="M168" s="163"/>
      <c r="N168" s="163"/>
      <c r="O168" s="163"/>
      <c r="P168" s="163"/>
      <c r="Q168" s="146"/>
    </row>
    <row r="169" spans="1:17" s="130" customFormat="1" ht="10.7" customHeight="1" x14ac:dyDescent="0.2">
      <c r="A169" s="122"/>
      <c r="B169" s="175" t="s">
        <v>112</v>
      </c>
      <c r="C169" s="176">
        <v>9552.6</v>
      </c>
      <c r="D169" s="176">
        <v>10013.700000000001</v>
      </c>
      <c r="E169" s="177">
        <v>0</v>
      </c>
      <c r="F169" s="177">
        <v>876.20000000000073</v>
      </c>
      <c r="G169" s="178">
        <v>10428.800000000001</v>
      </c>
      <c r="H169" s="180">
        <v>2637.3849000000005</v>
      </c>
      <c r="I169" s="179">
        <v>25.289437902730899</v>
      </c>
      <c r="J169" s="178">
        <v>7791.4151000000011</v>
      </c>
      <c r="K169" s="180">
        <v>218.85280000000012</v>
      </c>
      <c r="L169" s="180">
        <v>105.67710000000011</v>
      </c>
      <c r="M169" s="180">
        <v>311.24380000000042</v>
      </c>
      <c r="N169" s="180">
        <v>346.24039999999968</v>
      </c>
      <c r="O169" s="180">
        <v>3.457666996215182</v>
      </c>
      <c r="P169" s="190">
        <v>245.50352500000008</v>
      </c>
      <c r="Q169" s="153">
        <v>29.736469364340078</v>
      </c>
    </row>
    <row r="170" spans="1:17" s="130" customFormat="1" ht="10.7" customHeight="1" x14ac:dyDescent="0.2">
      <c r="A170" s="122"/>
      <c r="B170" s="191" t="s">
        <v>241</v>
      </c>
      <c r="C170" s="191"/>
      <c r="D170" s="183"/>
      <c r="E170" s="183"/>
      <c r="F170" s="183"/>
      <c r="G170" s="184"/>
      <c r="H170" s="183"/>
      <c r="I170" s="163"/>
      <c r="J170" s="184"/>
      <c r="K170" s="185"/>
      <c r="L170" s="185"/>
      <c r="M170" s="185"/>
      <c r="N170" s="185"/>
      <c r="O170" s="173"/>
      <c r="P170" s="183"/>
      <c r="Q170" s="182"/>
    </row>
    <row r="171" spans="1:17" s="130" customFormat="1" ht="10.7" customHeight="1" x14ac:dyDescent="0.2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92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185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240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43166</v>
      </c>
      <c r="L180" s="151">
        <v>43173</v>
      </c>
      <c r="M180" s="151">
        <v>43180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6"/>
      <c r="C182" s="193" t="s">
        <v>148</v>
      </c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4"/>
      <c r="Q182" s="145"/>
    </row>
    <row r="183" spans="1:17" s="130" customFormat="1" ht="10.7" customHeight="1" x14ac:dyDescent="0.2">
      <c r="A183" s="122"/>
      <c r="B183" s="161" t="s">
        <v>80</v>
      </c>
      <c r="C183" s="162">
        <v>1167.7</v>
      </c>
      <c r="D183" s="163">
        <v>1456.4</v>
      </c>
      <c r="E183" s="163">
        <v>288.70000000000005</v>
      </c>
      <c r="F183" s="163">
        <v>288.70000000000005</v>
      </c>
      <c r="G183" s="164">
        <v>1456.4</v>
      </c>
      <c r="H183" s="163">
        <v>40.236949999952323</v>
      </c>
      <c r="I183" s="165">
        <v>2.7627677835726669</v>
      </c>
      <c r="J183" s="164">
        <v>1416.1630500000479</v>
      </c>
      <c r="K183" s="163">
        <v>2.4670000000000023</v>
      </c>
      <c r="L183" s="163">
        <v>0.80400000000000205</v>
      </c>
      <c r="M183" s="163">
        <v>1.8590000000000018</v>
      </c>
      <c r="N183" s="163">
        <v>5.8419000000000025</v>
      </c>
      <c r="O183" s="163">
        <v>0.40111919802252144</v>
      </c>
      <c r="P183" s="163">
        <v>2.7429750000000022</v>
      </c>
      <c r="Q183" s="146" t="s">
        <v>186</v>
      </c>
    </row>
    <row r="184" spans="1:17" s="130" customFormat="1" ht="10.7" customHeight="1" x14ac:dyDescent="0.2">
      <c r="A184" s="122"/>
      <c r="B184" s="161" t="s">
        <v>81</v>
      </c>
      <c r="C184" s="162">
        <v>219.4</v>
      </c>
      <c r="D184" s="163">
        <v>217.1</v>
      </c>
      <c r="E184" s="163">
        <v>0</v>
      </c>
      <c r="F184" s="163">
        <v>-2.3000000000000114</v>
      </c>
      <c r="G184" s="164">
        <v>217.1</v>
      </c>
      <c r="H184" s="163">
        <v>10.3346</v>
      </c>
      <c r="I184" s="165">
        <v>4.7602947950253345</v>
      </c>
      <c r="J184" s="164">
        <v>206.7654</v>
      </c>
      <c r="K184" s="163">
        <v>1.2999999999999901E-2</v>
      </c>
      <c r="L184" s="163">
        <v>1.1738000000000008</v>
      </c>
      <c r="M184" s="163">
        <v>0.69619999999999926</v>
      </c>
      <c r="N184" s="163">
        <v>2.0722000000000005</v>
      </c>
      <c r="O184" s="163">
        <v>0.9544910179640721</v>
      </c>
      <c r="P184" s="163">
        <v>0.98880000000000012</v>
      </c>
      <c r="Q184" s="146" t="s">
        <v>186</v>
      </c>
    </row>
    <row r="185" spans="1:17" s="130" customFormat="1" ht="10.7" customHeight="1" x14ac:dyDescent="0.2">
      <c r="A185" s="122"/>
      <c r="B185" s="161" t="s">
        <v>82</v>
      </c>
      <c r="C185" s="162">
        <v>381.1</v>
      </c>
      <c r="D185" s="163">
        <v>377.90000000000003</v>
      </c>
      <c r="E185" s="163">
        <v>-4</v>
      </c>
      <c r="F185" s="163">
        <v>-3.1999999999999886</v>
      </c>
      <c r="G185" s="164">
        <v>377.90000000000003</v>
      </c>
      <c r="H185" s="163">
        <v>20.032</v>
      </c>
      <c r="I185" s="165">
        <v>5.3008732468907116</v>
      </c>
      <c r="J185" s="164">
        <v>357.86800000000005</v>
      </c>
      <c r="K185" s="163">
        <v>0.64499999999999957</v>
      </c>
      <c r="L185" s="163">
        <v>0.4740000000000002</v>
      </c>
      <c r="M185" s="163">
        <v>1.1509999999999998</v>
      </c>
      <c r="N185" s="163">
        <v>0.87300000000000111</v>
      </c>
      <c r="O185" s="163">
        <v>0.2310134956337658</v>
      </c>
      <c r="P185" s="163">
        <v>0.78575000000000017</v>
      </c>
      <c r="Q185" s="146" t="s">
        <v>186</v>
      </c>
    </row>
    <row r="186" spans="1:17" s="130" customFormat="1" ht="10.7" customHeight="1" x14ac:dyDescent="0.2">
      <c r="A186" s="122"/>
      <c r="B186" s="161" t="s">
        <v>83</v>
      </c>
      <c r="C186" s="162">
        <v>1753.1</v>
      </c>
      <c r="D186" s="163">
        <v>1760</v>
      </c>
      <c r="E186" s="163">
        <v>6.9000000000000909</v>
      </c>
      <c r="F186" s="163">
        <v>6.9000000000000909</v>
      </c>
      <c r="G186" s="164">
        <v>1760</v>
      </c>
      <c r="H186" s="163">
        <v>57.427</v>
      </c>
      <c r="I186" s="165">
        <v>3.2628977272727271</v>
      </c>
      <c r="J186" s="164">
        <v>1702.5730000000001</v>
      </c>
      <c r="K186" s="163">
        <v>2.3990000000000009</v>
      </c>
      <c r="L186" s="163">
        <v>2.6679999999999993</v>
      </c>
      <c r="M186" s="163">
        <v>4.7550000000000026</v>
      </c>
      <c r="N186" s="163">
        <v>2.6629999999999967</v>
      </c>
      <c r="O186" s="163">
        <v>0.15130681818181799</v>
      </c>
      <c r="P186" s="163">
        <v>3.1212499999999999</v>
      </c>
      <c r="Q186" s="146" t="s">
        <v>186</v>
      </c>
    </row>
    <row r="187" spans="1:17" s="130" customFormat="1" ht="10.7" customHeight="1" x14ac:dyDescent="0.2">
      <c r="A187" s="122"/>
      <c r="B187" s="161" t="s">
        <v>84</v>
      </c>
      <c r="C187" s="162">
        <v>4212.5</v>
      </c>
      <c r="D187" s="163">
        <v>4212.5</v>
      </c>
      <c r="E187" s="163">
        <v>0</v>
      </c>
      <c r="F187" s="163">
        <v>0</v>
      </c>
      <c r="G187" s="164">
        <v>4212.5</v>
      </c>
      <c r="H187" s="163">
        <v>172.20406999206543</v>
      </c>
      <c r="I187" s="165">
        <v>4.0879304449154992</v>
      </c>
      <c r="J187" s="164">
        <v>4040.2959300079347</v>
      </c>
      <c r="K187" s="163">
        <v>66.154600000000016</v>
      </c>
      <c r="L187" s="163">
        <v>0.11970999946592542</v>
      </c>
      <c r="M187" s="163">
        <v>0.18264999732971887</v>
      </c>
      <c r="N187" s="163">
        <v>36.077980000686637</v>
      </c>
      <c r="O187" s="163">
        <v>0.85645056381451967</v>
      </c>
      <c r="P187" s="163">
        <v>25.633734999370574</v>
      </c>
      <c r="Q187" s="146" t="s">
        <v>186</v>
      </c>
    </row>
    <row r="188" spans="1:17" s="130" customFormat="1" ht="10.7" customHeight="1" x14ac:dyDescent="0.2">
      <c r="A188" s="122"/>
      <c r="B188" s="161" t="s">
        <v>85</v>
      </c>
      <c r="C188" s="162">
        <v>203.5</v>
      </c>
      <c r="D188" s="163">
        <v>148.4</v>
      </c>
      <c r="E188" s="163">
        <v>4</v>
      </c>
      <c r="F188" s="163">
        <v>-55.099999999999994</v>
      </c>
      <c r="G188" s="164">
        <v>148.4</v>
      </c>
      <c r="H188" s="163">
        <v>1.3331999999999999</v>
      </c>
      <c r="I188" s="165">
        <v>0.89838274932614548</v>
      </c>
      <c r="J188" s="164">
        <v>147.0668</v>
      </c>
      <c r="K188" s="163">
        <v>4.2000000000000037E-2</v>
      </c>
      <c r="L188" s="163">
        <v>0.41199999999999992</v>
      </c>
      <c r="M188" s="163">
        <v>1.419999999999999E-2</v>
      </c>
      <c r="N188" s="163">
        <v>0</v>
      </c>
      <c r="O188" s="163">
        <v>0</v>
      </c>
      <c r="P188" s="163">
        <v>0.11704999999999999</v>
      </c>
      <c r="Q188" s="146" t="s">
        <v>186</v>
      </c>
    </row>
    <row r="189" spans="1:17" s="130" customFormat="1" ht="10.7" customHeight="1" x14ac:dyDescent="0.2">
      <c r="A189" s="122"/>
      <c r="B189" s="161" t="s">
        <v>86</v>
      </c>
      <c r="C189" s="162">
        <v>120.9</v>
      </c>
      <c r="D189" s="163">
        <v>120.9</v>
      </c>
      <c r="E189" s="163">
        <v>0</v>
      </c>
      <c r="F189" s="163">
        <v>0</v>
      </c>
      <c r="G189" s="164">
        <v>120.9</v>
      </c>
      <c r="H189" s="163">
        <v>2.988</v>
      </c>
      <c r="I189" s="165">
        <v>2.4714640198511164</v>
      </c>
      <c r="J189" s="164">
        <v>117.91200000000001</v>
      </c>
      <c r="K189" s="163">
        <v>0</v>
      </c>
      <c r="L189" s="163">
        <v>0</v>
      </c>
      <c r="M189" s="163">
        <v>4.4999999999999929E-2</v>
      </c>
      <c r="N189" s="163">
        <v>0</v>
      </c>
      <c r="O189" s="163">
        <v>0</v>
      </c>
      <c r="P189" s="163">
        <v>1.1249999999999982E-2</v>
      </c>
      <c r="Q189" s="146" t="s">
        <v>186</v>
      </c>
    </row>
    <row r="190" spans="1:17" s="130" customFormat="1" ht="10.7" customHeight="1" x14ac:dyDescent="0.2">
      <c r="A190" s="122"/>
      <c r="B190" s="161" t="s">
        <v>87</v>
      </c>
      <c r="C190" s="162">
        <v>61.5</v>
      </c>
      <c r="D190" s="163">
        <v>61.5</v>
      </c>
      <c r="E190" s="163">
        <v>0</v>
      </c>
      <c r="F190" s="163">
        <v>0</v>
      </c>
      <c r="G190" s="164">
        <v>61.5</v>
      </c>
      <c r="H190" s="163">
        <v>1.3371000000000002</v>
      </c>
      <c r="I190" s="165">
        <v>2.1741463414634148</v>
      </c>
      <c r="J190" s="164">
        <v>60.1629</v>
      </c>
      <c r="K190" s="163">
        <v>2.8000000000000025E-2</v>
      </c>
      <c r="L190" s="163">
        <v>0</v>
      </c>
      <c r="M190" s="163">
        <v>0.10599999999999987</v>
      </c>
      <c r="N190" s="163">
        <v>2.1000000000002128E-3</v>
      </c>
      <c r="O190" s="163">
        <v>3.4146341463418095E-3</v>
      </c>
      <c r="P190" s="163">
        <v>3.4025000000000027E-2</v>
      </c>
      <c r="Q190" s="146" t="s">
        <v>186</v>
      </c>
    </row>
    <row r="191" spans="1:17" s="130" customFormat="1" ht="10.7" customHeight="1" x14ac:dyDescent="0.2">
      <c r="A191" s="122"/>
      <c r="B191" s="161" t="s">
        <v>88</v>
      </c>
      <c r="C191" s="162">
        <v>0.1</v>
      </c>
      <c r="D191" s="163">
        <v>0.1</v>
      </c>
      <c r="E191" s="163">
        <v>0</v>
      </c>
      <c r="F191" s="163">
        <v>0</v>
      </c>
      <c r="G191" s="164">
        <v>0.1</v>
      </c>
      <c r="H191" s="163">
        <v>0</v>
      </c>
      <c r="I191" s="165">
        <v>0</v>
      </c>
      <c r="J191" s="164">
        <v>0.1</v>
      </c>
      <c r="K191" s="163">
        <v>0</v>
      </c>
      <c r="L191" s="163">
        <v>0</v>
      </c>
      <c r="M191" s="163">
        <v>0</v>
      </c>
      <c r="N191" s="163">
        <v>0</v>
      </c>
      <c r="O191" s="163">
        <v>0</v>
      </c>
      <c r="P191" s="163">
        <v>0</v>
      </c>
      <c r="Q191" s="146" t="s">
        <v>162</v>
      </c>
    </row>
    <row r="192" spans="1:17" s="130" customFormat="1" ht="10.7" customHeight="1" x14ac:dyDescent="0.2">
      <c r="A192" s="122"/>
      <c r="B192" s="161" t="s">
        <v>89</v>
      </c>
      <c r="C192" s="162">
        <v>129.69999999999999</v>
      </c>
      <c r="D192" s="163">
        <v>96.1</v>
      </c>
      <c r="E192" s="163">
        <v>0</v>
      </c>
      <c r="F192" s="163">
        <v>-33.599999999999994</v>
      </c>
      <c r="G192" s="164">
        <v>96.1</v>
      </c>
      <c r="H192" s="163">
        <v>1.423</v>
      </c>
      <c r="I192" s="165">
        <v>1.4807492195629555</v>
      </c>
      <c r="J192" s="164">
        <v>94.676999999999992</v>
      </c>
      <c r="K192" s="163">
        <v>2.0999999999999908E-2</v>
      </c>
      <c r="L192" s="163">
        <v>4.2000000000000037E-2</v>
      </c>
      <c r="M192" s="163">
        <v>0</v>
      </c>
      <c r="N192" s="163">
        <v>0.23100000000000009</v>
      </c>
      <c r="O192" s="163">
        <v>0.24037460978147776</v>
      </c>
      <c r="P192" s="163">
        <v>7.350000000000001E-2</v>
      </c>
      <c r="Q192" s="146" t="s">
        <v>186</v>
      </c>
    </row>
    <row r="193" spans="1:17" s="130" customFormat="1" ht="10.7" customHeight="1" x14ac:dyDescent="0.2">
      <c r="A193" s="122"/>
      <c r="B193" s="168" t="s">
        <v>91</v>
      </c>
      <c r="C193" s="162">
        <v>8249.5</v>
      </c>
      <c r="D193" s="163">
        <v>8450.9</v>
      </c>
      <c r="E193" s="163">
        <v>295.60000000000014</v>
      </c>
      <c r="F193" s="163">
        <v>201.39999999999964</v>
      </c>
      <c r="G193" s="164">
        <v>8450.9</v>
      </c>
      <c r="H193" s="163">
        <v>307.31591999201777</v>
      </c>
      <c r="I193" s="165">
        <v>3.6364874746123821</v>
      </c>
      <c r="J193" s="164">
        <v>8143.5840800079832</v>
      </c>
      <c r="K193" s="163">
        <v>71.769600000000025</v>
      </c>
      <c r="L193" s="163">
        <v>5.6935099994659275</v>
      </c>
      <c r="M193" s="163">
        <v>8.8090499973297227</v>
      </c>
      <c r="N193" s="163">
        <v>47.761180000686636</v>
      </c>
      <c r="O193" s="163">
        <v>0.56516087044795982</v>
      </c>
      <c r="P193" s="169">
        <v>33.508334999370575</v>
      </c>
      <c r="Q193" s="146" t="s">
        <v>186</v>
      </c>
    </row>
    <row r="194" spans="1:17" s="130" customFormat="1" ht="10.7" customHeight="1" x14ac:dyDescent="0.2">
      <c r="A194" s="122"/>
      <c r="B194" s="168"/>
      <c r="C194" s="134"/>
      <c r="D194" s="163"/>
      <c r="E194" s="163"/>
      <c r="F194" s="163"/>
      <c r="G194" s="164"/>
      <c r="H194" s="163"/>
      <c r="I194" s="165"/>
      <c r="J194" s="164"/>
      <c r="K194" s="163"/>
      <c r="L194" s="163"/>
      <c r="M194" s="163"/>
      <c r="N194" s="163"/>
      <c r="O194" s="163"/>
      <c r="P194" s="163"/>
      <c r="Q194" s="146"/>
    </row>
    <row r="195" spans="1:17" s="130" customFormat="1" ht="10.7" customHeight="1" x14ac:dyDescent="0.2">
      <c r="A195" s="122"/>
      <c r="B195" s="161" t="s">
        <v>92</v>
      </c>
      <c r="C195" s="162">
        <v>359.8</v>
      </c>
      <c r="D195" s="163">
        <v>612.5</v>
      </c>
      <c r="E195" s="163">
        <v>0</v>
      </c>
      <c r="F195" s="163">
        <v>252.7</v>
      </c>
      <c r="G195" s="164">
        <v>612.5</v>
      </c>
      <c r="H195" s="163">
        <v>6.7055500011444087</v>
      </c>
      <c r="I195" s="165">
        <v>1.09478367365623</v>
      </c>
      <c r="J195" s="164">
        <v>605.79444999885561</v>
      </c>
      <c r="K195" s="163">
        <v>0.43389999999999995</v>
      </c>
      <c r="L195" s="163">
        <v>1.1545000000000005</v>
      </c>
      <c r="M195" s="163">
        <v>0.30249999999999932</v>
      </c>
      <c r="N195" s="163">
        <v>1.3532500000000001</v>
      </c>
      <c r="O195" s="163">
        <v>0.22093877551020411</v>
      </c>
      <c r="P195" s="163">
        <v>0.81103749999999997</v>
      </c>
      <c r="Q195" s="146" t="s">
        <v>186</v>
      </c>
    </row>
    <row r="196" spans="1:17" s="130" customFormat="1" ht="10.7" customHeight="1" x14ac:dyDescent="0.2">
      <c r="A196" s="122"/>
      <c r="B196" s="161" t="s">
        <v>93</v>
      </c>
      <c r="C196" s="162">
        <v>1977.6</v>
      </c>
      <c r="D196" s="163">
        <v>1639.1999999999998</v>
      </c>
      <c r="E196" s="163">
        <v>0</v>
      </c>
      <c r="F196" s="163">
        <v>-338.40000000000009</v>
      </c>
      <c r="G196" s="164">
        <v>1639.1999999999998</v>
      </c>
      <c r="H196" s="163">
        <v>27.3141</v>
      </c>
      <c r="I196" s="165">
        <v>1.6663067349926795</v>
      </c>
      <c r="J196" s="164">
        <v>1611.8858999999998</v>
      </c>
      <c r="K196" s="163">
        <v>0.83910000000000018</v>
      </c>
      <c r="L196" s="163">
        <v>3.7065999999999999</v>
      </c>
      <c r="M196" s="163">
        <v>4.2285000000000004</v>
      </c>
      <c r="N196" s="163">
        <v>4.7105999999999995</v>
      </c>
      <c r="O196" s="163">
        <v>0.28737188872620789</v>
      </c>
      <c r="P196" s="163">
        <v>3.3712</v>
      </c>
      <c r="Q196" s="146" t="s">
        <v>186</v>
      </c>
    </row>
    <row r="197" spans="1:17" s="130" customFormat="1" ht="10.7" hidden="1" customHeight="1" x14ac:dyDescent="0.2">
      <c r="A197" s="122"/>
      <c r="B197" s="161" t="s">
        <v>94</v>
      </c>
      <c r="C197" s="162">
        <v>0</v>
      </c>
      <c r="D197" s="163">
        <v>0</v>
      </c>
      <c r="E197" s="163">
        <v>0</v>
      </c>
      <c r="F197" s="163">
        <v>0</v>
      </c>
      <c r="G197" s="164">
        <v>0</v>
      </c>
      <c r="H197" s="163">
        <v>0</v>
      </c>
      <c r="I197" s="165" t="s">
        <v>119</v>
      </c>
      <c r="J197" s="164">
        <v>0</v>
      </c>
      <c r="K197" s="163">
        <v>0</v>
      </c>
      <c r="L197" s="163">
        <v>0</v>
      </c>
      <c r="M197" s="163">
        <v>0</v>
      </c>
      <c r="N197" s="163">
        <v>0</v>
      </c>
      <c r="O197" s="163" t="s">
        <v>42</v>
      </c>
      <c r="P197" s="163">
        <v>0</v>
      </c>
      <c r="Q197" s="146">
        <v>0</v>
      </c>
    </row>
    <row r="198" spans="1:17" s="130" customFormat="1" ht="10.7" customHeight="1" x14ac:dyDescent="0.2">
      <c r="A198" s="122"/>
      <c r="B198" s="161" t="s">
        <v>95</v>
      </c>
      <c r="C198" s="162">
        <v>51.4</v>
      </c>
      <c r="D198" s="163">
        <v>51.4</v>
      </c>
      <c r="E198" s="163">
        <v>0</v>
      </c>
      <c r="F198" s="163">
        <v>0</v>
      </c>
      <c r="G198" s="164">
        <v>51.4</v>
      </c>
      <c r="H198" s="163">
        <v>0.30599999999999999</v>
      </c>
      <c r="I198" s="165">
        <v>0.59533073929961089</v>
      </c>
      <c r="J198" s="164">
        <v>51.094000000000001</v>
      </c>
      <c r="K198" s="163">
        <v>0</v>
      </c>
      <c r="L198" s="163">
        <v>0</v>
      </c>
      <c r="M198" s="163">
        <v>8.1199999999999994E-2</v>
      </c>
      <c r="N198" s="163">
        <v>0.2203</v>
      </c>
      <c r="O198" s="163">
        <v>0.42859922178988324</v>
      </c>
      <c r="P198" s="163">
        <v>7.5374999999999998E-2</v>
      </c>
      <c r="Q198" s="146" t="s">
        <v>186</v>
      </c>
    </row>
    <row r="199" spans="1:17" s="130" customFormat="1" ht="10.7" customHeight="1" x14ac:dyDescent="0.2">
      <c r="A199" s="122"/>
      <c r="B199" s="161" t="s">
        <v>96</v>
      </c>
      <c r="C199" s="162">
        <v>639.70000000000005</v>
      </c>
      <c r="D199" s="163">
        <v>54.000000000000114</v>
      </c>
      <c r="E199" s="163">
        <v>-295.59999999999991</v>
      </c>
      <c r="F199" s="163">
        <v>-585.69999999999993</v>
      </c>
      <c r="G199" s="164">
        <v>54.000000000000114</v>
      </c>
      <c r="H199" s="163">
        <v>4.9106999999999994</v>
      </c>
      <c r="I199" s="165">
        <v>9.093888888888868</v>
      </c>
      <c r="J199" s="164">
        <v>49.089300000000115</v>
      </c>
      <c r="K199" s="163">
        <v>0.17199999999999971</v>
      </c>
      <c r="L199" s="163">
        <v>0.10679999999999978</v>
      </c>
      <c r="M199" s="163">
        <v>0.62520000000000042</v>
      </c>
      <c r="N199" s="163">
        <v>1.0345999999999993</v>
      </c>
      <c r="O199" s="163">
        <v>1.9159259259259205</v>
      </c>
      <c r="P199" s="163">
        <v>0.4846499999999998</v>
      </c>
      <c r="Q199" s="146" t="s">
        <v>186</v>
      </c>
    </row>
    <row r="200" spans="1:17" s="130" customFormat="1" ht="10.7" customHeight="1" x14ac:dyDescent="0.2">
      <c r="A200" s="122"/>
      <c r="B200" s="161" t="s">
        <v>97</v>
      </c>
      <c r="C200" s="162">
        <v>138.30000000000001</v>
      </c>
      <c r="D200" s="163">
        <v>138.30000000000001</v>
      </c>
      <c r="E200" s="163">
        <v>0</v>
      </c>
      <c r="F200" s="163">
        <v>0</v>
      </c>
      <c r="G200" s="164">
        <v>138.30000000000001</v>
      </c>
      <c r="H200" s="163">
        <v>0</v>
      </c>
      <c r="I200" s="165">
        <v>0</v>
      </c>
      <c r="J200" s="164">
        <v>138.30000000000001</v>
      </c>
      <c r="K200" s="163">
        <v>0</v>
      </c>
      <c r="L200" s="163">
        <v>0</v>
      </c>
      <c r="M200" s="163">
        <v>0</v>
      </c>
      <c r="N200" s="163">
        <v>0</v>
      </c>
      <c r="O200" s="163">
        <v>0</v>
      </c>
      <c r="P200" s="163">
        <v>0</v>
      </c>
      <c r="Q200" s="146" t="s">
        <v>186</v>
      </c>
    </row>
    <row r="201" spans="1:17" s="130" customFormat="1" ht="10.7" customHeight="1" x14ac:dyDescent="0.2">
      <c r="A201" s="122"/>
      <c r="B201" s="161" t="s">
        <v>98</v>
      </c>
      <c r="C201" s="162">
        <v>1050.2</v>
      </c>
      <c r="D201" s="163">
        <v>1050.2</v>
      </c>
      <c r="E201" s="163">
        <v>0</v>
      </c>
      <c r="F201" s="163">
        <v>0</v>
      </c>
      <c r="G201" s="164">
        <v>1050.2</v>
      </c>
      <c r="H201" s="163">
        <v>2.9319999999999999</v>
      </c>
      <c r="I201" s="165">
        <v>0.27918491715863641</v>
      </c>
      <c r="J201" s="164">
        <v>1047.268</v>
      </c>
      <c r="K201" s="163">
        <v>0.1926000000000001</v>
      </c>
      <c r="L201" s="163">
        <v>0</v>
      </c>
      <c r="M201" s="163">
        <v>0.30489999999999995</v>
      </c>
      <c r="N201" s="163">
        <v>1.2975999999999999</v>
      </c>
      <c r="O201" s="163">
        <v>0.12355741763473622</v>
      </c>
      <c r="P201" s="163">
        <v>0.44877499999999998</v>
      </c>
      <c r="Q201" s="146" t="s">
        <v>186</v>
      </c>
    </row>
    <row r="202" spans="1:17" s="130" customFormat="1" ht="10.7" customHeight="1" x14ac:dyDescent="0.2">
      <c r="A202" s="122"/>
      <c r="B202" s="161" t="s">
        <v>99</v>
      </c>
      <c r="C202" s="162">
        <v>323.10000000000002</v>
      </c>
      <c r="D202" s="163">
        <v>323.10000000000002</v>
      </c>
      <c r="E202" s="163">
        <v>0</v>
      </c>
      <c r="F202" s="163">
        <v>0</v>
      </c>
      <c r="G202" s="164">
        <v>323.10000000000002</v>
      </c>
      <c r="H202" s="163">
        <v>0</v>
      </c>
      <c r="I202" s="165">
        <v>0</v>
      </c>
      <c r="J202" s="164">
        <v>323.10000000000002</v>
      </c>
      <c r="K202" s="163">
        <v>0</v>
      </c>
      <c r="L202" s="163">
        <v>0</v>
      </c>
      <c r="M202" s="163">
        <v>0</v>
      </c>
      <c r="N202" s="163">
        <v>0</v>
      </c>
      <c r="O202" s="163">
        <v>0</v>
      </c>
      <c r="P202" s="163">
        <v>0</v>
      </c>
      <c r="Q202" s="146" t="s">
        <v>186</v>
      </c>
    </row>
    <row r="203" spans="1:17" s="130" customFormat="1" ht="10.7" customHeight="1" x14ac:dyDescent="0.2">
      <c r="A203" s="122"/>
      <c r="B203" s="161" t="s">
        <v>100</v>
      </c>
      <c r="C203" s="162">
        <v>9511.7999999999993</v>
      </c>
      <c r="D203" s="163">
        <v>9511.7999999999993</v>
      </c>
      <c r="E203" s="163">
        <v>0</v>
      </c>
      <c r="F203" s="163">
        <v>0</v>
      </c>
      <c r="G203" s="164">
        <v>9511.7999999999993</v>
      </c>
      <c r="H203" s="163">
        <v>830.63670000000002</v>
      </c>
      <c r="I203" s="165">
        <v>8.7326972812716832</v>
      </c>
      <c r="J203" s="164">
        <v>8681.1633000000002</v>
      </c>
      <c r="K203" s="163">
        <v>36.543800000000033</v>
      </c>
      <c r="L203" s="163">
        <v>64.922199999999975</v>
      </c>
      <c r="M203" s="163">
        <v>21.775499999999965</v>
      </c>
      <c r="N203" s="163">
        <v>72.160100000000057</v>
      </c>
      <c r="O203" s="163">
        <v>0.75863769212977628</v>
      </c>
      <c r="P203" s="163">
        <v>48.850400000000008</v>
      </c>
      <c r="Q203" s="146" t="s">
        <v>186</v>
      </c>
    </row>
    <row r="204" spans="1:17" s="130" customFormat="1" ht="10.7" customHeight="1" x14ac:dyDescent="0.2">
      <c r="A204" s="122"/>
      <c r="B204" s="161" t="s">
        <v>101</v>
      </c>
      <c r="C204" s="162">
        <v>7834.3</v>
      </c>
      <c r="D204" s="163">
        <v>7834.3</v>
      </c>
      <c r="E204" s="163">
        <v>0</v>
      </c>
      <c r="F204" s="163">
        <v>0</v>
      </c>
      <c r="G204" s="164">
        <v>7834.3</v>
      </c>
      <c r="H204" s="163">
        <v>520.88300000000004</v>
      </c>
      <c r="I204" s="165">
        <v>6.6487497287568766</v>
      </c>
      <c r="J204" s="164">
        <v>7313.4170000000004</v>
      </c>
      <c r="K204" s="163">
        <v>110.119</v>
      </c>
      <c r="L204" s="163">
        <v>28.252700000000004</v>
      </c>
      <c r="M204" s="163">
        <v>115.82249999999999</v>
      </c>
      <c r="N204" s="163">
        <v>47.629100000000051</v>
      </c>
      <c r="O204" s="163">
        <v>0.60795603946747068</v>
      </c>
      <c r="P204" s="163">
        <v>75.455825000000004</v>
      </c>
      <c r="Q204" s="146" t="s">
        <v>186</v>
      </c>
    </row>
    <row r="205" spans="1:17" s="130" customFormat="1" ht="10.7" customHeight="1" x14ac:dyDescent="0.2">
      <c r="A205" s="122"/>
      <c r="B205" s="161" t="s">
        <v>102</v>
      </c>
      <c r="C205" s="162">
        <v>0.2</v>
      </c>
      <c r="D205" s="163">
        <v>0.2</v>
      </c>
      <c r="E205" s="163">
        <v>0</v>
      </c>
      <c r="F205" s="163">
        <v>0</v>
      </c>
      <c r="G205" s="164">
        <v>0.2</v>
      </c>
      <c r="H205" s="163">
        <v>0</v>
      </c>
      <c r="I205" s="165">
        <v>0</v>
      </c>
      <c r="J205" s="164">
        <v>0.2</v>
      </c>
      <c r="K205" s="163">
        <v>0</v>
      </c>
      <c r="L205" s="163">
        <v>0</v>
      </c>
      <c r="M205" s="163">
        <v>0</v>
      </c>
      <c r="N205" s="163">
        <v>0</v>
      </c>
      <c r="O205" s="163">
        <v>0</v>
      </c>
      <c r="P205" s="163">
        <v>0</v>
      </c>
      <c r="Q205" s="146" t="s">
        <v>162</v>
      </c>
    </row>
    <row r="206" spans="1:17" s="130" customFormat="1" ht="10.7" customHeight="1" x14ac:dyDescent="0.2">
      <c r="A206" s="122"/>
      <c r="B206" s="161" t="s">
        <v>103</v>
      </c>
      <c r="C206" s="162">
        <v>1317.5</v>
      </c>
      <c r="D206" s="163">
        <v>1317.5</v>
      </c>
      <c r="E206" s="163">
        <v>0</v>
      </c>
      <c r="F206" s="163">
        <v>0</v>
      </c>
      <c r="G206" s="164">
        <v>1317.5</v>
      </c>
      <c r="H206" s="163">
        <v>0</v>
      </c>
      <c r="I206" s="165">
        <v>0</v>
      </c>
      <c r="J206" s="164">
        <v>1317.5</v>
      </c>
      <c r="K206" s="163">
        <v>0</v>
      </c>
      <c r="L206" s="163">
        <v>0</v>
      </c>
      <c r="M206" s="163">
        <v>0</v>
      </c>
      <c r="N206" s="163">
        <v>0</v>
      </c>
      <c r="O206" s="163">
        <v>0</v>
      </c>
      <c r="P206" s="163">
        <v>0</v>
      </c>
      <c r="Q206" s="146" t="s">
        <v>186</v>
      </c>
    </row>
    <row r="207" spans="1:17" s="130" customFormat="1" ht="10.7" customHeight="1" x14ac:dyDescent="0.2">
      <c r="A207" s="122"/>
      <c r="B207" s="1" t="s">
        <v>104</v>
      </c>
      <c r="C207" s="162">
        <v>1363.6</v>
      </c>
      <c r="D207" s="163">
        <v>1363.6</v>
      </c>
      <c r="E207" s="163">
        <v>0</v>
      </c>
      <c r="F207" s="163">
        <v>0</v>
      </c>
      <c r="G207" s="164">
        <v>1363.6</v>
      </c>
      <c r="H207" s="163">
        <v>21.5627</v>
      </c>
      <c r="I207" s="165">
        <v>1.5813068348489294</v>
      </c>
      <c r="J207" s="164">
        <v>1342.0373</v>
      </c>
      <c r="K207" s="163">
        <v>4.5193000000000012</v>
      </c>
      <c r="L207" s="163">
        <v>0</v>
      </c>
      <c r="M207" s="163">
        <v>1.3437999999999981</v>
      </c>
      <c r="N207" s="163">
        <v>0</v>
      </c>
      <c r="O207" s="163">
        <v>0</v>
      </c>
      <c r="P207" s="163">
        <v>1.4657749999999998</v>
      </c>
      <c r="Q207" s="146" t="s">
        <v>186</v>
      </c>
    </row>
    <row r="208" spans="1:17" s="130" customFormat="1" ht="10.7" customHeight="1" x14ac:dyDescent="0.2">
      <c r="A208" s="122"/>
      <c r="B208" s="168" t="s">
        <v>106</v>
      </c>
      <c r="C208" s="172">
        <v>32817</v>
      </c>
      <c r="D208" s="163">
        <v>32346.999999999996</v>
      </c>
      <c r="E208" s="163">
        <v>0</v>
      </c>
      <c r="F208" s="163">
        <v>-470.00000000000364</v>
      </c>
      <c r="G208" s="164">
        <v>32346.999999999996</v>
      </c>
      <c r="H208" s="163">
        <v>1722.5666699931621</v>
      </c>
      <c r="I208" s="165">
        <v>5.3252748940957817</v>
      </c>
      <c r="J208" s="164">
        <v>30624.433330006836</v>
      </c>
      <c r="K208" s="163">
        <v>224.58929999999987</v>
      </c>
      <c r="L208" s="163">
        <v>103.83630999946604</v>
      </c>
      <c r="M208" s="163">
        <v>153.29314999732969</v>
      </c>
      <c r="N208" s="163">
        <v>176.16673000068658</v>
      </c>
      <c r="O208" s="163">
        <v>0.54461535845885745</v>
      </c>
      <c r="P208" s="163">
        <v>164.47137249937055</v>
      </c>
      <c r="Q208" s="146" t="s">
        <v>186</v>
      </c>
    </row>
    <row r="209" spans="1:17" s="130" customFormat="1" ht="10.7" customHeight="1" x14ac:dyDescent="0.2">
      <c r="A209" s="122"/>
      <c r="B209" s="168"/>
      <c r="C209" s="162"/>
      <c r="D209" s="163"/>
      <c r="E209" s="163"/>
      <c r="F209" s="163"/>
      <c r="G209" s="164"/>
      <c r="H209" s="163"/>
      <c r="I209" s="165"/>
      <c r="J209" s="164"/>
      <c r="K209" s="163"/>
      <c r="L209" s="163"/>
      <c r="M209" s="163"/>
      <c r="N209" s="163"/>
      <c r="O209" s="163"/>
      <c r="P209" s="163"/>
      <c r="Q209" s="146"/>
    </row>
    <row r="210" spans="1:17" s="130" customFormat="1" ht="10.7" customHeight="1" x14ac:dyDescent="0.2">
      <c r="A210" s="122"/>
      <c r="B210" s="161" t="s">
        <v>107</v>
      </c>
      <c r="C210" s="162">
        <v>0.5</v>
      </c>
      <c r="D210" s="163">
        <v>0.5</v>
      </c>
      <c r="E210" s="163">
        <v>0</v>
      </c>
      <c r="F210" s="163">
        <v>0</v>
      </c>
      <c r="G210" s="164">
        <v>0.5</v>
      </c>
      <c r="H210" s="163">
        <v>0</v>
      </c>
      <c r="I210" s="165">
        <v>0</v>
      </c>
      <c r="J210" s="164">
        <v>0.5</v>
      </c>
      <c r="K210" s="163">
        <v>0</v>
      </c>
      <c r="L210" s="163">
        <v>0</v>
      </c>
      <c r="M210" s="163">
        <v>0</v>
      </c>
      <c r="N210" s="163">
        <v>0</v>
      </c>
      <c r="O210" s="163">
        <v>0</v>
      </c>
      <c r="P210" s="163">
        <v>0</v>
      </c>
      <c r="Q210" s="146" t="s">
        <v>186</v>
      </c>
    </row>
    <row r="211" spans="1:17" s="130" customFormat="1" ht="10.7" customHeight="1" x14ac:dyDescent="0.2">
      <c r="A211" s="122"/>
      <c r="B211" s="161" t="s">
        <v>108</v>
      </c>
      <c r="C211" s="162">
        <v>30.9</v>
      </c>
      <c r="D211" s="162">
        <v>30.9</v>
      </c>
      <c r="E211" s="173">
        <v>0</v>
      </c>
      <c r="F211" s="163">
        <v>0</v>
      </c>
      <c r="G211" s="164">
        <v>30.9</v>
      </c>
      <c r="H211" s="163">
        <v>0.45140000000000002</v>
      </c>
      <c r="I211" s="165">
        <v>1.4608414239482201</v>
      </c>
      <c r="J211" s="164">
        <v>30.448599999999999</v>
      </c>
      <c r="K211" s="163">
        <v>1.0000000000000009E-3</v>
      </c>
      <c r="L211" s="163">
        <v>9.9999999999999534E-3</v>
      </c>
      <c r="M211" s="163">
        <v>0.10800000000000004</v>
      </c>
      <c r="N211" s="163">
        <v>9.5000000000000084E-3</v>
      </c>
      <c r="O211" s="163">
        <v>3.0744336569579315E-2</v>
      </c>
      <c r="P211" s="163">
        <v>3.2125000000000001E-2</v>
      </c>
      <c r="Q211" s="146" t="s">
        <v>186</v>
      </c>
    </row>
    <row r="212" spans="1:17" s="130" customFormat="1" ht="10.7" customHeight="1" x14ac:dyDescent="0.2">
      <c r="A212" s="122"/>
      <c r="B212" s="174" t="s">
        <v>109</v>
      </c>
      <c r="C212" s="162">
        <v>188.9</v>
      </c>
      <c r="D212" s="162">
        <v>188.9</v>
      </c>
      <c r="E212" s="173">
        <v>0</v>
      </c>
      <c r="F212" s="163">
        <v>0</v>
      </c>
      <c r="G212" s="164">
        <v>188.9</v>
      </c>
      <c r="H212" s="163">
        <v>7.5648999999999997</v>
      </c>
      <c r="I212" s="165">
        <v>4.0047114875595549</v>
      </c>
      <c r="J212" s="164">
        <v>181.33510000000001</v>
      </c>
      <c r="K212" s="163">
        <v>0.25599999999999934</v>
      </c>
      <c r="L212" s="163">
        <v>0.30740000000000034</v>
      </c>
      <c r="M212" s="163">
        <v>0.55579999999999963</v>
      </c>
      <c r="N212" s="163">
        <v>0.17260000000000042</v>
      </c>
      <c r="O212" s="163">
        <v>9.1371095817893294E-2</v>
      </c>
      <c r="P212" s="163">
        <v>0.32294999999999996</v>
      </c>
      <c r="Q212" s="146" t="s">
        <v>186</v>
      </c>
    </row>
    <row r="213" spans="1:17" s="130" customFormat="1" ht="10.7" customHeight="1" x14ac:dyDescent="0.2">
      <c r="A213" s="122"/>
      <c r="B213" s="174" t="s">
        <v>110</v>
      </c>
      <c r="C213" s="162"/>
      <c r="D213" s="163">
        <v>0</v>
      </c>
      <c r="E213" s="163"/>
      <c r="F213" s="163">
        <v>0</v>
      </c>
      <c r="G213" s="164">
        <v>0</v>
      </c>
      <c r="H213" s="163">
        <v>0</v>
      </c>
      <c r="I213" s="165" t="s">
        <v>119</v>
      </c>
      <c r="J213" s="164">
        <v>0</v>
      </c>
      <c r="K213" s="163"/>
      <c r="L213" s="163"/>
      <c r="M213" s="163"/>
      <c r="N213" s="163"/>
      <c r="O213" s="163"/>
      <c r="P213" s="163"/>
      <c r="Q213" s="146">
        <v>0</v>
      </c>
    </row>
    <row r="214" spans="1:17" s="130" customFormat="1" ht="10.7" customHeight="1" x14ac:dyDescent="0.2">
      <c r="A214" s="122"/>
      <c r="B214" s="174" t="s">
        <v>111</v>
      </c>
      <c r="C214" s="162"/>
      <c r="D214" s="163"/>
      <c r="E214" s="163"/>
      <c r="F214" s="163"/>
      <c r="G214" s="164">
        <v>0</v>
      </c>
      <c r="H214" s="163"/>
      <c r="I214" s="165"/>
      <c r="J214" s="164">
        <v>0</v>
      </c>
      <c r="K214" s="163"/>
      <c r="L214" s="163"/>
      <c r="M214" s="163"/>
      <c r="N214" s="163"/>
      <c r="O214" s="163"/>
      <c r="P214" s="169"/>
      <c r="Q214" s="146"/>
    </row>
    <row r="215" spans="1:17" s="130" customFormat="1" ht="10.7" customHeight="1" x14ac:dyDescent="0.2">
      <c r="A215" s="122"/>
      <c r="B215" s="175" t="s">
        <v>112</v>
      </c>
      <c r="C215" s="176">
        <v>33037.300000000003</v>
      </c>
      <c r="D215" s="176">
        <v>32567.299999999996</v>
      </c>
      <c r="E215" s="177">
        <v>0</v>
      </c>
      <c r="F215" s="180">
        <v>-470.00000000000364</v>
      </c>
      <c r="G215" s="189">
        <v>32567.299999999996</v>
      </c>
      <c r="H215" s="180">
        <v>1730.5829699931621</v>
      </c>
      <c r="I215" s="179">
        <v>5.3138668848604649</v>
      </c>
      <c r="J215" s="189">
        <v>30836.717030006832</v>
      </c>
      <c r="K215" s="180">
        <v>224.8462999999997</v>
      </c>
      <c r="L215" s="180">
        <v>104.15370999946617</v>
      </c>
      <c r="M215" s="180">
        <v>153.95694999732973</v>
      </c>
      <c r="N215" s="180">
        <v>176.34883000068658</v>
      </c>
      <c r="O215" s="180">
        <v>0.54149048278698764</v>
      </c>
      <c r="P215" s="190">
        <v>164.82644749937054</v>
      </c>
      <c r="Q215" s="153" t="s">
        <v>186</v>
      </c>
    </row>
    <row r="216" spans="1:17" s="130" customFormat="1" ht="10.7" customHeight="1" x14ac:dyDescent="0.2">
      <c r="A216" s="122"/>
      <c r="B216" s="181"/>
      <c r="C216" s="181"/>
      <c r="D216" s="163"/>
      <c r="E216" s="163"/>
      <c r="F216" s="163"/>
      <c r="G216" s="164"/>
      <c r="H216" s="163"/>
      <c r="I216" s="2"/>
      <c r="J216" s="164"/>
      <c r="K216" s="163"/>
      <c r="L216" s="163"/>
      <c r="M216" s="163"/>
      <c r="N216" s="163"/>
      <c r="O216" s="163"/>
      <c r="P216" s="163"/>
      <c r="Q216" s="182"/>
    </row>
    <row r="217" spans="1:17" s="130" customFormat="1" ht="10.7" customHeight="1" x14ac:dyDescent="0.2">
      <c r="A217" s="122"/>
      <c r="B217" s="181"/>
      <c r="C217" s="181"/>
      <c r="D217" s="135"/>
      <c r="E217" s="183"/>
      <c r="F217" s="183"/>
      <c r="G217" s="184"/>
      <c r="H217" s="183"/>
      <c r="I217" s="163"/>
      <c r="J217" s="184"/>
      <c r="K217" s="185"/>
      <c r="L217" s="185"/>
      <c r="M217" s="185"/>
      <c r="N217" s="185"/>
      <c r="O217" s="173"/>
      <c r="P217" s="183"/>
      <c r="Q217" s="182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43166</v>
      </c>
      <c r="L220" s="151">
        <v>43173</v>
      </c>
      <c r="M220" s="151">
        <v>43180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6"/>
      <c r="C222" s="193" t="s">
        <v>149</v>
      </c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4"/>
      <c r="Q222" s="145"/>
    </row>
    <row r="223" spans="1:17" s="130" customFormat="1" ht="10.7" customHeight="1" x14ac:dyDescent="0.2">
      <c r="A223" s="122"/>
      <c r="B223" s="161" t="s">
        <v>80</v>
      </c>
      <c r="C223" s="162">
        <v>1.9</v>
      </c>
      <c r="D223" s="163">
        <v>5.9</v>
      </c>
      <c r="E223" s="163">
        <v>2.7</v>
      </c>
      <c r="F223" s="163">
        <v>4</v>
      </c>
      <c r="G223" s="164">
        <v>5.9</v>
      </c>
      <c r="H223" s="163">
        <v>7.7999999999999996E-3</v>
      </c>
      <c r="I223" s="165">
        <v>0.13220338983050844</v>
      </c>
      <c r="J223" s="164">
        <v>5.8922000000000008</v>
      </c>
      <c r="K223" s="163">
        <v>0</v>
      </c>
      <c r="L223" s="163">
        <v>0</v>
      </c>
      <c r="M223" s="163">
        <v>1E-3</v>
      </c>
      <c r="N223" s="163">
        <v>6.7999999999999996E-3</v>
      </c>
      <c r="O223" s="163">
        <v>0.11525423728813559</v>
      </c>
      <c r="P223" s="163">
        <v>1.9499999999999999E-3</v>
      </c>
      <c r="Q223" s="146" t="s">
        <v>186</v>
      </c>
    </row>
    <row r="224" spans="1:17" s="130" customFormat="1" ht="10.7" customHeight="1" x14ac:dyDescent="0.2">
      <c r="A224" s="122"/>
      <c r="B224" s="161" t="s">
        <v>81</v>
      </c>
      <c r="C224" s="162">
        <v>0.1</v>
      </c>
      <c r="D224" s="163">
        <v>0.1</v>
      </c>
      <c r="E224" s="163">
        <v>0</v>
      </c>
      <c r="F224" s="163">
        <v>0</v>
      </c>
      <c r="G224" s="164">
        <v>0.1</v>
      </c>
      <c r="H224" s="163">
        <v>0</v>
      </c>
      <c r="I224" s="165">
        <v>0</v>
      </c>
      <c r="J224" s="164">
        <v>0.1</v>
      </c>
      <c r="K224" s="163">
        <v>0</v>
      </c>
      <c r="L224" s="163">
        <v>0</v>
      </c>
      <c r="M224" s="163">
        <v>0</v>
      </c>
      <c r="N224" s="163">
        <v>0</v>
      </c>
      <c r="O224" s="163">
        <v>0</v>
      </c>
      <c r="P224" s="163">
        <v>0</v>
      </c>
      <c r="Q224" s="146" t="s">
        <v>186</v>
      </c>
    </row>
    <row r="225" spans="1:17" s="130" customFormat="1" ht="10.7" customHeight="1" x14ac:dyDescent="0.2">
      <c r="A225" s="122"/>
      <c r="B225" s="161" t="s">
        <v>82</v>
      </c>
      <c r="C225" s="162">
        <v>0.1</v>
      </c>
      <c r="D225" s="163">
        <v>20.100000000000001</v>
      </c>
      <c r="E225" s="163">
        <v>0</v>
      </c>
      <c r="F225" s="163">
        <v>20</v>
      </c>
      <c r="G225" s="164">
        <v>20.100000000000001</v>
      </c>
      <c r="H225" s="163">
        <v>0</v>
      </c>
      <c r="I225" s="165">
        <v>0</v>
      </c>
      <c r="J225" s="164">
        <v>20.100000000000001</v>
      </c>
      <c r="K225" s="163">
        <v>0</v>
      </c>
      <c r="L225" s="163">
        <v>0</v>
      </c>
      <c r="M225" s="163">
        <v>0</v>
      </c>
      <c r="N225" s="163">
        <v>0</v>
      </c>
      <c r="O225" s="163">
        <v>0</v>
      </c>
      <c r="P225" s="163">
        <v>0</v>
      </c>
      <c r="Q225" s="146" t="s">
        <v>186</v>
      </c>
    </row>
    <row r="226" spans="1:17" s="130" customFormat="1" ht="10.7" customHeight="1" x14ac:dyDescent="0.2">
      <c r="A226" s="122"/>
      <c r="B226" s="161" t="s">
        <v>83</v>
      </c>
      <c r="C226" s="162">
        <v>26.8</v>
      </c>
      <c r="D226" s="163">
        <v>1.8000000000000007</v>
      </c>
      <c r="E226" s="163">
        <v>-25</v>
      </c>
      <c r="F226" s="163">
        <v>-25</v>
      </c>
      <c r="G226" s="164">
        <v>1.8000000000000007</v>
      </c>
      <c r="H226" s="163">
        <v>0</v>
      </c>
      <c r="I226" s="165">
        <v>0</v>
      </c>
      <c r="J226" s="164">
        <v>1.8000000000000007</v>
      </c>
      <c r="K226" s="163">
        <v>0</v>
      </c>
      <c r="L226" s="163">
        <v>0</v>
      </c>
      <c r="M226" s="163">
        <v>0</v>
      </c>
      <c r="N226" s="163">
        <v>0</v>
      </c>
      <c r="O226" s="163">
        <v>0</v>
      </c>
      <c r="P226" s="163">
        <v>0</v>
      </c>
      <c r="Q226" s="146" t="s">
        <v>186</v>
      </c>
    </row>
    <row r="227" spans="1:17" s="130" customFormat="1" ht="10.7" customHeight="1" x14ac:dyDescent="0.2">
      <c r="A227" s="122"/>
      <c r="B227" s="161" t="s">
        <v>84</v>
      </c>
      <c r="C227" s="162">
        <v>47.6</v>
      </c>
      <c r="D227" s="163">
        <v>41.6</v>
      </c>
      <c r="E227" s="163">
        <v>0</v>
      </c>
      <c r="F227" s="163">
        <v>-6</v>
      </c>
      <c r="G227" s="164">
        <v>41.6</v>
      </c>
      <c r="H227" s="163">
        <v>6.8392999999999997</v>
      </c>
      <c r="I227" s="165">
        <v>16.440624999999997</v>
      </c>
      <c r="J227" s="164">
        <v>34.7607</v>
      </c>
      <c r="K227" s="163">
        <v>3.1236000000000002</v>
      </c>
      <c r="L227" s="163">
        <v>2.1000000000004349E-3</v>
      </c>
      <c r="M227" s="163">
        <v>2.0999999999995467E-3</v>
      </c>
      <c r="N227" s="163">
        <v>0.12819999999999965</v>
      </c>
      <c r="O227" s="163">
        <v>0.30817307692307605</v>
      </c>
      <c r="P227" s="163">
        <v>0.81399999999999995</v>
      </c>
      <c r="Q227" s="146">
        <v>40.703562653562656</v>
      </c>
    </row>
    <row r="228" spans="1:17" s="130" customFormat="1" ht="10.7" customHeight="1" x14ac:dyDescent="0.2">
      <c r="A228" s="122"/>
      <c r="B228" s="161" t="s">
        <v>85</v>
      </c>
      <c r="C228" s="162">
        <v>2.7</v>
      </c>
      <c r="D228" s="163">
        <v>2.1</v>
      </c>
      <c r="E228" s="163">
        <v>0</v>
      </c>
      <c r="F228" s="163">
        <v>-0.60000000000000009</v>
      </c>
      <c r="G228" s="164">
        <v>2.1</v>
      </c>
      <c r="H228" s="163">
        <v>0</v>
      </c>
      <c r="I228" s="165">
        <v>0</v>
      </c>
      <c r="J228" s="164">
        <v>2.1</v>
      </c>
      <c r="K228" s="163">
        <v>0</v>
      </c>
      <c r="L228" s="163">
        <v>0</v>
      </c>
      <c r="M228" s="163">
        <v>0</v>
      </c>
      <c r="N228" s="163">
        <v>0</v>
      </c>
      <c r="O228" s="163">
        <v>0</v>
      </c>
      <c r="P228" s="163">
        <v>0</v>
      </c>
      <c r="Q228" s="146" t="s">
        <v>186</v>
      </c>
    </row>
    <row r="229" spans="1:17" s="130" customFormat="1" ht="10.7" customHeight="1" x14ac:dyDescent="0.2">
      <c r="A229" s="122"/>
      <c r="B229" s="161" t="s">
        <v>86</v>
      </c>
      <c r="C229" s="162">
        <v>0</v>
      </c>
      <c r="D229" s="163">
        <v>0</v>
      </c>
      <c r="E229" s="163">
        <v>0</v>
      </c>
      <c r="F229" s="163">
        <v>0</v>
      </c>
      <c r="G229" s="164">
        <v>0</v>
      </c>
      <c r="H229" s="163">
        <v>0</v>
      </c>
      <c r="I229" s="165" t="s">
        <v>119</v>
      </c>
      <c r="J229" s="164">
        <v>0</v>
      </c>
      <c r="K229" s="163">
        <v>0</v>
      </c>
      <c r="L229" s="163">
        <v>0</v>
      </c>
      <c r="M229" s="163">
        <v>0</v>
      </c>
      <c r="N229" s="163">
        <v>0</v>
      </c>
      <c r="O229" s="163" t="s">
        <v>42</v>
      </c>
      <c r="P229" s="163">
        <v>0</v>
      </c>
      <c r="Q229" s="146">
        <v>0</v>
      </c>
    </row>
    <row r="230" spans="1:17" s="130" customFormat="1" ht="10.7" customHeight="1" x14ac:dyDescent="0.2">
      <c r="A230" s="122"/>
      <c r="B230" s="161" t="s">
        <v>87</v>
      </c>
      <c r="C230" s="162">
        <v>0.2</v>
      </c>
      <c r="D230" s="163">
        <v>0.2</v>
      </c>
      <c r="E230" s="163">
        <v>0</v>
      </c>
      <c r="F230" s="163">
        <v>0</v>
      </c>
      <c r="G230" s="164">
        <v>0.2</v>
      </c>
      <c r="H230" s="163">
        <v>0</v>
      </c>
      <c r="I230" s="165">
        <v>0</v>
      </c>
      <c r="J230" s="164">
        <v>0.2</v>
      </c>
      <c r="K230" s="163">
        <v>0</v>
      </c>
      <c r="L230" s="163">
        <v>0</v>
      </c>
      <c r="M230" s="163">
        <v>0</v>
      </c>
      <c r="N230" s="163">
        <v>0</v>
      </c>
      <c r="O230" s="163">
        <v>0</v>
      </c>
      <c r="P230" s="163">
        <v>0</v>
      </c>
      <c r="Q230" s="146" t="s">
        <v>186</v>
      </c>
    </row>
    <row r="231" spans="1:17" s="130" customFormat="1" ht="10.7" customHeight="1" x14ac:dyDescent="0.2">
      <c r="A231" s="122"/>
      <c r="B231" s="161" t="s">
        <v>88</v>
      </c>
      <c r="C231" s="162">
        <v>0.8</v>
      </c>
      <c r="D231" s="163">
        <v>0.8</v>
      </c>
      <c r="E231" s="163">
        <v>0</v>
      </c>
      <c r="F231" s="163">
        <v>0</v>
      </c>
      <c r="G231" s="164">
        <v>0.8</v>
      </c>
      <c r="H231" s="163">
        <v>0</v>
      </c>
      <c r="I231" s="165">
        <v>0</v>
      </c>
      <c r="J231" s="164">
        <v>0.8</v>
      </c>
      <c r="K231" s="163">
        <v>0</v>
      </c>
      <c r="L231" s="163">
        <v>0</v>
      </c>
      <c r="M231" s="163">
        <v>0</v>
      </c>
      <c r="N231" s="163">
        <v>0</v>
      </c>
      <c r="O231" s="163">
        <v>0</v>
      </c>
      <c r="P231" s="163">
        <v>0</v>
      </c>
      <c r="Q231" s="146" t="s">
        <v>162</v>
      </c>
    </row>
    <row r="232" spans="1:17" s="130" customFormat="1" ht="10.7" customHeight="1" x14ac:dyDescent="0.2">
      <c r="A232" s="122"/>
      <c r="B232" s="161" t="s">
        <v>89</v>
      </c>
      <c r="C232" s="162">
        <v>0</v>
      </c>
      <c r="D232" s="163">
        <v>0</v>
      </c>
      <c r="E232" s="163">
        <v>0</v>
      </c>
      <c r="F232" s="163">
        <v>0</v>
      </c>
      <c r="G232" s="164">
        <v>0</v>
      </c>
      <c r="H232" s="163">
        <v>0</v>
      </c>
      <c r="I232" s="165" t="s">
        <v>119</v>
      </c>
      <c r="J232" s="164">
        <v>0</v>
      </c>
      <c r="K232" s="163">
        <v>0</v>
      </c>
      <c r="L232" s="163">
        <v>0</v>
      </c>
      <c r="M232" s="163">
        <v>0</v>
      </c>
      <c r="N232" s="163">
        <v>0</v>
      </c>
      <c r="O232" s="163" t="s">
        <v>42</v>
      </c>
      <c r="P232" s="163">
        <v>0</v>
      </c>
      <c r="Q232" s="146">
        <v>0</v>
      </c>
    </row>
    <row r="233" spans="1:17" s="130" customFormat="1" ht="10.7" customHeight="1" x14ac:dyDescent="0.2">
      <c r="A233" s="122"/>
      <c r="B233" s="168" t="s">
        <v>91</v>
      </c>
      <c r="C233" s="162">
        <v>80.2</v>
      </c>
      <c r="D233" s="163">
        <v>72.599999999999994</v>
      </c>
      <c r="E233" s="163">
        <v>-22.3</v>
      </c>
      <c r="F233" s="163">
        <v>-7.6000000000000085</v>
      </c>
      <c r="G233" s="164">
        <v>72.599999999999994</v>
      </c>
      <c r="H233" s="163">
        <v>6.8470999999999993</v>
      </c>
      <c r="I233" s="165">
        <v>9.4312672176308538</v>
      </c>
      <c r="J233" s="164">
        <v>65.752899999999997</v>
      </c>
      <c r="K233" s="163">
        <v>3.1236000000000002</v>
      </c>
      <c r="L233" s="163">
        <v>2.1000000000004349E-3</v>
      </c>
      <c r="M233" s="163">
        <v>3.0999999999995467E-3</v>
      </c>
      <c r="N233" s="163">
        <v>0.13499999999999965</v>
      </c>
      <c r="O233" s="163">
        <v>0.18595041322314002</v>
      </c>
      <c r="P233" s="169">
        <v>0.81594999999999995</v>
      </c>
      <c r="Q233" s="146" t="s">
        <v>186</v>
      </c>
    </row>
    <row r="234" spans="1:17" s="130" customFormat="1" ht="10.7" customHeight="1" x14ac:dyDescent="0.2">
      <c r="A234" s="122"/>
      <c r="B234" s="168"/>
      <c r="C234" s="134"/>
      <c r="D234" s="163"/>
      <c r="E234" s="163"/>
      <c r="F234" s="163"/>
      <c r="G234" s="164"/>
      <c r="H234" s="163"/>
      <c r="I234" s="165"/>
      <c r="J234" s="164"/>
      <c r="K234" s="163"/>
      <c r="L234" s="163"/>
      <c r="M234" s="163"/>
      <c r="N234" s="163"/>
      <c r="O234" s="163"/>
      <c r="P234" s="163"/>
      <c r="Q234" s="146"/>
    </row>
    <row r="235" spans="1:17" s="130" customFormat="1" ht="10.7" customHeight="1" x14ac:dyDescent="0.2">
      <c r="A235" s="122"/>
      <c r="B235" s="161" t="s">
        <v>92</v>
      </c>
      <c r="C235" s="162">
        <v>5.3</v>
      </c>
      <c r="D235" s="163">
        <v>6.4999999999999991</v>
      </c>
      <c r="E235" s="163">
        <v>0</v>
      </c>
      <c r="F235" s="163">
        <v>1.1999999999999993</v>
      </c>
      <c r="G235" s="164">
        <v>6.4999999999999991</v>
      </c>
      <c r="H235" s="163">
        <v>0.1125</v>
      </c>
      <c r="I235" s="165">
        <v>1.7307692307692311</v>
      </c>
      <c r="J235" s="164">
        <v>6.3874999999999993</v>
      </c>
      <c r="K235" s="163">
        <v>3.3000000000000113E-3</v>
      </c>
      <c r="L235" s="163">
        <v>2.1999999999999936E-3</v>
      </c>
      <c r="M235" s="163">
        <v>7.8000000000000014E-3</v>
      </c>
      <c r="N235" s="163">
        <v>1.5600000000000003E-2</v>
      </c>
      <c r="O235" s="163">
        <v>0.24000000000000007</v>
      </c>
      <c r="P235" s="163">
        <v>7.2250000000000023E-3</v>
      </c>
      <c r="Q235" s="146" t="s">
        <v>186</v>
      </c>
    </row>
    <row r="236" spans="1:17" s="130" customFormat="1" ht="10.7" customHeight="1" x14ac:dyDescent="0.2">
      <c r="A236" s="188"/>
      <c r="B236" s="161" t="s">
        <v>93</v>
      </c>
      <c r="C236" s="162">
        <v>31.3</v>
      </c>
      <c r="D236" s="163">
        <v>74.099999999999994</v>
      </c>
      <c r="E236" s="163">
        <v>0</v>
      </c>
      <c r="F236" s="163">
        <v>42.8</v>
      </c>
      <c r="G236" s="164">
        <v>74.099999999999994</v>
      </c>
      <c r="H236" s="163">
        <v>1.89E-2</v>
      </c>
      <c r="I236" s="165">
        <v>2.550607287449393E-2</v>
      </c>
      <c r="J236" s="164">
        <v>74.081099999999992</v>
      </c>
      <c r="K236" s="163">
        <v>0</v>
      </c>
      <c r="L236" s="163">
        <v>0</v>
      </c>
      <c r="M236" s="163">
        <v>1.4999999999999996E-3</v>
      </c>
      <c r="N236" s="163">
        <v>7.9000000000000008E-3</v>
      </c>
      <c r="O236" s="163">
        <v>1.0661268556005399E-2</v>
      </c>
      <c r="P236" s="163">
        <v>2.3500000000000001E-3</v>
      </c>
      <c r="Q236" s="146" t="s">
        <v>186</v>
      </c>
    </row>
    <row r="237" spans="1:17" s="130" customFormat="1" ht="10.7" hidden="1" customHeight="1" x14ac:dyDescent="0.2">
      <c r="A237" s="122"/>
      <c r="B237" s="161" t="s">
        <v>94</v>
      </c>
      <c r="C237" s="162">
        <v>0</v>
      </c>
      <c r="D237" s="163">
        <v>0</v>
      </c>
      <c r="E237" s="163">
        <v>0</v>
      </c>
      <c r="F237" s="163">
        <v>0</v>
      </c>
      <c r="G237" s="164">
        <v>0</v>
      </c>
      <c r="H237" s="163">
        <v>0</v>
      </c>
      <c r="I237" s="165" t="s">
        <v>119</v>
      </c>
      <c r="J237" s="164">
        <v>0</v>
      </c>
      <c r="K237" s="163">
        <v>0</v>
      </c>
      <c r="L237" s="163">
        <v>0</v>
      </c>
      <c r="M237" s="163">
        <v>0</v>
      </c>
      <c r="N237" s="163">
        <v>0</v>
      </c>
      <c r="O237" s="163" t="s">
        <v>42</v>
      </c>
      <c r="P237" s="163">
        <v>0</v>
      </c>
      <c r="Q237" s="146">
        <v>0</v>
      </c>
    </row>
    <row r="238" spans="1:17" s="130" customFormat="1" ht="10.7" customHeight="1" x14ac:dyDescent="0.2">
      <c r="A238" s="188"/>
      <c r="B238" s="161" t="s">
        <v>95</v>
      </c>
      <c r="C238" s="162">
        <v>4.2</v>
      </c>
      <c r="D238" s="163">
        <v>4.2</v>
      </c>
      <c r="E238" s="163">
        <v>0</v>
      </c>
      <c r="F238" s="163">
        <v>0</v>
      </c>
      <c r="G238" s="164">
        <v>4.2</v>
      </c>
      <c r="H238" s="163">
        <v>0</v>
      </c>
      <c r="I238" s="165">
        <v>0</v>
      </c>
      <c r="J238" s="164">
        <v>4.2</v>
      </c>
      <c r="K238" s="163">
        <v>0</v>
      </c>
      <c r="L238" s="163">
        <v>0</v>
      </c>
      <c r="M238" s="163">
        <v>0</v>
      </c>
      <c r="N238" s="163">
        <v>0</v>
      </c>
      <c r="O238" s="163">
        <v>0</v>
      </c>
      <c r="P238" s="163">
        <v>0</v>
      </c>
      <c r="Q238" s="146" t="s">
        <v>186</v>
      </c>
    </row>
    <row r="239" spans="1:17" s="130" customFormat="1" ht="10.7" customHeight="1" x14ac:dyDescent="0.2">
      <c r="A239" s="122"/>
      <c r="B239" s="161" t="s">
        <v>96</v>
      </c>
      <c r="C239" s="162">
        <v>5.7</v>
      </c>
      <c r="D239" s="163">
        <v>0.29999999999999982</v>
      </c>
      <c r="E239" s="163">
        <v>-2.7</v>
      </c>
      <c r="F239" s="163">
        <v>-5.4</v>
      </c>
      <c r="G239" s="164">
        <v>0.29999999999999982</v>
      </c>
      <c r="H239" s="163">
        <v>1.2699999999999999E-2</v>
      </c>
      <c r="I239" s="165">
        <v>4.2333333333333361</v>
      </c>
      <c r="J239" s="164">
        <v>0.28729999999999983</v>
      </c>
      <c r="K239" s="163">
        <v>0</v>
      </c>
      <c r="L239" s="163">
        <v>1.04E-2</v>
      </c>
      <c r="M239" s="163">
        <v>0</v>
      </c>
      <c r="N239" s="163">
        <v>0</v>
      </c>
      <c r="O239" s="163">
        <v>0</v>
      </c>
      <c r="P239" s="163">
        <v>2.5999999999999999E-3</v>
      </c>
      <c r="Q239" s="146" t="s">
        <v>186</v>
      </c>
    </row>
    <row r="240" spans="1:17" s="130" customFormat="1" ht="10.7" customHeight="1" x14ac:dyDescent="0.2">
      <c r="A240" s="122"/>
      <c r="B240" s="161" t="s">
        <v>97</v>
      </c>
      <c r="C240" s="162">
        <v>2.6</v>
      </c>
      <c r="D240" s="163">
        <v>2.6</v>
      </c>
      <c r="E240" s="163">
        <v>0</v>
      </c>
      <c r="F240" s="163">
        <v>0</v>
      </c>
      <c r="G240" s="164">
        <v>2.6</v>
      </c>
      <c r="H240" s="163">
        <v>0</v>
      </c>
      <c r="I240" s="165">
        <v>0</v>
      </c>
      <c r="J240" s="164">
        <v>2.6</v>
      </c>
      <c r="K240" s="163">
        <v>0</v>
      </c>
      <c r="L240" s="163">
        <v>0</v>
      </c>
      <c r="M240" s="163">
        <v>0</v>
      </c>
      <c r="N240" s="163">
        <v>0</v>
      </c>
      <c r="O240" s="163">
        <v>0</v>
      </c>
      <c r="P240" s="163">
        <v>0</v>
      </c>
      <c r="Q240" s="146" t="s">
        <v>186</v>
      </c>
    </row>
    <row r="241" spans="1:17" s="130" customFormat="1" ht="10.7" customHeight="1" x14ac:dyDescent="0.2">
      <c r="A241" s="122"/>
      <c r="B241" s="161" t="s">
        <v>98</v>
      </c>
      <c r="C241" s="162">
        <v>21.2</v>
      </c>
      <c r="D241" s="163">
        <v>2.6999999999999993</v>
      </c>
      <c r="E241" s="163">
        <v>0</v>
      </c>
      <c r="F241" s="163">
        <v>-18.5</v>
      </c>
      <c r="G241" s="164">
        <v>2.6999999999999993</v>
      </c>
      <c r="H241" s="163">
        <v>0</v>
      </c>
      <c r="I241" s="165">
        <v>0</v>
      </c>
      <c r="J241" s="164">
        <v>2.6999999999999993</v>
      </c>
      <c r="K241" s="163">
        <v>0</v>
      </c>
      <c r="L241" s="163">
        <v>0</v>
      </c>
      <c r="M241" s="163">
        <v>0</v>
      </c>
      <c r="N241" s="163">
        <v>0</v>
      </c>
      <c r="O241" s="163">
        <v>0</v>
      </c>
      <c r="P241" s="163">
        <v>0</v>
      </c>
      <c r="Q241" s="146" t="s">
        <v>186</v>
      </c>
    </row>
    <row r="242" spans="1:17" s="130" customFormat="1" ht="10.7" customHeight="1" x14ac:dyDescent="0.2">
      <c r="A242" s="122"/>
      <c r="B242" s="161" t="s">
        <v>99</v>
      </c>
      <c r="C242" s="162">
        <v>41.2</v>
      </c>
      <c r="D242" s="163">
        <v>41.2</v>
      </c>
      <c r="E242" s="163">
        <v>0</v>
      </c>
      <c r="F242" s="163">
        <v>0</v>
      </c>
      <c r="G242" s="164">
        <v>41.2</v>
      </c>
      <c r="H242" s="163">
        <v>0</v>
      </c>
      <c r="I242" s="165">
        <v>0</v>
      </c>
      <c r="J242" s="164">
        <v>41.2</v>
      </c>
      <c r="K242" s="163">
        <v>0</v>
      </c>
      <c r="L242" s="163">
        <v>0</v>
      </c>
      <c r="M242" s="163">
        <v>0</v>
      </c>
      <c r="N242" s="163">
        <v>0</v>
      </c>
      <c r="O242" s="163">
        <v>0</v>
      </c>
      <c r="P242" s="163">
        <v>0</v>
      </c>
      <c r="Q242" s="146" t="s">
        <v>186</v>
      </c>
    </row>
    <row r="243" spans="1:17" s="130" customFormat="1" ht="10.7" customHeight="1" x14ac:dyDescent="0.2">
      <c r="A243" s="122"/>
      <c r="B243" s="161" t="s">
        <v>100</v>
      </c>
      <c r="C243" s="162">
        <v>192</v>
      </c>
      <c r="D243" s="163">
        <v>114.2</v>
      </c>
      <c r="E243" s="163">
        <v>25</v>
      </c>
      <c r="F243" s="163">
        <v>-77.8</v>
      </c>
      <c r="G243" s="164">
        <v>114.2</v>
      </c>
      <c r="H243" s="163">
        <v>25.8125</v>
      </c>
      <c r="I243" s="165">
        <v>22.602889667250437</v>
      </c>
      <c r="J243" s="164">
        <v>88.387500000000003</v>
      </c>
      <c r="K243" s="163">
        <v>2.8245000000000005</v>
      </c>
      <c r="L243" s="163">
        <v>1.8379999999999974</v>
      </c>
      <c r="M243" s="163">
        <v>1.3552000000000035</v>
      </c>
      <c r="N243" s="163">
        <v>3.6377999999999986</v>
      </c>
      <c r="O243" s="163">
        <v>3.1854640980735538</v>
      </c>
      <c r="P243" s="163">
        <v>2.413875</v>
      </c>
      <c r="Q243" s="146">
        <v>34.61643622805655</v>
      </c>
    </row>
    <row r="244" spans="1:17" s="130" customFormat="1" ht="10.7" customHeight="1" x14ac:dyDescent="0.2">
      <c r="A244" s="122"/>
      <c r="B244" s="161" t="s">
        <v>101</v>
      </c>
      <c r="C244" s="162">
        <v>124.7</v>
      </c>
      <c r="D244" s="163">
        <v>174.7</v>
      </c>
      <c r="E244" s="163">
        <v>0</v>
      </c>
      <c r="F244" s="163">
        <v>49.999999999999986</v>
      </c>
      <c r="G244" s="164">
        <v>174.7</v>
      </c>
      <c r="H244" s="163">
        <v>30.7242</v>
      </c>
      <c r="I244" s="165">
        <v>17.586834573554668</v>
      </c>
      <c r="J244" s="164">
        <v>143.97579999999999</v>
      </c>
      <c r="K244" s="163">
        <v>6.8251000000000008</v>
      </c>
      <c r="L244" s="163">
        <v>2.3272000000000013</v>
      </c>
      <c r="M244" s="163">
        <v>4.8783999999999992</v>
      </c>
      <c r="N244" s="163">
        <v>3.5582999999999991</v>
      </c>
      <c r="O244" s="163">
        <v>2.0368059530623923</v>
      </c>
      <c r="P244" s="163">
        <v>4.3972499999999997</v>
      </c>
      <c r="Q244" s="146">
        <v>30.742236625163457</v>
      </c>
    </row>
    <row r="245" spans="1:17" s="130" customFormat="1" ht="10.7" customHeight="1" x14ac:dyDescent="0.2">
      <c r="A245" s="122"/>
      <c r="B245" s="161" t="s">
        <v>102</v>
      </c>
      <c r="C245" s="162">
        <v>0.1</v>
      </c>
      <c r="D245" s="163">
        <v>0.1</v>
      </c>
      <c r="E245" s="163">
        <v>0</v>
      </c>
      <c r="F245" s="163">
        <v>0</v>
      </c>
      <c r="G245" s="164">
        <v>0.1</v>
      </c>
      <c r="H245" s="163">
        <v>0</v>
      </c>
      <c r="I245" s="165">
        <v>0</v>
      </c>
      <c r="J245" s="164">
        <v>0.1</v>
      </c>
      <c r="K245" s="163">
        <v>0</v>
      </c>
      <c r="L245" s="163">
        <v>0</v>
      </c>
      <c r="M245" s="163">
        <v>0</v>
      </c>
      <c r="N245" s="163">
        <v>0</v>
      </c>
      <c r="O245" s="163">
        <v>0</v>
      </c>
      <c r="P245" s="163">
        <v>0</v>
      </c>
      <c r="Q245" s="146" t="s">
        <v>162</v>
      </c>
    </row>
    <row r="246" spans="1:17" s="130" customFormat="1" ht="10.7" customHeight="1" x14ac:dyDescent="0.2">
      <c r="A246" s="122"/>
      <c r="B246" s="161" t="s">
        <v>103</v>
      </c>
      <c r="C246" s="162">
        <v>33</v>
      </c>
      <c r="D246" s="163">
        <v>33</v>
      </c>
      <c r="E246" s="163">
        <v>0</v>
      </c>
      <c r="F246" s="163">
        <v>0</v>
      </c>
      <c r="G246" s="164">
        <v>33</v>
      </c>
      <c r="H246" s="163">
        <v>0</v>
      </c>
      <c r="I246" s="165">
        <v>0</v>
      </c>
      <c r="J246" s="164">
        <v>33</v>
      </c>
      <c r="K246" s="163">
        <v>0</v>
      </c>
      <c r="L246" s="163">
        <v>0</v>
      </c>
      <c r="M246" s="163">
        <v>0</v>
      </c>
      <c r="N246" s="163">
        <v>0</v>
      </c>
      <c r="O246" s="163">
        <v>0</v>
      </c>
      <c r="P246" s="163">
        <v>0</v>
      </c>
      <c r="Q246" s="146" t="s">
        <v>186</v>
      </c>
    </row>
    <row r="247" spans="1:17" s="130" customFormat="1" ht="10.7" customHeight="1" x14ac:dyDescent="0.2">
      <c r="A247" s="122"/>
      <c r="B247" s="1" t="s">
        <v>104</v>
      </c>
      <c r="C247" s="162">
        <v>79.400000000000006</v>
      </c>
      <c r="D247" s="163">
        <v>79.400000000000006</v>
      </c>
      <c r="E247" s="163">
        <v>0</v>
      </c>
      <c r="F247" s="163">
        <v>0</v>
      </c>
      <c r="G247" s="164">
        <v>79.400000000000006</v>
      </c>
      <c r="H247" s="163">
        <v>24.279599999999999</v>
      </c>
      <c r="I247" s="165">
        <v>30.578841309823677</v>
      </c>
      <c r="J247" s="164">
        <v>55.120400000000004</v>
      </c>
      <c r="K247" s="163">
        <v>4.929199999999998</v>
      </c>
      <c r="L247" s="163">
        <v>0</v>
      </c>
      <c r="M247" s="163">
        <v>2.4314</v>
      </c>
      <c r="N247" s="163">
        <v>0</v>
      </c>
      <c r="O247" s="163">
        <v>0</v>
      </c>
      <c r="P247" s="163">
        <v>1.8401499999999995</v>
      </c>
      <c r="Q247" s="146">
        <v>27.95429720403229</v>
      </c>
    </row>
    <row r="248" spans="1:17" s="130" customFormat="1" ht="10.7" customHeight="1" x14ac:dyDescent="0.2">
      <c r="A248" s="122"/>
      <c r="B248" s="168" t="s">
        <v>106</v>
      </c>
      <c r="C248" s="172">
        <v>620.90000000000009</v>
      </c>
      <c r="D248" s="163">
        <v>605.6</v>
      </c>
      <c r="E248" s="163">
        <v>0</v>
      </c>
      <c r="F248" s="163">
        <v>-15.300000000000018</v>
      </c>
      <c r="G248" s="164">
        <v>605.6</v>
      </c>
      <c r="H248" s="163">
        <v>87.807500000000005</v>
      </c>
      <c r="I248" s="165">
        <v>14.499256935270806</v>
      </c>
      <c r="J248" s="164">
        <v>517.79250000000002</v>
      </c>
      <c r="K248" s="163">
        <v>17.7057</v>
      </c>
      <c r="L248" s="163">
        <v>4.1798999999999893</v>
      </c>
      <c r="M248" s="163">
        <v>8.6774000000000058</v>
      </c>
      <c r="N248" s="163">
        <v>7.3546000000000049</v>
      </c>
      <c r="O248" s="163">
        <v>1.2144319682959057</v>
      </c>
      <c r="P248" s="163">
        <v>9.4794</v>
      </c>
      <c r="Q248" s="146" t="s">
        <v>186</v>
      </c>
    </row>
    <row r="249" spans="1:17" s="130" customFormat="1" ht="10.7" customHeight="1" x14ac:dyDescent="0.2">
      <c r="A249" s="122"/>
      <c r="B249" s="168"/>
      <c r="C249" s="162"/>
      <c r="D249" s="163"/>
      <c r="E249" s="163"/>
      <c r="F249" s="163"/>
      <c r="G249" s="164"/>
      <c r="H249" s="163"/>
      <c r="I249" s="165"/>
      <c r="J249" s="164"/>
      <c r="K249" s="163"/>
      <c r="L249" s="163"/>
      <c r="M249" s="163"/>
      <c r="N249" s="163"/>
      <c r="O249" s="163"/>
      <c r="P249" s="163"/>
      <c r="Q249" s="146"/>
    </row>
    <row r="250" spans="1:17" s="130" customFormat="1" ht="10.7" customHeight="1" x14ac:dyDescent="0.2">
      <c r="A250" s="122"/>
      <c r="B250" s="161" t="s">
        <v>107</v>
      </c>
      <c r="C250" s="162">
        <v>0</v>
      </c>
      <c r="D250" s="163">
        <v>0</v>
      </c>
      <c r="E250" s="163">
        <v>0</v>
      </c>
      <c r="F250" s="163">
        <v>0</v>
      </c>
      <c r="G250" s="164">
        <v>0</v>
      </c>
      <c r="H250" s="163">
        <v>0</v>
      </c>
      <c r="I250" s="165" t="s">
        <v>119</v>
      </c>
      <c r="J250" s="164">
        <v>0</v>
      </c>
      <c r="K250" s="163">
        <v>0</v>
      </c>
      <c r="L250" s="163">
        <v>0</v>
      </c>
      <c r="M250" s="163">
        <v>0</v>
      </c>
      <c r="N250" s="163">
        <v>0</v>
      </c>
      <c r="O250" s="163" t="s">
        <v>42</v>
      </c>
      <c r="P250" s="163">
        <v>0</v>
      </c>
      <c r="Q250" s="146">
        <v>0</v>
      </c>
    </row>
    <row r="251" spans="1:17" s="130" customFormat="1" ht="10.7" customHeight="1" x14ac:dyDescent="0.2">
      <c r="A251" s="122"/>
      <c r="B251" s="161" t="s">
        <v>108</v>
      </c>
      <c r="C251" s="162">
        <v>15.8</v>
      </c>
      <c r="D251" s="162">
        <v>15.700000000000001</v>
      </c>
      <c r="E251" s="173">
        <v>0</v>
      </c>
      <c r="F251" s="163">
        <v>-9.9999999999999645E-2</v>
      </c>
      <c r="G251" s="164">
        <v>15.700000000000001</v>
      </c>
      <c r="H251" s="163">
        <v>0.1336</v>
      </c>
      <c r="I251" s="165">
        <v>0.85095541401273878</v>
      </c>
      <c r="J251" s="164">
        <v>15.566400000000002</v>
      </c>
      <c r="K251" s="163">
        <v>6.8900000000000003E-2</v>
      </c>
      <c r="L251" s="163">
        <v>4.0999999999999925E-3</v>
      </c>
      <c r="M251" s="163">
        <v>1.55E-2</v>
      </c>
      <c r="N251" s="163">
        <v>3.0000000000000027E-3</v>
      </c>
      <c r="O251" s="163">
        <v>1.9108280254777087E-2</v>
      </c>
      <c r="P251" s="163">
        <v>2.2875E-2</v>
      </c>
      <c r="Q251" s="146" t="s">
        <v>186</v>
      </c>
    </row>
    <row r="252" spans="1:17" s="130" customFormat="1" ht="10.7" customHeight="1" x14ac:dyDescent="0.2">
      <c r="A252" s="122"/>
      <c r="B252" s="174" t="s">
        <v>109</v>
      </c>
      <c r="C252" s="162">
        <v>129.29999999999998</v>
      </c>
      <c r="D252" s="162">
        <v>198.7</v>
      </c>
      <c r="E252" s="173">
        <v>0</v>
      </c>
      <c r="F252" s="163">
        <v>69.400000000000006</v>
      </c>
      <c r="G252" s="164">
        <v>198.7</v>
      </c>
      <c r="H252" s="163">
        <v>2.8264999999999998</v>
      </c>
      <c r="I252" s="165">
        <v>1.4224962254655258</v>
      </c>
      <c r="J252" s="164">
        <v>195.87349999999998</v>
      </c>
      <c r="K252" s="163">
        <v>0.31090000000000018</v>
      </c>
      <c r="L252" s="163">
        <v>0.10719999999999974</v>
      </c>
      <c r="M252" s="163">
        <v>8.3000000000000185E-2</v>
      </c>
      <c r="N252" s="163">
        <v>0.12799999999999967</v>
      </c>
      <c r="O252" s="163">
        <v>6.4418721690991276E-2</v>
      </c>
      <c r="P252" s="163">
        <v>0.15727499999999994</v>
      </c>
      <c r="Q252" s="146" t="s">
        <v>186</v>
      </c>
    </row>
    <row r="253" spans="1:17" s="130" customFormat="1" ht="10.7" customHeight="1" x14ac:dyDescent="0.2">
      <c r="A253" s="122"/>
      <c r="B253" s="174" t="s">
        <v>110</v>
      </c>
      <c r="C253" s="162"/>
      <c r="D253" s="163">
        <v>0</v>
      </c>
      <c r="E253" s="163"/>
      <c r="F253" s="163">
        <v>0</v>
      </c>
      <c r="G253" s="164">
        <v>0</v>
      </c>
      <c r="H253" s="163">
        <v>0</v>
      </c>
      <c r="I253" s="165" t="s">
        <v>119</v>
      </c>
      <c r="J253" s="164">
        <v>0</v>
      </c>
      <c r="K253" s="163"/>
      <c r="L253" s="163"/>
      <c r="M253" s="163"/>
      <c r="N253" s="163"/>
      <c r="O253" s="163"/>
      <c r="P253" s="163"/>
      <c r="Q253" s="146">
        <v>0</v>
      </c>
    </row>
    <row r="254" spans="1:17" s="130" customFormat="1" ht="10.7" customHeight="1" x14ac:dyDescent="0.2">
      <c r="A254" s="122"/>
      <c r="B254" s="174" t="s">
        <v>111</v>
      </c>
      <c r="C254" s="162">
        <v>0</v>
      </c>
      <c r="D254" s="163"/>
      <c r="E254" s="163"/>
      <c r="F254" s="163"/>
      <c r="G254" s="164">
        <v>0</v>
      </c>
      <c r="H254" s="163"/>
      <c r="I254" s="165"/>
      <c r="J254" s="164">
        <v>0</v>
      </c>
      <c r="K254" s="163"/>
      <c r="L254" s="163"/>
      <c r="M254" s="163"/>
      <c r="N254" s="163"/>
      <c r="O254" s="163"/>
      <c r="P254" s="163"/>
      <c r="Q254" s="146"/>
    </row>
    <row r="255" spans="1:17" s="130" customFormat="1" ht="10.7" customHeight="1" x14ac:dyDescent="0.2">
      <c r="A255" s="122"/>
      <c r="B255" s="175" t="s">
        <v>112</v>
      </c>
      <c r="C255" s="176">
        <v>766.00000000000011</v>
      </c>
      <c r="D255" s="176">
        <v>820</v>
      </c>
      <c r="E255" s="177">
        <v>0</v>
      </c>
      <c r="F255" s="180">
        <v>53.999999999999993</v>
      </c>
      <c r="G255" s="189">
        <v>820</v>
      </c>
      <c r="H255" s="180">
        <v>90.767600000000002</v>
      </c>
      <c r="I255" s="179">
        <v>11.069219512195122</v>
      </c>
      <c r="J255" s="189">
        <v>729.23239999999998</v>
      </c>
      <c r="K255" s="180">
        <v>18.085499999999996</v>
      </c>
      <c r="L255" s="180">
        <v>4.2912000000000035</v>
      </c>
      <c r="M255" s="180">
        <v>8.7759000000000071</v>
      </c>
      <c r="N255" s="180">
        <v>7.4856000000000051</v>
      </c>
      <c r="O255" s="180">
        <v>0.9128780487804885</v>
      </c>
      <c r="P255" s="190">
        <v>9.659550000000003</v>
      </c>
      <c r="Q255" s="153" t="s">
        <v>186</v>
      </c>
    </row>
    <row r="256" spans="1:17" s="130" customFormat="1" ht="10.7" customHeight="1" x14ac:dyDescent="0.2">
      <c r="A256" s="122"/>
      <c r="B256" s="191" t="s">
        <v>241</v>
      </c>
      <c r="C256" s="191"/>
      <c r="D256" s="183"/>
      <c r="E256" s="183"/>
      <c r="F256" s="183"/>
      <c r="G256" s="184"/>
      <c r="H256" s="183"/>
      <c r="I256" s="163"/>
      <c r="J256" s="184"/>
      <c r="K256" s="185"/>
      <c r="L256" s="185"/>
      <c r="M256" s="185"/>
      <c r="N256" s="185"/>
      <c r="O256" s="173"/>
      <c r="P256" s="183"/>
      <c r="Q256" s="182"/>
    </row>
    <row r="257" spans="1:17" s="130" customFormat="1" ht="10.7" customHeight="1" x14ac:dyDescent="0.2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92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185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240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43166</v>
      </c>
      <c r="L266" s="151">
        <v>43173</v>
      </c>
      <c r="M266" s="151">
        <v>43180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6"/>
      <c r="C268" s="187" t="s">
        <v>159</v>
      </c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95"/>
      <c r="Q268" s="145"/>
    </row>
    <row r="269" spans="1:17" s="130" customFormat="1" ht="10.7" customHeight="1" x14ac:dyDescent="0.2">
      <c r="A269" s="188"/>
      <c r="B269" s="161" t="s">
        <v>80</v>
      </c>
      <c r="C269" s="162">
        <v>231.5</v>
      </c>
      <c r="D269" s="163">
        <v>234.1</v>
      </c>
      <c r="E269" s="163">
        <v>2.5999999999999943</v>
      </c>
      <c r="F269" s="163">
        <v>2.5999999999999943</v>
      </c>
      <c r="G269" s="164">
        <v>234.1</v>
      </c>
      <c r="H269" s="163">
        <v>123.1065</v>
      </c>
      <c r="I269" s="165">
        <v>52.587142246903035</v>
      </c>
      <c r="J269" s="164">
        <v>110.9935</v>
      </c>
      <c r="K269" s="163">
        <v>3.2530000000000001</v>
      </c>
      <c r="L269" s="163">
        <v>4.3299999999999983</v>
      </c>
      <c r="M269" s="163">
        <v>4.6954999999999956</v>
      </c>
      <c r="N269" s="163">
        <v>4.1129999999999995</v>
      </c>
      <c r="O269" s="163">
        <v>1.7569414780008543</v>
      </c>
      <c r="P269" s="163">
        <v>4.0978749999999984</v>
      </c>
      <c r="Q269" s="146">
        <v>25.085623646402109</v>
      </c>
    </row>
    <row r="270" spans="1:17" s="130" customFormat="1" ht="10.7" customHeight="1" x14ac:dyDescent="0.2">
      <c r="A270" s="122"/>
      <c r="B270" s="161" t="s">
        <v>81</v>
      </c>
      <c r="C270" s="162">
        <v>52.5</v>
      </c>
      <c r="D270" s="163">
        <v>52.2</v>
      </c>
      <c r="E270" s="163">
        <v>0</v>
      </c>
      <c r="F270" s="163">
        <v>-0.29999999999999716</v>
      </c>
      <c r="G270" s="164">
        <v>52.2</v>
      </c>
      <c r="H270" s="163">
        <v>6.8507000000000007</v>
      </c>
      <c r="I270" s="165">
        <v>13.123946360153257</v>
      </c>
      <c r="J270" s="164">
        <v>45.349299999999999</v>
      </c>
      <c r="K270" s="163">
        <v>4.9900000000000055E-2</v>
      </c>
      <c r="L270" s="163">
        <v>0.18630000000000013</v>
      </c>
      <c r="M270" s="163">
        <v>7.8999999999999737E-2</v>
      </c>
      <c r="N270" s="163">
        <v>1.2650000000000006</v>
      </c>
      <c r="O270" s="163">
        <v>2.4233716475095797</v>
      </c>
      <c r="P270" s="163">
        <v>0.39505000000000012</v>
      </c>
      <c r="Q270" s="146" t="s">
        <v>186</v>
      </c>
    </row>
    <row r="271" spans="1:17" s="130" customFormat="1" ht="10.7" customHeight="1" x14ac:dyDescent="0.2">
      <c r="A271" s="122"/>
      <c r="B271" s="161" t="s">
        <v>82</v>
      </c>
      <c r="C271" s="162">
        <v>133.19999999999999</v>
      </c>
      <c r="D271" s="163">
        <v>141</v>
      </c>
      <c r="E271" s="163">
        <v>6</v>
      </c>
      <c r="F271" s="163">
        <v>7.8000000000000114</v>
      </c>
      <c r="G271" s="164">
        <v>141</v>
      </c>
      <c r="H271" s="163">
        <v>30.85</v>
      </c>
      <c r="I271" s="165">
        <v>21.879432624113477</v>
      </c>
      <c r="J271" s="164">
        <v>110.15</v>
      </c>
      <c r="K271" s="163">
        <v>0.34100000000000108</v>
      </c>
      <c r="L271" s="163">
        <v>0.23199999999999932</v>
      </c>
      <c r="M271" s="163">
        <v>0.67999999999999972</v>
      </c>
      <c r="N271" s="163">
        <v>2.3500000000000014</v>
      </c>
      <c r="O271" s="163">
        <v>1.6666666666666676</v>
      </c>
      <c r="P271" s="163">
        <v>0.90075000000000038</v>
      </c>
      <c r="Q271" s="146" t="s">
        <v>186</v>
      </c>
    </row>
    <row r="272" spans="1:17" s="130" customFormat="1" ht="10.7" customHeight="1" x14ac:dyDescent="0.2">
      <c r="A272" s="122"/>
      <c r="B272" s="161" t="s">
        <v>83</v>
      </c>
      <c r="C272" s="162">
        <v>179.3</v>
      </c>
      <c r="D272" s="163">
        <v>180.10000000000002</v>
      </c>
      <c r="E272" s="163">
        <v>0.80000000000001137</v>
      </c>
      <c r="F272" s="163">
        <v>0.80000000000001137</v>
      </c>
      <c r="G272" s="164">
        <v>180.10000000000002</v>
      </c>
      <c r="H272" s="163">
        <v>15.574999999999999</v>
      </c>
      <c r="I272" s="165">
        <v>8.6479733481399208</v>
      </c>
      <c r="J272" s="164">
        <v>164.52500000000003</v>
      </c>
      <c r="K272" s="163">
        <v>1.1790000000000003</v>
      </c>
      <c r="L272" s="163">
        <v>1.4939999999999998</v>
      </c>
      <c r="M272" s="163">
        <v>2.4759999999999991</v>
      </c>
      <c r="N272" s="163">
        <v>0.75699999999999967</v>
      </c>
      <c r="O272" s="163">
        <v>0.42032204330927236</v>
      </c>
      <c r="P272" s="163">
        <v>1.4764999999999997</v>
      </c>
      <c r="Q272" s="146" t="s">
        <v>186</v>
      </c>
    </row>
    <row r="273" spans="1:17" s="130" customFormat="1" ht="10.7" customHeight="1" x14ac:dyDescent="0.2">
      <c r="A273" s="122"/>
      <c r="B273" s="161" t="s">
        <v>84</v>
      </c>
      <c r="C273" s="162">
        <v>9.8000000000000007</v>
      </c>
      <c r="D273" s="163">
        <v>9.8000000000000007</v>
      </c>
      <c r="E273" s="163">
        <v>0</v>
      </c>
      <c r="F273" s="163">
        <v>0</v>
      </c>
      <c r="G273" s="164">
        <v>9.8000000000000007</v>
      </c>
      <c r="H273" s="163">
        <v>0.20499999999999999</v>
      </c>
      <c r="I273" s="165">
        <v>2.0918367346938775</v>
      </c>
      <c r="J273" s="164">
        <v>9.5950000000000006</v>
      </c>
      <c r="K273" s="163">
        <v>2.8999999999999998E-2</v>
      </c>
      <c r="L273" s="163">
        <v>8.900000000000001E-2</v>
      </c>
      <c r="M273" s="163">
        <v>4.3999999999999984E-2</v>
      </c>
      <c r="N273" s="163">
        <v>0</v>
      </c>
      <c r="O273" s="163">
        <v>0</v>
      </c>
      <c r="P273" s="163">
        <v>4.0499999999999994E-2</v>
      </c>
      <c r="Q273" s="146" t="s">
        <v>186</v>
      </c>
    </row>
    <row r="274" spans="1:17" s="130" customFormat="1" ht="10.7" customHeight="1" x14ac:dyDescent="0.2">
      <c r="A274" s="122"/>
      <c r="B274" s="161" t="s">
        <v>85</v>
      </c>
      <c r="C274" s="162">
        <v>4.8</v>
      </c>
      <c r="D274" s="163">
        <v>5.3</v>
      </c>
      <c r="E274" s="163">
        <v>0</v>
      </c>
      <c r="F274" s="163">
        <v>0.5</v>
      </c>
      <c r="G274" s="164">
        <v>5.3</v>
      </c>
      <c r="H274" s="163">
        <v>0.36399999999999999</v>
      </c>
      <c r="I274" s="165">
        <v>6.867924528301887</v>
      </c>
      <c r="J274" s="164">
        <v>4.9359999999999999</v>
      </c>
      <c r="K274" s="163">
        <v>0.10899999999999999</v>
      </c>
      <c r="L274" s="163">
        <v>0</v>
      </c>
      <c r="M274" s="163">
        <v>0</v>
      </c>
      <c r="N274" s="163">
        <v>0</v>
      </c>
      <c r="O274" s="163">
        <v>0</v>
      </c>
      <c r="P274" s="163">
        <v>2.7249999999999996E-2</v>
      </c>
      <c r="Q274" s="146" t="s">
        <v>186</v>
      </c>
    </row>
    <row r="275" spans="1:17" s="130" customFormat="1" ht="10.7" customHeight="1" x14ac:dyDescent="0.2">
      <c r="A275" s="122"/>
      <c r="B275" s="161" t="s">
        <v>86</v>
      </c>
      <c r="C275" s="162">
        <v>22.2</v>
      </c>
      <c r="D275" s="163">
        <v>21.3</v>
      </c>
      <c r="E275" s="163">
        <v>0</v>
      </c>
      <c r="F275" s="163">
        <v>-0.89999999999999858</v>
      </c>
      <c r="G275" s="164">
        <v>21.3</v>
      </c>
      <c r="H275" s="163">
        <v>4.6420000000000003</v>
      </c>
      <c r="I275" s="165">
        <v>21.793427230046948</v>
      </c>
      <c r="J275" s="164">
        <v>16.658000000000001</v>
      </c>
      <c r="K275" s="163">
        <v>0</v>
      </c>
      <c r="L275" s="163">
        <v>0</v>
      </c>
      <c r="M275" s="163">
        <v>0.4430000000000005</v>
      </c>
      <c r="N275" s="163">
        <v>0</v>
      </c>
      <c r="O275" s="163">
        <v>0</v>
      </c>
      <c r="P275" s="163">
        <v>0.11075000000000013</v>
      </c>
      <c r="Q275" s="146" t="s">
        <v>186</v>
      </c>
    </row>
    <row r="276" spans="1:17" s="130" customFormat="1" ht="10.7" customHeight="1" x14ac:dyDescent="0.2">
      <c r="A276" s="122"/>
      <c r="B276" s="161" t="s">
        <v>87</v>
      </c>
      <c r="C276" s="162">
        <v>84.7</v>
      </c>
      <c r="D276" s="163">
        <v>84.7</v>
      </c>
      <c r="E276" s="163">
        <v>0</v>
      </c>
      <c r="F276" s="163">
        <v>0</v>
      </c>
      <c r="G276" s="164">
        <v>84.7</v>
      </c>
      <c r="H276" s="163">
        <v>101.39700000000001</v>
      </c>
      <c r="I276" s="165">
        <v>119.71310507674144</v>
      </c>
      <c r="J276" s="164">
        <v>-16.697000000000003</v>
      </c>
      <c r="K276" s="163">
        <v>8.7999999999993861E-2</v>
      </c>
      <c r="L276" s="163">
        <v>11.125</v>
      </c>
      <c r="M276" s="163">
        <v>8.0240000000000009</v>
      </c>
      <c r="N276" s="163">
        <v>7.1450000000000102</v>
      </c>
      <c r="O276" s="163">
        <v>8.4356552538370835</v>
      </c>
      <c r="P276" s="163">
        <v>6.5955000000000013</v>
      </c>
      <c r="Q276" s="146">
        <v>0</v>
      </c>
    </row>
    <row r="277" spans="1:17" s="130" customFormat="1" ht="10.7" customHeight="1" x14ac:dyDescent="0.2">
      <c r="A277" s="122"/>
      <c r="B277" s="161" t="s">
        <v>88</v>
      </c>
      <c r="C277" s="162">
        <v>0</v>
      </c>
      <c r="D277" s="163">
        <v>0</v>
      </c>
      <c r="E277" s="163">
        <v>0</v>
      </c>
      <c r="F277" s="163">
        <v>0</v>
      </c>
      <c r="G277" s="164">
        <v>0</v>
      </c>
      <c r="H277" s="163">
        <v>0</v>
      </c>
      <c r="I277" s="165" t="s">
        <v>119</v>
      </c>
      <c r="J277" s="164">
        <v>0</v>
      </c>
      <c r="K277" s="163">
        <v>0</v>
      </c>
      <c r="L277" s="163">
        <v>0</v>
      </c>
      <c r="M277" s="163">
        <v>0</v>
      </c>
      <c r="N277" s="163">
        <v>0</v>
      </c>
      <c r="O277" s="163" t="s">
        <v>42</v>
      </c>
      <c r="P277" s="163">
        <v>0</v>
      </c>
      <c r="Q277" s="146" t="s">
        <v>162</v>
      </c>
    </row>
    <row r="278" spans="1:17" s="130" customFormat="1" ht="10.7" customHeight="1" x14ac:dyDescent="0.2">
      <c r="A278" s="122"/>
      <c r="B278" s="161" t="s">
        <v>89</v>
      </c>
      <c r="C278" s="162">
        <v>32.200000000000003</v>
      </c>
      <c r="D278" s="163">
        <v>26.6</v>
      </c>
      <c r="E278" s="163">
        <v>0</v>
      </c>
      <c r="F278" s="163">
        <v>-5.6000000000000014</v>
      </c>
      <c r="G278" s="164">
        <v>26.6</v>
      </c>
      <c r="H278" s="163">
        <v>14.295</v>
      </c>
      <c r="I278" s="165">
        <v>53.740601503759393</v>
      </c>
      <c r="J278" s="164">
        <v>12.305000000000001</v>
      </c>
      <c r="K278" s="163">
        <v>2.11</v>
      </c>
      <c r="L278" s="163">
        <v>2.4850000000000003</v>
      </c>
      <c r="M278" s="163">
        <v>0</v>
      </c>
      <c r="N278" s="163">
        <v>9.5969999999999995</v>
      </c>
      <c r="O278" s="163">
        <v>36.078947368421048</v>
      </c>
      <c r="P278" s="163">
        <v>3.548</v>
      </c>
      <c r="Q278" s="146">
        <v>1.4681510710259307</v>
      </c>
    </row>
    <row r="279" spans="1:17" s="130" customFormat="1" ht="10.7" customHeight="1" x14ac:dyDescent="0.2">
      <c r="A279" s="122"/>
      <c r="B279" s="168" t="s">
        <v>91</v>
      </c>
      <c r="C279" s="162">
        <v>750.2</v>
      </c>
      <c r="D279" s="163">
        <v>755.1</v>
      </c>
      <c r="E279" s="163">
        <v>9.4000000000000057</v>
      </c>
      <c r="F279" s="163">
        <v>4.8999999999999773</v>
      </c>
      <c r="G279" s="164">
        <v>755.1</v>
      </c>
      <c r="H279" s="163">
        <v>297.28520000000003</v>
      </c>
      <c r="I279" s="165">
        <v>39.370308568401541</v>
      </c>
      <c r="J279" s="164">
        <v>457.81480000000005</v>
      </c>
      <c r="K279" s="163">
        <v>7.1588999999999956</v>
      </c>
      <c r="L279" s="163">
        <v>19.941299999999998</v>
      </c>
      <c r="M279" s="163">
        <v>16.441499999999994</v>
      </c>
      <c r="N279" s="163">
        <v>25.227000000000011</v>
      </c>
      <c r="O279" s="163">
        <v>3.3408820023837915</v>
      </c>
      <c r="P279" s="169">
        <v>17.192174999999999</v>
      </c>
      <c r="Q279" s="146">
        <v>24.629254297376573</v>
      </c>
    </row>
    <row r="280" spans="1:17" s="130" customFormat="1" ht="10.7" customHeight="1" x14ac:dyDescent="0.2">
      <c r="A280" s="122"/>
      <c r="B280" s="168"/>
      <c r="C280" s="134"/>
      <c r="D280" s="163"/>
      <c r="E280" s="163"/>
      <c r="F280" s="163"/>
      <c r="G280" s="164"/>
      <c r="H280" s="163"/>
      <c r="I280" s="165"/>
      <c r="J280" s="164"/>
      <c r="K280" s="163"/>
      <c r="L280" s="163"/>
      <c r="M280" s="163"/>
      <c r="N280" s="163"/>
      <c r="O280" s="163"/>
      <c r="P280" s="163"/>
      <c r="Q280" s="146"/>
    </row>
    <row r="281" spans="1:17" s="130" customFormat="1" ht="10.7" customHeight="1" x14ac:dyDescent="0.2">
      <c r="A281" s="122"/>
      <c r="B281" s="161" t="s">
        <v>92</v>
      </c>
      <c r="C281" s="162">
        <v>25.2</v>
      </c>
      <c r="D281" s="163">
        <v>31.4</v>
      </c>
      <c r="E281" s="163">
        <v>0</v>
      </c>
      <c r="F281" s="163">
        <v>6.1999999999999993</v>
      </c>
      <c r="G281" s="164">
        <v>31.4</v>
      </c>
      <c r="H281" s="163">
        <v>0.35830000000000001</v>
      </c>
      <c r="I281" s="165">
        <v>1.1410828025477706</v>
      </c>
      <c r="J281" s="164">
        <v>31.041699999999999</v>
      </c>
      <c r="K281" s="163">
        <v>8.4999999999999964E-2</v>
      </c>
      <c r="L281" s="163">
        <v>4.5300000000000007E-2</v>
      </c>
      <c r="M281" s="163">
        <v>2.300000000000002E-2</v>
      </c>
      <c r="N281" s="163">
        <v>6.6000000000000003E-2</v>
      </c>
      <c r="O281" s="163">
        <v>0.21019108280254778</v>
      </c>
      <c r="P281" s="163">
        <v>5.4824999999999999E-2</v>
      </c>
      <c r="Q281" s="146" t="s">
        <v>186</v>
      </c>
    </row>
    <row r="282" spans="1:17" s="130" customFormat="1" ht="10.7" customHeight="1" x14ac:dyDescent="0.2">
      <c r="A282" s="188"/>
      <c r="B282" s="161" t="s">
        <v>93</v>
      </c>
      <c r="C282" s="162">
        <v>135.4</v>
      </c>
      <c r="D282" s="163">
        <v>135.30000000000001</v>
      </c>
      <c r="E282" s="163">
        <v>2</v>
      </c>
      <c r="F282" s="163">
        <v>-9.9999999999994316E-2</v>
      </c>
      <c r="G282" s="164">
        <v>135.30000000000001</v>
      </c>
      <c r="H282" s="163">
        <v>24.221799999999998</v>
      </c>
      <c r="I282" s="165">
        <v>17.902291204730226</v>
      </c>
      <c r="J282" s="164">
        <v>111.07820000000001</v>
      </c>
      <c r="K282" s="163">
        <v>16.106300000000001</v>
      </c>
      <c r="L282" s="163">
        <v>0.15530000000000044</v>
      </c>
      <c r="M282" s="163">
        <v>0.86720000000000041</v>
      </c>
      <c r="N282" s="163">
        <v>1.6060999999999979</v>
      </c>
      <c r="O282" s="163">
        <v>1.1870657797487048</v>
      </c>
      <c r="P282" s="163">
        <v>4.6837249999999999</v>
      </c>
      <c r="Q282" s="146">
        <v>21.715781776257149</v>
      </c>
    </row>
    <row r="283" spans="1:17" s="130" customFormat="1" ht="10.7" hidden="1" customHeight="1" x14ac:dyDescent="0.2">
      <c r="A283" s="122"/>
      <c r="B283" s="161" t="s">
        <v>94</v>
      </c>
      <c r="C283" s="162">
        <v>0</v>
      </c>
      <c r="D283" s="163">
        <v>0</v>
      </c>
      <c r="E283" s="163">
        <v>0</v>
      </c>
      <c r="F283" s="163">
        <v>0</v>
      </c>
      <c r="G283" s="164">
        <v>0</v>
      </c>
      <c r="H283" s="163">
        <v>0</v>
      </c>
      <c r="I283" s="165" t="s">
        <v>119</v>
      </c>
      <c r="J283" s="164">
        <v>0</v>
      </c>
      <c r="K283" s="163">
        <v>0</v>
      </c>
      <c r="L283" s="163">
        <v>0</v>
      </c>
      <c r="M283" s="163">
        <v>0</v>
      </c>
      <c r="N283" s="163">
        <v>0</v>
      </c>
      <c r="O283" s="163" t="s">
        <v>42</v>
      </c>
      <c r="P283" s="163">
        <v>0</v>
      </c>
      <c r="Q283" s="146">
        <v>0</v>
      </c>
    </row>
    <row r="284" spans="1:17" s="130" customFormat="1" ht="10.7" customHeight="1" x14ac:dyDescent="0.2">
      <c r="A284" s="188"/>
      <c r="B284" s="161" t="s">
        <v>95</v>
      </c>
      <c r="C284" s="162">
        <v>23.8</v>
      </c>
      <c r="D284" s="163">
        <v>523.79999999999995</v>
      </c>
      <c r="E284" s="163">
        <v>0</v>
      </c>
      <c r="F284" s="163">
        <v>499.99999999999994</v>
      </c>
      <c r="G284" s="164">
        <v>523.79999999999995</v>
      </c>
      <c r="H284" s="163">
        <v>15.779500000000001</v>
      </c>
      <c r="I284" s="165">
        <v>3.0125047728140517</v>
      </c>
      <c r="J284" s="164">
        <v>508.02049999999997</v>
      </c>
      <c r="K284" s="163">
        <v>0.37599999999999945</v>
      </c>
      <c r="L284" s="163">
        <v>0</v>
      </c>
      <c r="M284" s="163">
        <v>0.56160000000000032</v>
      </c>
      <c r="N284" s="163">
        <v>1.5058000000000007</v>
      </c>
      <c r="O284" s="163">
        <v>0.28747613592974436</v>
      </c>
      <c r="P284" s="163">
        <v>0.61085000000000012</v>
      </c>
      <c r="Q284" s="146" t="s">
        <v>186</v>
      </c>
    </row>
    <row r="285" spans="1:17" s="130" customFormat="1" ht="10.7" customHeight="1" x14ac:dyDescent="0.2">
      <c r="A285" s="122"/>
      <c r="B285" s="161" t="s">
        <v>96</v>
      </c>
      <c r="C285" s="162">
        <v>58.6</v>
      </c>
      <c r="D285" s="163">
        <v>86.6</v>
      </c>
      <c r="E285" s="163">
        <v>8.5999999999999943</v>
      </c>
      <c r="F285" s="163">
        <v>27.999999999999993</v>
      </c>
      <c r="G285" s="164">
        <v>86.6</v>
      </c>
      <c r="H285" s="163">
        <v>66.054100000000005</v>
      </c>
      <c r="I285" s="165">
        <v>76.274942263279456</v>
      </c>
      <c r="J285" s="164">
        <v>20.545899999999989</v>
      </c>
      <c r="K285" s="163">
        <v>18.478700000000011</v>
      </c>
      <c r="L285" s="163">
        <v>1.3245999999999967</v>
      </c>
      <c r="M285" s="163">
        <v>3.8584999999999923</v>
      </c>
      <c r="N285" s="163">
        <v>1.1463000000000108</v>
      </c>
      <c r="O285" s="163">
        <v>1.3236720554272643</v>
      </c>
      <c r="P285" s="163">
        <v>6.2020250000000026</v>
      </c>
      <c r="Q285" s="146">
        <v>1.3127728443532525</v>
      </c>
    </row>
    <row r="286" spans="1:17" s="130" customFormat="1" ht="10.7" customHeight="1" x14ac:dyDescent="0.2">
      <c r="A286" s="122"/>
      <c r="B286" s="161" t="s">
        <v>97</v>
      </c>
      <c r="C286" s="162">
        <v>193.4</v>
      </c>
      <c r="D286" s="163">
        <v>193.4</v>
      </c>
      <c r="E286" s="163">
        <v>0</v>
      </c>
      <c r="F286" s="163">
        <v>0</v>
      </c>
      <c r="G286" s="164">
        <v>193.4</v>
      </c>
      <c r="H286" s="163">
        <v>152.9564</v>
      </c>
      <c r="I286" s="165">
        <v>79.088107549120991</v>
      </c>
      <c r="J286" s="164">
        <v>40.443600000000004</v>
      </c>
      <c r="K286" s="163">
        <v>16.945099999999996</v>
      </c>
      <c r="L286" s="163">
        <v>0</v>
      </c>
      <c r="M286" s="163">
        <v>0</v>
      </c>
      <c r="N286" s="163">
        <v>0</v>
      </c>
      <c r="O286" s="163">
        <v>0</v>
      </c>
      <c r="P286" s="163">
        <v>4.2362749999999991</v>
      </c>
      <c r="Q286" s="146">
        <v>7.5469722810724065</v>
      </c>
    </row>
    <row r="287" spans="1:17" s="130" customFormat="1" ht="10.7" customHeight="1" x14ac:dyDescent="0.2">
      <c r="A287" s="122"/>
      <c r="B287" s="161" t="s">
        <v>98</v>
      </c>
      <c r="C287" s="162">
        <v>67.400000000000006</v>
      </c>
      <c r="D287" s="163">
        <v>270.89999999999998</v>
      </c>
      <c r="E287" s="163">
        <v>-20</v>
      </c>
      <c r="F287" s="163">
        <v>203.49999999999997</v>
      </c>
      <c r="G287" s="164">
        <v>270.89999999999998</v>
      </c>
      <c r="H287" s="163">
        <v>0.54370000000000007</v>
      </c>
      <c r="I287" s="165">
        <v>0.20070136581764492</v>
      </c>
      <c r="J287" s="164">
        <v>270.35629999999998</v>
      </c>
      <c r="K287" s="163">
        <v>0</v>
      </c>
      <c r="L287" s="163">
        <v>0</v>
      </c>
      <c r="M287" s="163">
        <v>5.4700000000000026E-2</v>
      </c>
      <c r="N287" s="163">
        <v>0.19720000000000004</v>
      </c>
      <c r="O287" s="163">
        <v>7.2794389073458865E-2</v>
      </c>
      <c r="P287" s="163">
        <v>6.2975000000000017E-2</v>
      </c>
      <c r="Q287" s="146" t="s">
        <v>186</v>
      </c>
    </row>
    <row r="288" spans="1:17" s="130" customFormat="1" ht="10.7" customHeight="1" x14ac:dyDescent="0.2">
      <c r="A288" s="122"/>
      <c r="B288" s="161" t="s">
        <v>99</v>
      </c>
      <c r="C288" s="162">
        <v>6.2</v>
      </c>
      <c r="D288" s="163">
        <v>6.2</v>
      </c>
      <c r="E288" s="163">
        <v>0</v>
      </c>
      <c r="F288" s="163">
        <v>0</v>
      </c>
      <c r="G288" s="164">
        <v>6.2</v>
      </c>
      <c r="H288" s="163">
        <v>0</v>
      </c>
      <c r="I288" s="165">
        <v>0</v>
      </c>
      <c r="J288" s="164">
        <v>6.2</v>
      </c>
      <c r="K288" s="163">
        <v>0</v>
      </c>
      <c r="L288" s="163">
        <v>0</v>
      </c>
      <c r="M288" s="163">
        <v>0</v>
      </c>
      <c r="N288" s="163">
        <v>0</v>
      </c>
      <c r="O288" s="163">
        <v>0</v>
      </c>
      <c r="P288" s="163">
        <v>0</v>
      </c>
      <c r="Q288" s="146" t="s">
        <v>186</v>
      </c>
    </row>
    <row r="289" spans="1:17" s="130" customFormat="1" ht="10.7" customHeight="1" x14ac:dyDescent="0.2">
      <c r="A289" s="122"/>
      <c r="B289" s="161" t="s">
        <v>100</v>
      </c>
      <c r="C289" s="162">
        <v>24.3</v>
      </c>
      <c r="D289" s="163">
        <v>24.3</v>
      </c>
      <c r="E289" s="163">
        <v>0</v>
      </c>
      <c r="F289" s="163">
        <v>0</v>
      </c>
      <c r="G289" s="164">
        <v>24.3</v>
      </c>
      <c r="H289" s="163">
        <v>0</v>
      </c>
      <c r="I289" s="165">
        <v>0</v>
      </c>
      <c r="J289" s="164">
        <v>24.3</v>
      </c>
      <c r="K289" s="163">
        <v>0</v>
      </c>
      <c r="L289" s="163">
        <v>0</v>
      </c>
      <c r="M289" s="163">
        <v>0</v>
      </c>
      <c r="N289" s="163">
        <v>0</v>
      </c>
      <c r="O289" s="163">
        <v>0</v>
      </c>
      <c r="P289" s="163">
        <v>0</v>
      </c>
      <c r="Q289" s="146" t="s">
        <v>186</v>
      </c>
    </row>
    <row r="290" spans="1:17" s="130" customFormat="1" ht="10.7" customHeight="1" x14ac:dyDescent="0.2">
      <c r="A290" s="122"/>
      <c r="B290" s="161" t="s">
        <v>101</v>
      </c>
      <c r="C290" s="162">
        <v>14.7</v>
      </c>
      <c r="D290" s="163">
        <v>14.7</v>
      </c>
      <c r="E290" s="163">
        <v>0</v>
      </c>
      <c r="F290" s="163">
        <v>0</v>
      </c>
      <c r="G290" s="164">
        <v>14.7</v>
      </c>
      <c r="H290" s="163">
        <v>0</v>
      </c>
      <c r="I290" s="165">
        <v>0</v>
      </c>
      <c r="J290" s="164">
        <v>14.7</v>
      </c>
      <c r="K290" s="163">
        <v>0</v>
      </c>
      <c r="L290" s="163">
        <v>0</v>
      </c>
      <c r="M290" s="163">
        <v>0</v>
      </c>
      <c r="N290" s="163">
        <v>0</v>
      </c>
      <c r="O290" s="163">
        <v>0</v>
      </c>
      <c r="P290" s="163">
        <v>0</v>
      </c>
      <c r="Q290" s="146" t="s">
        <v>186</v>
      </c>
    </row>
    <row r="291" spans="1:17" s="130" customFormat="1" ht="10.7" customHeight="1" x14ac:dyDescent="0.2">
      <c r="A291" s="122"/>
      <c r="B291" s="161" t="s">
        <v>102</v>
      </c>
      <c r="C291" s="162">
        <v>21</v>
      </c>
      <c r="D291" s="163">
        <v>21</v>
      </c>
      <c r="E291" s="163">
        <v>0</v>
      </c>
      <c r="F291" s="163">
        <v>0</v>
      </c>
      <c r="G291" s="164">
        <v>21</v>
      </c>
      <c r="H291" s="163">
        <v>0</v>
      </c>
      <c r="I291" s="165">
        <v>0</v>
      </c>
      <c r="J291" s="164">
        <v>21</v>
      </c>
      <c r="K291" s="163">
        <v>0</v>
      </c>
      <c r="L291" s="163">
        <v>0</v>
      </c>
      <c r="M291" s="163">
        <v>0</v>
      </c>
      <c r="N291" s="163">
        <v>0</v>
      </c>
      <c r="O291" s="163">
        <v>0</v>
      </c>
      <c r="P291" s="163">
        <v>0</v>
      </c>
      <c r="Q291" s="146" t="s">
        <v>186</v>
      </c>
    </row>
    <row r="292" spans="1:17" s="130" customFormat="1" ht="10.7" customHeight="1" x14ac:dyDescent="0.2">
      <c r="A292" s="122"/>
      <c r="B292" s="161" t="s">
        <v>103</v>
      </c>
      <c r="C292" s="162">
        <v>2.5</v>
      </c>
      <c r="D292" s="163">
        <v>2.5</v>
      </c>
      <c r="E292" s="163">
        <v>0</v>
      </c>
      <c r="F292" s="163">
        <v>0</v>
      </c>
      <c r="G292" s="164">
        <v>2.5</v>
      </c>
      <c r="H292" s="163">
        <v>0</v>
      </c>
      <c r="I292" s="165">
        <v>0</v>
      </c>
      <c r="J292" s="164">
        <v>2.5</v>
      </c>
      <c r="K292" s="163">
        <v>0</v>
      </c>
      <c r="L292" s="163">
        <v>0</v>
      </c>
      <c r="M292" s="163">
        <v>0</v>
      </c>
      <c r="N292" s="163">
        <v>0</v>
      </c>
      <c r="O292" s="163">
        <v>0</v>
      </c>
      <c r="P292" s="163">
        <v>0</v>
      </c>
      <c r="Q292" s="146" t="s">
        <v>186</v>
      </c>
    </row>
    <row r="293" spans="1:17" s="130" customFormat="1" ht="10.7" customHeight="1" x14ac:dyDescent="0.2">
      <c r="A293" s="122"/>
      <c r="B293" s="1" t="s">
        <v>104</v>
      </c>
      <c r="C293" s="162">
        <v>2.7</v>
      </c>
      <c r="D293" s="163">
        <v>2.7</v>
      </c>
      <c r="E293" s="163">
        <v>0</v>
      </c>
      <c r="F293" s="163">
        <v>0</v>
      </c>
      <c r="G293" s="164">
        <v>2.7</v>
      </c>
      <c r="H293" s="163">
        <v>0</v>
      </c>
      <c r="I293" s="165">
        <v>0</v>
      </c>
      <c r="J293" s="164">
        <v>2.7</v>
      </c>
      <c r="K293" s="163">
        <v>0</v>
      </c>
      <c r="L293" s="163">
        <v>0</v>
      </c>
      <c r="M293" s="163">
        <v>0</v>
      </c>
      <c r="N293" s="163">
        <v>0</v>
      </c>
      <c r="O293" s="163">
        <v>0</v>
      </c>
      <c r="P293" s="163">
        <v>0</v>
      </c>
      <c r="Q293" s="146" t="s">
        <v>186</v>
      </c>
    </row>
    <row r="294" spans="1:17" s="130" customFormat="1" ht="10.7" customHeight="1" x14ac:dyDescent="0.2">
      <c r="A294" s="122"/>
      <c r="B294" s="168" t="s">
        <v>106</v>
      </c>
      <c r="C294" s="172">
        <v>1325.4</v>
      </c>
      <c r="D294" s="163">
        <v>2067.8999999999996</v>
      </c>
      <c r="E294" s="163">
        <v>0</v>
      </c>
      <c r="F294" s="163">
        <v>742.49999999999955</v>
      </c>
      <c r="G294" s="164">
        <v>2067.8999999999996</v>
      </c>
      <c r="H294" s="163">
        <v>557.19900000000007</v>
      </c>
      <c r="I294" s="165">
        <v>26.945161758305538</v>
      </c>
      <c r="J294" s="164">
        <v>1510.7009999999996</v>
      </c>
      <c r="K294" s="163">
        <v>59.149999999999977</v>
      </c>
      <c r="L294" s="163">
        <v>21.466499999999996</v>
      </c>
      <c r="M294" s="163">
        <v>21.806499999999858</v>
      </c>
      <c r="N294" s="163">
        <v>29.748400000000061</v>
      </c>
      <c r="O294" s="163">
        <v>1.4385802021374372</v>
      </c>
      <c r="P294" s="163">
        <v>33.042849999999973</v>
      </c>
      <c r="Q294" s="146">
        <v>43.71945216589976</v>
      </c>
    </row>
    <row r="295" spans="1:17" s="130" customFormat="1" ht="10.7" customHeight="1" x14ac:dyDescent="0.2">
      <c r="A295" s="122"/>
      <c r="B295" s="168"/>
      <c r="C295" s="162"/>
      <c r="D295" s="163"/>
      <c r="E295" s="163"/>
      <c r="F295" s="163"/>
      <c r="G295" s="164"/>
      <c r="H295" s="163"/>
      <c r="I295" s="165"/>
      <c r="J295" s="164"/>
      <c r="K295" s="163"/>
      <c r="L295" s="163"/>
      <c r="M295" s="163"/>
      <c r="N295" s="163"/>
      <c r="O295" s="163"/>
      <c r="P295" s="163"/>
      <c r="Q295" s="146"/>
    </row>
    <row r="296" spans="1:17" s="130" customFormat="1" ht="10.7" customHeight="1" x14ac:dyDescent="0.2">
      <c r="A296" s="122"/>
      <c r="B296" s="161" t="s">
        <v>107</v>
      </c>
      <c r="C296" s="162">
        <v>0</v>
      </c>
      <c r="D296" s="163">
        <v>0</v>
      </c>
      <c r="E296" s="163">
        <v>0</v>
      </c>
      <c r="F296" s="163">
        <v>0</v>
      </c>
      <c r="G296" s="164">
        <v>0</v>
      </c>
      <c r="H296" s="163">
        <v>0</v>
      </c>
      <c r="I296" s="165" t="s">
        <v>119</v>
      </c>
      <c r="J296" s="164">
        <v>0</v>
      </c>
      <c r="K296" s="163">
        <v>0</v>
      </c>
      <c r="L296" s="163">
        <v>0</v>
      </c>
      <c r="M296" s="163">
        <v>0</v>
      </c>
      <c r="N296" s="163">
        <v>0</v>
      </c>
      <c r="O296" s="163" t="s">
        <v>42</v>
      </c>
      <c r="P296" s="163">
        <v>0</v>
      </c>
      <c r="Q296" s="146">
        <v>0</v>
      </c>
    </row>
    <row r="297" spans="1:17" s="130" customFormat="1" ht="10.7" customHeight="1" x14ac:dyDescent="0.2">
      <c r="A297" s="122"/>
      <c r="B297" s="161" t="s">
        <v>108</v>
      </c>
      <c r="C297" s="162">
        <v>0</v>
      </c>
      <c r="D297" s="173">
        <v>0</v>
      </c>
      <c r="E297" s="173">
        <v>0</v>
      </c>
      <c r="F297" s="163">
        <v>0</v>
      </c>
      <c r="G297" s="164">
        <v>0</v>
      </c>
      <c r="H297" s="163">
        <v>1.1900000000000001E-2</v>
      </c>
      <c r="I297" s="165" t="s">
        <v>119</v>
      </c>
      <c r="J297" s="164">
        <v>-1.1900000000000001E-2</v>
      </c>
      <c r="K297" s="163">
        <v>0</v>
      </c>
      <c r="L297" s="163">
        <v>0</v>
      </c>
      <c r="M297" s="163">
        <v>0</v>
      </c>
      <c r="N297" s="163">
        <v>0</v>
      </c>
      <c r="O297" s="163" t="s">
        <v>42</v>
      </c>
      <c r="P297" s="163">
        <v>0</v>
      </c>
      <c r="Q297" s="146" t="s">
        <v>162</v>
      </c>
    </row>
    <row r="298" spans="1:17" s="130" customFormat="1" ht="10.7" customHeight="1" x14ac:dyDescent="0.2">
      <c r="A298" s="122"/>
      <c r="B298" s="174" t="s">
        <v>109</v>
      </c>
      <c r="C298" s="162">
        <v>0.6</v>
      </c>
      <c r="D298" s="173">
        <v>1.6</v>
      </c>
      <c r="E298" s="173">
        <v>0</v>
      </c>
      <c r="F298" s="163">
        <v>1</v>
      </c>
      <c r="G298" s="164">
        <v>1.6</v>
      </c>
      <c r="H298" s="163">
        <v>6.3E-3</v>
      </c>
      <c r="I298" s="165">
        <v>0.39374999999999999</v>
      </c>
      <c r="J298" s="164">
        <v>1.5937000000000001</v>
      </c>
      <c r="K298" s="163">
        <v>0</v>
      </c>
      <c r="L298" s="163">
        <v>0</v>
      </c>
      <c r="M298" s="163">
        <v>1.7000000000000001E-3</v>
      </c>
      <c r="N298" s="163">
        <v>0</v>
      </c>
      <c r="O298" s="163">
        <v>0</v>
      </c>
      <c r="P298" s="163">
        <v>4.2500000000000003E-4</v>
      </c>
      <c r="Q298" s="146" t="s">
        <v>162</v>
      </c>
    </row>
    <row r="299" spans="1:17" s="130" customFormat="1" ht="10.7" customHeight="1" x14ac:dyDescent="0.2">
      <c r="A299" s="122"/>
      <c r="B299" s="174"/>
      <c r="C299" s="162"/>
      <c r="D299" s="163"/>
      <c r="E299" s="163"/>
      <c r="F299" s="163"/>
      <c r="G299" s="164"/>
      <c r="H299" s="163"/>
      <c r="I299" s="165"/>
      <c r="J299" s="164"/>
      <c r="K299" s="163"/>
      <c r="L299" s="163"/>
      <c r="M299" s="163"/>
      <c r="N299" s="163"/>
      <c r="O299" s="163"/>
      <c r="P299" s="163"/>
      <c r="Q299" s="146"/>
    </row>
    <row r="300" spans="1:17" s="130" customFormat="1" ht="10.7" customHeight="1" x14ac:dyDescent="0.2">
      <c r="A300" s="122"/>
      <c r="B300" s="174" t="s">
        <v>111</v>
      </c>
      <c r="C300" s="162">
        <v>0</v>
      </c>
      <c r="D300" s="163"/>
      <c r="E300" s="163"/>
      <c r="F300" s="163"/>
      <c r="G300" s="164"/>
      <c r="H300" s="163"/>
      <c r="I300" s="165"/>
      <c r="J300" s="164">
        <v>0</v>
      </c>
      <c r="K300" s="163"/>
      <c r="L300" s="163"/>
      <c r="M300" s="163"/>
      <c r="N300" s="163"/>
      <c r="O300" s="163"/>
      <c r="P300" s="163"/>
      <c r="Q300" s="146"/>
    </row>
    <row r="301" spans="1:17" s="130" customFormat="1" ht="10.7" customHeight="1" x14ac:dyDescent="0.2">
      <c r="A301" s="122"/>
      <c r="B301" s="175" t="s">
        <v>112</v>
      </c>
      <c r="C301" s="176">
        <v>1326</v>
      </c>
      <c r="D301" s="177">
        <v>2069.4999999999995</v>
      </c>
      <c r="E301" s="177">
        <v>0</v>
      </c>
      <c r="F301" s="180">
        <v>743.49999999999955</v>
      </c>
      <c r="G301" s="189">
        <v>2069.4999999999995</v>
      </c>
      <c r="H301" s="180">
        <v>557.21720000000005</v>
      </c>
      <c r="I301" s="179">
        <v>26.925208987678189</v>
      </c>
      <c r="J301" s="189">
        <v>1512.2827999999995</v>
      </c>
      <c r="K301" s="180">
        <v>59.149999999999977</v>
      </c>
      <c r="L301" s="180">
        <v>21.466500000000053</v>
      </c>
      <c r="M301" s="180">
        <v>21.808199999999772</v>
      </c>
      <c r="N301" s="180">
        <v>29.748400000000061</v>
      </c>
      <c r="O301" s="180">
        <v>1.4374679874365821</v>
      </c>
      <c r="P301" s="190">
        <v>33.043274999999966</v>
      </c>
      <c r="Q301" s="153">
        <v>43.766734683532462</v>
      </c>
    </row>
    <row r="302" spans="1:17" s="130" customFormat="1" ht="10.7" customHeight="1" x14ac:dyDescent="0.2">
      <c r="A302" s="122"/>
      <c r="B302" s="181"/>
      <c r="C302" s="181"/>
      <c r="D302" s="163"/>
      <c r="E302" s="163"/>
      <c r="F302" s="163"/>
      <c r="G302" s="164"/>
      <c r="H302" s="163"/>
      <c r="I302" s="2"/>
      <c r="J302" s="164"/>
      <c r="K302" s="163"/>
      <c r="L302" s="163"/>
      <c r="M302" s="163"/>
      <c r="N302" s="163"/>
      <c r="O302" s="163"/>
      <c r="P302" s="163"/>
      <c r="Q302" s="182"/>
    </row>
    <row r="303" spans="1:17" s="130" customFormat="1" ht="10.7" customHeight="1" x14ac:dyDescent="0.2">
      <c r="A303" s="122"/>
      <c r="B303" s="181"/>
      <c r="C303" s="181"/>
      <c r="D303" s="135"/>
      <c r="E303" s="183"/>
      <c r="F303" s="183"/>
      <c r="G303" s="184"/>
      <c r="H303" s="183"/>
      <c r="I303" s="163"/>
      <c r="J303" s="184"/>
      <c r="K303" s="185"/>
      <c r="L303" s="185"/>
      <c r="M303" s="185"/>
      <c r="N303" s="185"/>
      <c r="O303" s="173"/>
      <c r="P303" s="183"/>
      <c r="Q303" s="182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43166</v>
      </c>
      <c r="L306" s="151">
        <v>43173</v>
      </c>
      <c r="M306" s="151">
        <v>43180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6"/>
      <c r="C308" s="193" t="s">
        <v>150</v>
      </c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4"/>
      <c r="Q308" s="145"/>
    </row>
    <row r="309" spans="1:17" s="130" customFormat="1" ht="10.7" customHeight="1" x14ac:dyDescent="0.2">
      <c r="A309" s="122"/>
      <c r="B309" s="161" t="s">
        <v>80</v>
      </c>
      <c r="C309" s="162">
        <v>8437.9</v>
      </c>
      <c r="D309" s="163">
        <v>8357.9</v>
      </c>
      <c r="E309" s="163">
        <v>0</v>
      </c>
      <c r="F309" s="163">
        <v>-80</v>
      </c>
      <c r="G309" s="164">
        <v>8357.9</v>
      </c>
      <c r="H309" s="163">
        <v>575.75919999999996</v>
      </c>
      <c r="I309" s="165">
        <v>6.8888022110817309</v>
      </c>
      <c r="J309" s="164">
        <v>7782.1407999999992</v>
      </c>
      <c r="K309" s="163">
        <v>57.586800000000039</v>
      </c>
      <c r="L309" s="163">
        <v>33.432999999999936</v>
      </c>
      <c r="M309" s="163">
        <v>23.797699998474172</v>
      </c>
      <c r="N309" s="163">
        <v>26.193699999999922</v>
      </c>
      <c r="O309" s="163">
        <v>0.31340049533973752</v>
      </c>
      <c r="P309" s="163">
        <v>35.252799999618517</v>
      </c>
      <c r="Q309" s="146" t="s">
        <v>186</v>
      </c>
    </row>
    <row r="310" spans="1:17" s="130" customFormat="1" ht="10.7" customHeight="1" x14ac:dyDescent="0.2">
      <c r="A310" s="122"/>
      <c r="B310" s="161" t="s">
        <v>81</v>
      </c>
      <c r="C310" s="162">
        <v>443.4</v>
      </c>
      <c r="D310" s="163">
        <v>189.59999999999997</v>
      </c>
      <c r="E310" s="163">
        <v>-202</v>
      </c>
      <c r="F310" s="163">
        <v>-253.8</v>
      </c>
      <c r="G310" s="164">
        <v>189.59999999999997</v>
      </c>
      <c r="H310" s="163">
        <v>2.4340000000000002</v>
      </c>
      <c r="I310" s="165">
        <v>1.2837552742616036</v>
      </c>
      <c r="J310" s="164">
        <v>187.16599999999997</v>
      </c>
      <c r="K310" s="163">
        <v>0</v>
      </c>
      <c r="L310" s="163">
        <v>2.0000000000000018E-2</v>
      </c>
      <c r="M310" s="163">
        <v>0.37399999999999989</v>
      </c>
      <c r="N310" s="163">
        <v>0.18300000000000027</v>
      </c>
      <c r="O310" s="163">
        <v>9.6518987341772305E-2</v>
      </c>
      <c r="P310" s="163">
        <v>0.14425000000000004</v>
      </c>
      <c r="Q310" s="146" t="s">
        <v>186</v>
      </c>
    </row>
    <row r="311" spans="1:17" s="130" customFormat="1" ht="10.7" customHeight="1" x14ac:dyDescent="0.2">
      <c r="A311" s="122"/>
      <c r="B311" s="161" t="s">
        <v>82</v>
      </c>
      <c r="C311" s="162">
        <v>1321.7</v>
      </c>
      <c r="D311" s="163">
        <v>1382.8</v>
      </c>
      <c r="E311" s="163">
        <v>0</v>
      </c>
      <c r="F311" s="163">
        <v>61.099999999999909</v>
      </c>
      <c r="G311" s="164">
        <v>1382.8</v>
      </c>
      <c r="H311" s="163">
        <v>40.195999999999998</v>
      </c>
      <c r="I311" s="165">
        <v>2.9068556551923632</v>
      </c>
      <c r="J311" s="164">
        <v>1342.604</v>
      </c>
      <c r="K311" s="163">
        <v>6.2929999999999993</v>
      </c>
      <c r="L311" s="163">
        <v>0.7430000000000021</v>
      </c>
      <c r="M311" s="163">
        <v>2.3429999999999964</v>
      </c>
      <c r="N311" s="163">
        <v>0.20799999999999841</v>
      </c>
      <c r="O311" s="163">
        <v>1.5041943881978478E-2</v>
      </c>
      <c r="P311" s="163">
        <v>2.396749999999999</v>
      </c>
      <c r="Q311" s="146" t="s">
        <v>186</v>
      </c>
    </row>
    <row r="312" spans="1:17" s="130" customFormat="1" ht="10.7" customHeight="1" x14ac:dyDescent="0.2">
      <c r="A312" s="122"/>
      <c r="B312" s="161" t="s">
        <v>83</v>
      </c>
      <c r="C312" s="162">
        <v>1457.9</v>
      </c>
      <c r="D312" s="163">
        <v>1457.9</v>
      </c>
      <c r="E312" s="163">
        <v>0</v>
      </c>
      <c r="F312" s="163">
        <v>0</v>
      </c>
      <c r="G312" s="164">
        <v>1457.9</v>
      </c>
      <c r="H312" s="163">
        <v>1.226</v>
      </c>
      <c r="I312" s="165">
        <v>8.4093559229028045E-2</v>
      </c>
      <c r="J312" s="164">
        <v>1456.674</v>
      </c>
      <c r="K312" s="163">
        <v>0.11899999999999999</v>
      </c>
      <c r="L312" s="163">
        <v>0</v>
      </c>
      <c r="M312" s="163">
        <v>0</v>
      </c>
      <c r="N312" s="163">
        <v>0</v>
      </c>
      <c r="O312" s="163">
        <v>0</v>
      </c>
      <c r="P312" s="163">
        <v>2.9749999999999999E-2</v>
      </c>
      <c r="Q312" s="146" t="s">
        <v>186</v>
      </c>
    </row>
    <row r="313" spans="1:17" s="130" customFormat="1" ht="10.7" customHeight="1" x14ac:dyDescent="0.2">
      <c r="A313" s="122"/>
      <c r="B313" s="161" t="s">
        <v>84</v>
      </c>
      <c r="C313" s="162">
        <v>1553.5</v>
      </c>
      <c r="D313" s="163">
        <v>1457.5</v>
      </c>
      <c r="E313" s="163">
        <v>0</v>
      </c>
      <c r="F313" s="163">
        <v>-96</v>
      </c>
      <c r="G313" s="164">
        <v>1457.5</v>
      </c>
      <c r="H313" s="163">
        <v>186.49520000610349</v>
      </c>
      <c r="I313" s="165">
        <v>12.795554031293548</v>
      </c>
      <c r="J313" s="164">
        <v>1271.0047999938965</v>
      </c>
      <c r="K313" s="163">
        <v>7.0263999999999953</v>
      </c>
      <c r="L313" s="163">
        <v>14.47399999999999</v>
      </c>
      <c r="M313" s="163">
        <v>10.66810000000001</v>
      </c>
      <c r="N313" s="163">
        <v>11.883099999999985</v>
      </c>
      <c r="O313" s="163">
        <v>0.81530703259005044</v>
      </c>
      <c r="P313" s="163">
        <v>11.012899999999995</v>
      </c>
      <c r="Q313" s="146" t="s">
        <v>186</v>
      </c>
    </row>
    <row r="314" spans="1:17" s="130" customFormat="1" ht="10.7" customHeight="1" x14ac:dyDescent="0.2">
      <c r="A314" s="122"/>
      <c r="B314" s="161" t="s">
        <v>85</v>
      </c>
      <c r="C314" s="162">
        <v>464.2</v>
      </c>
      <c r="D314" s="163">
        <v>517.4</v>
      </c>
      <c r="E314" s="163">
        <v>0</v>
      </c>
      <c r="F314" s="163">
        <v>53.199999999999989</v>
      </c>
      <c r="G314" s="164">
        <v>517.4</v>
      </c>
      <c r="H314" s="163">
        <v>48.636099999999999</v>
      </c>
      <c r="I314" s="165">
        <v>9.4000966370313108</v>
      </c>
      <c r="J314" s="164">
        <v>468.76389999999998</v>
      </c>
      <c r="K314" s="163">
        <v>1.1839999999999975</v>
      </c>
      <c r="L314" s="163">
        <v>3.6820999999999984</v>
      </c>
      <c r="M314" s="163">
        <v>-0.4269999999999996</v>
      </c>
      <c r="N314" s="163">
        <v>1.5579999999999998</v>
      </c>
      <c r="O314" s="163">
        <v>0.3011209895632006</v>
      </c>
      <c r="P314" s="163">
        <v>1.499274999999999</v>
      </c>
      <c r="Q314" s="146" t="s">
        <v>186</v>
      </c>
    </row>
    <row r="315" spans="1:17" s="130" customFormat="1" ht="10.7" customHeight="1" x14ac:dyDescent="0.2">
      <c r="A315" s="122"/>
      <c r="B315" s="161" t="s">
        <v>86</v>
      </c>
      <c r="C315" s="162">
        <v>88.3</v>
      </c>
      <c r="D315" s="163">
        <v>88.3</v>
      </c>
      <c r="E315" s="163">
        <v>0</v>
      </c>
      <c r="F315" s="163">
        <v>0</v>
      </c>
      <c r="G315" s="164">
        <v>88.3</v>
      </c>
      <c r="H315" s="163">
        <v>12.32</v>
      </c>
      <c r="I315" s="165">
        <v>13.952434881087203</v>
      </c>
      <c r="J315" s="164">
        <v>75.97999999999999</v>
      </c>
      <c r="K315" s="163">
        <v>0</v>
      </c>
      <c r="L315" s="163">
        <v>6.4000000000000057E-2</v>
      </c>
      <c r="M315" s="163">
        <v>3.0729999999999986</v>
      </c>
      <c r="N315" s="163">
        <v>0.80300000000000082</v>
      </c>
      <c r="O315" s="163">
        <v>0.90939977349943479</v>
      </c>
      <c r="P315" s="163">
        <v>0.98499999999999988</v>
      </c>
      <c r="Q315" s="146" t="s">
        <v>186</v>
      </c>
    </row>
    <row r="316" spans="1:17" s="130" customFormat="1" ht="10.7" customHeight="1" x14ac:dyDescent="0.2">
      <c r="A316" s="122"/>
      <c r="B316" s="161" t="s">
        <v>87</v>
      </c>
      <c r="C316" s="162">
        <v>720</v>
      </c>
      <c r="D316" s="163">
        <v>720</v>
      </c>
      <c r="E316" s="163">
        <v>0</v>
      </c>
      <c r="F316" s="163">
        <v>0</v>
      </c>
      <c r="G316" s="164">
        <v>720</v>
      </c>
      <c r="H316" s="163">
        <v>66.867999999999995</v>
      </c>
      <c r="I316" s="165">
        <v>9.2872222222222209</v>
      </c>
      <c r="J316" s="164">
        <v>653.13200000000006</v>
      </c>
      <c r="K316" s="163">
        <v>8.9380000000000024</v>
      </c>
      <c r="L316" s="163">
        <v>0</v>
      </c>
      <c r="M316" s="163">
        <v>4.4000000000004036E-2</v>
      </c>
      <c r="N316" s="163">
        <v>14.164999999999992</v>
      </c>
      <c r="O316" s="163">
        <v>1.96736111111111</v>
      </c>
      <c r="P316" s="163">
        <v>5.7867499999999996</v>
      </c>
      <c r="Q316" s="146" t="s">
        <v>186</v>
      </c>
    </row>
    <row r="317" spans="1:17" s="130" customFormat="1" ht="10.7" customHeight="1" x14ac:dyDescent="0.2">
      <c r="A317" s="122"/>
      <c r="B317" s="161" t="s">
        <v>88</v>
      </c>
      <c r="C317" s="162">
        <v>0</v>
      </c>
      <c r="D317" s="163">
        <v>0</v>
      </c>
      <c r="E317" s="163">
        <v>0</v>
      </c>
      <c r="F317" s="163">
        <v>0</v>
      </c>
      <c r="G317" s="164">
        <v>0</v>
      </c>
      <c r="H317" s="163">
        <v>0</v>
      </c>
      <c r="I317" s="165" t="s">
        <v>119</v>
      </c>
      <c r="J317" s="164">
        <v>0</v>
      </c>
      <c r="K317" s="163">
        <v>0</v>
      </c>
      <c r="L317" s="163">
        <v>0</v>
      </c>
      <c r="M317" s="163">
        <v>0</v>
      </c>
      <c r="N317" s="163">
        <v>0</v>
      </c>
      <c r="O317" s="163" t="s">
        <v>42</v>
      </c>
      <c r="P317" s="163">
        <v>0</v>
      </c>
      <c r="Q317" s="146" t="s">
        <v>162</v>
      </c>
    </row>
    <row r="318" spans="1:17" s="130" customFormat="1" ht="10.7" customHeight="1" x14ac:dyDescent="0.2">
      <c r="A318" s="122"/>
      <c r="B318" s="161" t="s">
        <v>89</v>
      </c>
      <c r="C318" s="162">
        <v>0</v>
      </c>
      <c r="D318" s="163">
        <v>96.100000000000009</v>
      </c>
      <c r="E318" s="163">
        <v>0</v>
      </c>
      <c r="F318" s="163">
        <v>96.100000000000009</v>
      </c>
      <c r="G318" s="164">
        <v>96.100000000000009</v>
      </c>
      <c r="H318" s="163">
        <v>0</v>
      </c>
      <c r="I318" s="165">
        <v>0</v>
      </c>
      <c r="J318" s="164">
        <v>96.100000000000009</v>
      </c>
      <c r="K318" s="163">
        <v>0</v>
      </c>
      <c r="L318" s="163">
        <v>0</v>
      </c>
      <c r="M318" s="163">
        <v>0</v>
      </c>
      <c r="N318" s="163">
        <v>0</v>
      </c>
      <c r="O318" s="163">
        <v>0</v>
      </c>
      <c r="P318" s="163">
        <v>0</v>
      </c>
      <c r="Q318" s="146" t="s">
        <v>186</v>
      </c>
    </row>
    <row r="319" spans="1:17" s="130" customFormat="1" ht="10.7" customHeight="1" x14ac:dyDescent="0.2">
      <c r="A319" s="122"/>
      <c r="B319" s="168" t="s">
        <v>91</v>
      </c>
      <c r="C319" s="162">
        <v>14486.9</v>
      </c>
      <c r="D319" s="163">
        <v>14267.499999999998</v>
      </c>
      <c r="E319" s="163">
        <v>-202</v>
      </c>
      <c r="F319" s="163">
        <v>-219.40000000000009</v>
      </c>
      <c r="G319" s="164">
        <v>14267.499999999998</v>
      </c>
      <c r="H319" s="163">
        <v>933.93450000610346</v>
      </c>
      <c r="I319" s="165">
        <v>6.5458875066136573</v>
      </c>
      <c r="J319" s="164">
        <v>13333.565499993896</v>
      </c>
      <c r="K319" s="163">
        <v>81.147200000000041</v>
      </c>
      <c r="L319" s="163">
        <v>52.416099999999929</v>
      </c>
      <c r="M319" s="163">
        <v>39.872799998474186</v>
      </c>
      <c r="N319" s="163">
        <v>54.993799999999894</v>
      </c>
      <c r="O319" s="163">
        <v>0.38544804625897949</v>
      </c>
      <c r="P319" s="169">
        <v>57.107474999618503</v>
      </c>
      <c r="Q319" s="146" t="s">
        <v>186</v>
      </c>
    </row>
    <row r="320" spans="1:17" s="130" customFormat="1" ht="10.7" customHeight="1" x14ac:dyDescent="0.2">
      <c r="A320" s="122"/>
      <c r="B320" s="168"/>
      <c r="C320" s="134"/>
      <c r="D320" s="163"/>
      <c r="E320" s="163"/>
      <c r="F320" s="163"/>
      <c r="G320" s="164"/>
      <c r="H320" s="163"/>
      <c r="I320" s="165"/>
      <c r="J320" s="164"/>
      <c r="K320" s="163"/>
      <c r="L320" s="163"/>
      <c r="M320" s="163"/>
      <c r="N320" s="163"/>
      <c r="O320" s="163"/>
      <c r="P320" s="163"/>
      <c r="Q320" s="146"/>
    </row>
    <row r="321" spans="1:17" s="130" customFormat="1" ht="10.7" customHeight="1" x14ac:dyDescent="0.2">
      <c r="A321" s="122"/>
      <c r="B321" s="161" t="s">
        <v>92</v>
      </c>
      <c r="C321" s="162">
        <v>2832.2</v>
      </c>
      <c r="D321" s="163">
        <v>2512.2999999999997</v>
      </c>
      <c r="E321" s="163">
        <v>202</v>
      </c>
      <c r="F321" s="163">
        <v>-319.90000000000009</v>
      </c>
      <c r="G321" s="164">
        <v>2512.2999999999997</v>
      </c>
      <c r="H321" s="163">
        <v>205.07849999999999</v>
      </c>
      <c r="I321" s="165">
        <v>8.1629781475142309</v>
      </c>
      <c r="J321" s="164">
        <v>2307.2214999999997</v>
      </c>
      <c r="K321" s="163">
        <v>10.219700000000017</v>
      </c>
      <c r="L321" s="163">
        <v>9.6068000000000211</v>
      </c>
      <c r="M321" s="163">
        <v>7.6935999999999751</v>
      </c>
      <c r="N321" s="163">
        <v>15.865099999999984</v>
      </c>
      <c r="O321" s="163">
        <v>0.63149703458981754</v>
      </c>
      <c r="P321" s="163">
        <v>10.846299999999999</v>
      </c>
      <c r="Q321" s="146" t="s">
        <v>186</v>
      </c>
    </row>
    <row r="322" spans="1:17" s="130" customFormat="1" ht="10.7" customHeight="1" x14ac:dyDescent="0.2">
      <c r="A322" s="122"/>
      <c r="B322" s="161" t="s">
        <v>93</v>
      </c>
      <c r="C322" s="162">
        <v>1229.4000000000001</v>
      </c>
      <c r="D322" s="163">
        <v>1229.4000000000001</v>
      </c>
      <c r="E322" s="163">
        <v>0</v>
      </c>
      <c r="F322" s="163">
        <v>0</v>
      </c>
      <c r="G322" s="164">
        <v>1229.4000000000001</v>
      </c>
      <c r="H322" s="163">
        <v>12.773299999999999</v>
      </c>
      <c r="I322" s="165">
        <v>1.0389864974784446</v>
      </c>
      <c r="J322" s="164">
        <v>1216.6267</v>
      </c>
      <c r="K322" s="163">
        <v>0.39700000000000024</v>
      </c>
      <c r="L322" s="163">
        <v>3.2999999999999474E-2</v>
      </c>
      <c r="M322" s="163">
        <v>0.30330000000000013</v>
      </c>
      <c r="N322" s="163">
        <v>5.7999999999999829E-2</v>
      </c>
      <c r="O322" s="163">
        <v>4.7177484952008967E-3</v>
      </c>
      <c r="P322" s="163">
        <v>0.19782499999999992</v>
      </c>
      <c r="Q322" s="146" t="s">
        <v>186</v>
      </c>
    </row>
    <row r="323" spans="1:17" s="130" customFormat="1" ht="10.7" hidden="1" customHeight="1" x14ac:dyDescent="0.2">
      <c r="A323" s="122"/>
      <c r="B323" s="161" t="s">
        <v>94</v>
      </c>
      <c r="C323" s="162">
        <v>0</v>
      </c>
      <c r="D323" s="163">
        <v>0</v>
      </c>
      <c r="E323" s="163">
        <v>0</v>
      </c>
      <c r="F323" s="163">
        <v>0</v>
      </c>
      <c r="G323" s="164">
        <v>0</v>
      </c>
      <c r="H323" s="163">
        <v>0</v>
      </c>
      <c r="I323" s="165" t="s">
        <v>119</v>
      </c>
      <c r="J323" s="164">
        <v>0</v>
      </c>
      <c r="K323" s="163">
        <v>0</v>
      </c>
      <c r="L323" s="163">
        <v>0</v>
      </c>
      <c r="M323" s="163">
        <v>0</v>
      </c>
      <c r="N323" s="163">
        <v>0</v>
      </c>
      <c r="O323" s="163" t="s">
        <v>42</v>
      </c>
      <c r="P323" s="163">
        <v>0</v>
      </c>
      <c r="Q323" s="146">
        <v>0</v>
      </c>
    </row>
    <row r="324" spans="1:17" s="130" customFormat="1" ht="10.7" customHeight="1" x14ac:dyDescent="0.2">
      <c r="A324" s="122"/>
      <c r="B324" s="161" t="s">
        <v>95</v>
      </c>
      <c r="C324" s="162">
        <v>0</v>
      </c>
      <c r="D324" s="163">
        <v>0</v>
      </c>
      <c r="E324" s="163">
        <v>0</v>
      </c>
      <c r="F324" s="163">
        <v>0</v>
      </c>
      <c r="G324" s="164">
        <v>0</v>
      </c>
      <c r="H324" s="163">
        <v>0</v>
      </c>
      <c r="I324" s="165" t="s">
        <v>119</v>
      </c>
      <c r="J324" s="164">
        <v>0</v>
      </c>
      <c r="K324" s="163">
        <v>0</v>
      </c>
      <c r="L324" s="163">
        <v>0</v>
      </c>
      <c r="M324" s="163">
        <v>0</v>
      </c>
      <c r="N324" s="163">
        <v>0</v>
      </c>
      <c r="O324" s="163" t="s">
        <v>42</v>
      </c>
      <c r="P324" s="163">
        <v>0</v>
      </c>
      <c r="Q324" s="146">
        <v>0</v>
      </c>
    </row>
    <row r="325" spans="1:17" s="130" customFormat="1" ht="10.7" customHeight="1" x14ac:dyDescent="0.2">
      <c r="A325" s="122"/>
      <c r="B325" s="161" t="s">
        <v>96</v>
      </c>
      <c r="C325" s="162">
        <v>1095.7</v>
      </c>
      <c r="D325" s="163">
        <v>959</v>
      </c>
      <c r="E325" s="163">
        <v>0</v>
      </c>
      <c r="F325" s="163">
        <v>-136.70000000000005</v>
      </c>
      <c r="G325" s="164">
        <v>959</v>
      </c>
      <c r="H325" s="163">
        <v>67.780500000000004</v>
      </c>
      <c r="I325" s="165">
        <v>7.0678310740354542</v>
      </c>
      <c r="J325" s="164">
        <v>891.21950000000004</v>
      </c>
      <c r="K325" s="163">
        <v>1.330999999999996</v>
      </c>
      <c r="L325" s="163">
        <v>6.531400000000005</v>
      </c>
      <c r="M325" s="163">
        <v>3.9135999999999953</v>
      </c>
      <c r="N325" s="163">
        <v>4.0014000000000038</v>
      </c>
      <c r="O325" s="163">
        <v>0.41724713242961459</v>
      </c>
      <c r="P325" s="163">
        <v>3.94435</v>
      </c>
      <c r="Q325" s="146" t="s">
        <v>186</v>
      </c>
    </row>
    <row r="326" spans="1:17" s="130" customFormat="1" ht="10.7" customHeight="1" x14ac:dyDescent="0.2">
      <c r="A326" s="122"/>
      <c r="B326" s="161" t="s">
        <v>97</v>
      </c>
      <c r="C326" s="162">
        <v>818.3</v>
      </c>
      <c r="D326" s="163">
        <v>818.3</v>
      </c>
      <c r="E326" s="163">
        <v>0</v>
      </c>
      <c r="F326" s="163">
        <v>0</v>
      </c>
      <c r="G326" s="164">
        <v>818.3</v>
      </c>
      <c r="H326" s="163">
        <v>8.1587999999999994</v>
      </c>
      <c r="I326" s="165">
        <v>0.99704264939508724</v>
      </c>
      <c r="J326" s="164">
        <v>810.14119999999991</v>
      </c>
      <c r="K326" s="163">
        <v>0</v>
      </c>
      <c r="L326" s="163">
        <v>0</v>
      </c>
      <c r="M326" s="163">
        <v>0</v>
      </c>
      <c r="N326" s="163">
        <v>0</v>
      </c>
      <c r="O326" s="163">
        <v>0</v>
      </c>
      <c r="P326" s="163">
        <v>0</v>
      </c>
      <c r="Q326" s="146" t="s">
        <v>186</v>
      </c>
    </row>
    <row r="327" spans="1:17" s="130" customFormat="1" ht="10.7" customHeight="1" x14ac:dyDescent="0.2">
      <c r="A327" s="122"/>
      <c r="B327" s="161" t="s">
        <v>98</v>
      </c>
      <c r="C327" s="162">
        <v>191.6</v>
      </c>
      <c r="D327" s="163">
        <v>51.599999999999994</v>
      </c>
      <c r="E327" s="163">
        <v>0</v>
      </c>
      <c r="F327" s="163">
        <v>-140</v>
      </c>
      <c r="G327" s="164">
        <v>51.599999999999994</v>
      </c>
      <c r="H327" s="163">
        <v>1.8320000000000001</v>
      </c>
      <c r="I327" s="165">
        <v>3.5503875968992253</v>
      </c>
      <c r="J327" s="164">
        <v>49.767999999999994</v>
      </c>
      <c r="K327" s="163">
        <v>0</v>
      </c>
      <c r="L327" s="163">
        <v>0</v>
      </c>
      <c r="M327" s="163">
        <v>0</v>
      </c>
      <c r="N327" s="163">
        <v>0</v>
      </c>
      <c r="O327" s="163">
        <v>0</v>
      </c>
      <c r="P327" s="163">
        <v>0</v>
      </c>
      <c r="Q327" s="146" t="s">
        <v>186</v>
      </c>
    </row>
    <row r="328" spans="1:17" s="130" customFormat="1" ht="10.7" customHeight="1" x14ac:dyDescent="0.2">
      <c r="A328" s="122"/>
      <c r="B328" s="161" t="s">
        <v>99</v>
      </c>
      <c r="C328" s="162">
        <v>472.4</v>
      </c>
      <c r="D328" s="163">
        <v>472.4</v>
      </c>
      <c r="E328" s="163">
        <v>0</v>
      </c>
      <c r="F328" s="163">
        <v>0</v>
      </c>
      <c r="G328" s="164">
        <v>472.4</v>
      </c>
      <c r="H328" s="163">
        <v>0</v>
      </c>
      <c r="I328" s="165">
        <v>0</v>
      </c>
      <c r="J328" s="164">
        <v>472.4</v>
      </c>
      <c r="K328" s="163">
        <v>0</v>
      </c>
      <c r="L328" s="163">
        <v>0</v>
      </c>
      <c r="M328" s="163">
        <v>0</v>
      </c>
      <c r="N328" s="163">
        <v>0</v>
      </c>
      <c r="O328" s="163">
        <v>0</v>
      </c>
      <c r="P328" s="163">
        <v>0</v>
      </c>
      <c r="Q328" s="146" t="s">
        <v>186</v>
      </c>
    </row>
    <row r="329" spans="1:17" s="130" customFormat="1" ht="10.7" customHeight="1" x14ac:dyDescent="0.2">
      <c r="A329" s="122"/>
      <c r="B329" s="161" t="s">
        <v>100</v>
      </c>
      <c r="C329" s="162">
        <v>39.6</v>
      </c>
      <c r="D329" s="163">
        <v>154.6</v>
      </c>
      <c r="E329" s="163">
        <v>0</v>
      </c>
      <c r="F329" s="163">
        <v>115</v>
      </c>
      <c r="G329" s="164">
        <v>154.6</v>
      </c>
      <c r="H329" s="163">
        <v>1.3360000000000001</v>
      </c>
      <c r="I329" s="165">
        <v>0.86416558861578263</v>
      </c>
      <c r="J329" s="164">
        <v>153.26399999999998</v>
      </c>
      <c r="K329" s="163">
        <v>8.1000000000000183E-2</v>
      </c>
      <c r="L329" s="163">
        <v>4.7999999999999821E-2</v>
      </c>
      <c r="M329" s="163">
        <v>0</v>
      </c>
      <c r="N329" s="163">
        <v>7.5000000000000178E-2</v>
      </c>
      <c r="O329" s="163">
        <v>4.8512289780077732E-2</v>
      </c>
      <c r="P329" s="163">
        <v>5.1000000000000045E-2</v>
      </c>
      <c r="Q329" s="146" t="s">
        <v>186</v>
      </c>
    </row>
    <row r="330" spans="1:17" s="130" customFormat="1" ht="10.7" customHeight="1" x14ac:dyDescent="0.2">
      <c r="A330" s="122"/>
      <c r="B330" s="161" t="s">
        <v>101</v>
      </c>
      <c r="C330" s="162">
        <v>38.9</v>
      </c>
      <c r="D330" s="163">
        <v>38.9</v>
      </c>
      <c r="E330" s="163">
        <v>0</v>
      </c>
      <c r="F330" s="163">
        <v>0</v>
      </c>
      <c r="G330" s="164">
        <v>38.9</v>
      </c>
      <c r="H330" s="163">
        <v>4.9099999999999998E-2</v>
      </c>
      <c r="I330" s="165">
        <v>0.12622107969151672</v>
      </c>
      <c r="J330" s="164">
        <v>38.850899999999996</v>
      </c>
      <c r="K330" s="163">
        <v>4.6300000000000001E-2</v>
      </c>
      <c r="L330" s="163">
        <v>0</v>
      </c>
      <c r="M330" s="163">
        <v>0</v>
      </c>
      <c r="N330" s="163">
        <v>0</v>
      </c>
      <c r="O330" s="163">
        <v>0</v>
      </c>
      <c r="P330" s="163">
        <v>1.1575E-2</v>
      </c>
      <c r="Q330" s="146" t="s">
        <v>186</v>
      </c>
    </row>
    <row r="331" spans="1:17" s="130" customFormat="1" ht="10.7" customHeight="1" x14ac:dyDescent="0.2">
      <c r="A331" s="122"/>
      <c r="B331" s="161" t="s">
        <v>102</v>
      </c>
      <c r="C331" s="162">
        <v>3.1</v>
      </c>
      <c r="D331" s="163">
        <v>3.1</v>
      </c>
      <c r="E331" s="163">
        <v>0</v>
      </c>
      <c r="F331" s="163">
        <v>0</v>
      </c>
      <c r="G331" s="164">
        <v>3.1</v>
      </c>
      <c r="H331" s="163">
        <v>0</v>
      </c>
      <c r="I331" s="165">
        <v>0</v>
      </c>
      <c r="J331" s="164">
        <v>3.1</v>
      </c>
      <c r="K331" s="163">
        <v>0</v>
      </c>
      <c r="L331" s="163">
        <v>0</v>
      </c>
      <c r="M331" s="163">
        <v>0</v>
      </c>
      <c r="N331" s="163">
        <v>0</v>
      </c>
      <c r="O331" s="163">
        <v>0</v>
      </c>
      <c r="P331" s="163">
        <v>0</v>
      </c>
      <c r="Q331" s="146" t="s">
        <v>186</v>
      </c>
    </row>
    <row r="332" spans="1:17" s="130" customFormat="1" ht="10.7" customHeight="1" x14ac:dyDescent="0.2">
      <c r="A332" s="122"/>
      <c r="B332" s="161" t="s">
        <v>103</v>
      </c>
      <c r="C332" s="162">
        <v>382</v>
      </c>
      <c r="D332" s="163">
        <v>382</v>
      </c>
      <c r="E332" s="163">
        <v>0</v>
      </c>
      <c r="F332" s="163">
        <v>0</v>
      </c>
      <c r="G332" s="164">
        <v>382</v>
      </c>
      <c r="H332" s="163">
        <v>0</v>
      </c>
      <c r="I332" s="165">
        <v>0</v>
      </c>
      <c r="J332" s="164">
        <v>382</v>
      </c>
      <c r="K332" s="163">
        <v>0</v>
      </c>
      <c r="L332" s="163">
        <v>0</v>
      </c>
      <c r="M332" s="163">
        <v>0</v>
      </c>
      <c r="N332" s="163">
        <v>0</v>
      </c>
      <c r="O332" s="163">
        <v>0</v>
      </c>
      <c r="P332" s="163">
        <v>0</v>
      </c>
      <c r="Q332" s="146" t="s">
        <v>186</v>
      </c>
    </row>
    <row r="333" spans="1:17" s="130" customFormat="1" ht="10.7" customHeight="1" x14ac:dyDescent="0.2">
      <c r="A333" s="122"/>
      <c r="B333" s="1" t="s">
        <v>104</v>
      </c>
      <c r="C333" s="162">
        <v>15.9</v>
      </c>
      <c r="D333" s="163">
        <v>15.9</v>
      </c>
      <c r="E333" s="163">
        <v>0</v>
      </c>
      <c r="F333" s="163">
        <v>0</v>
      </c>
      <c r="G333" s="164">
        <v>15.9</v>
      </c>
      <c r="H333" s="163">
        <v>0</v>
      </c>
      <c r="I333" s="165">
        <v>0</v>
      </c>
      <c r="J333" s="164">
        <v>15.9</v>
      </c>
      <c r="K333" s="163">
        <v>0</v>
      </c>
      <c r="L333" s="163">
        <v>0</v>
      </c>
      <c r="M333" s="163">
        <v>0</v>
      </c>
      <c r="N333" s="163">
        <v>0</v>
      </c>
      <c r="O333" s="163">
        <v>0</v>
      </c>
      <c r="P333" s="163">
        <v>0</v>
      </c>
      <c r="Q333" s="146" t="s">
        <v>186</v>
      </c>
    </row>
    <row r="334" spans="1:17" s="130" customFormat="1" ht="10.7" customHeight="1" x14ac:dyDescent="0.2">
      <c r="A334" s="122"/>
      <c r="B334" s="168" t="s">
        <v>106</v>
      </c>
      <c r="C334" s="172">
        <v>21606</v>
      </c>
      <c r="D334" s="163">
        <v>20905</v>
      </c>
      <c r="E334" s="163">
        <v>0</v>
      </c>
      <c r="F334" s="163">
        <v>-701.00000000000023</v>
      </c>
      <c r="G334" s="164">
        <v>20905</v>
      </c>
      <c r="H334" s="163">
        <v>1230.9427000061035</v>
      </c>
      <c r="I334" s="165">
        <v>5.8882693135905448</v>
      </c>
      <c r="J334" s="164">
        <v>19674.057299993896</v>
      </c>
      <c r="K334" s="163">
        <v>93.22219999999993</v>
      </c>
      <c r="L334" s="163">
        <v>68.635299999999688</v>
      </c>
      <c r="M334" s="163">
        <v>51.783299998474376</v>
      </c>
      <c r="N334" s="163">
        <v>74.983799999999974</v>
      </c>
      <c r="O334" s="163">
        <v>0.35868835206888294</v>
      </c>
      <c r="P334" s="163">
        <v>72.156149999618492</v>
      </c>
      <c r="Q334" s="146" t="s">
        <v>186</v>
      </c>
    </row>
    <row r="335" spans="1:17" s="130" customFormat="1" ht="10.7" customHeight="1" x14ac:dyDescent="0.2">
      <c r="A335" s="122"/>
      <c r="B335" s="168"/>
      <c r="C335" s="162"/>
      <c r="D335" s="163"/>
      <c r="E335" s="163"/>
      <c r="F335" s="163"/>
      <c r="G335" s="164"/>
      <c r="H335" s="163"/>
      <c r="I335" s="165"/>
      <c r="J335" s="164"/>
      <c r="K335" s="163"/>
      <c r="L335" s="163"/>
      <c r="M335" s="163"/>
      <c r="N335" s="163"/>
      <c r="O335" s="163"/>
      <c r="P335" s="163"/>
      <c r="Q335" s="146"/>
    </row>
    <row r="336" spans="1:17" s="130" customFormat="1" ht="10.7" customHeight="1" x14ac:dyDescent="0.2">
      <c r="A336" s="122"/>
      <c r="B336" s="161" t="s">
        <v>107</v>
      </c>
      <c r="C336" s="162">
        <v>0</v>
      </c>
      <c r="D336" s="163">
        <v>1.2</v>
      </c>
      <c r="E336" s="163">
        <v>0</v>
      </c>
      <c r="F336" s="163">
        <v>1.2</v>
      </c>
      <c r="G336" s="164">
        <v>1.2</v>
      </c>
      <c r="H336" s="163">
        <v>0</v>
      </c>
      <c r="I336" s="165">
        <v>0</v>
      </c>
      <c r="J336" s="164">
        <v>1.2</v>
      </c>
      <c r="K336" s="163">
        <v>0</v>
      </c>
      <c r="L336" s="163">
        <v>0</v>
      </c>
      <c r="M336" s="163">
        <v>0</v>
      </c>
      <c r="N336" s="163">
        <v>0</v>
      </c>
      <c r="O336" s="163">
        <v>0</v>
      </c>
      <c r="P336" s="163">
        <v>0</v>
      </c>
      <c r="Q336" s="146" t="s">
        <v>186</v>
      </c>
    </row>
    <row r="337" spans="1:20" ht="10.7" customHeight="1" x14ac:dyDescent="0.2">
      <c r="A337" s="122"/>
      <c r="B337" s="161" t="s">
        <v>108</v>
      </c>
      <c r="C337" s="162">
        <v>172</v>
      </c>
      <c r="D337" s="162">
        <v>171.1</v>
      </c>
      <c r="E337" s="173">
        <v>0</v>
      </c>
      <c r="F337" s="163">
        <v>-0.90000000000000568</v>
      </c>
      <c r="G337" s="164">
        <v>171.1</v>
      </c>
      <c r="H337" s="164">
        <v>46.540199999999999</v>
      </c>
      <c r="I337" s="165">
        <v>27.200584453535942</v>
      </c>
      <c r="J337" s="164">
        <v>124.5598</v>
      </c>
      <c r="K337" s="163">
        <v>4.1584000000000012</v>
      </c>
      <c r="L337" s="163">
        <v>4.9093999999999953</v>
      </c>
      <c r="M337" s="163">
        <v>1.9902000000000033</v>
      </c>
      <c r="N337" s="163">
        <v>4.6572000000000022</v>
      </c>
      <c r="O337" s="163">
        <v>2.7219170075978973</v>
      </c>
      <c r="P337" s="163">
        <v>3.9288000000000007</v>
      </c>
      <c r="Q337" s="146">
        <v>29.704286296070041</v>
      </c>
      <c r="T337" s="130"/>
    </row>
    <row r="338" spans="1:20" ht="10.7" customHeight="1" x14ac:dyDescent="0.2">
      <c r="A338" s="122"/>
      <c r="B338" s="174" t="s">
        <v>109</v>
      </c>
      <c r="C338" s="162">
        <v>1072.9000000000001</v>
      </c>
      <c r="D338" s="162">
        <v>1073.8</v>
      </c>
      <c r="E338" s="173">
        <v>0</v>
      </c>
      <c r="F338" s="163">
        <v>0.89999999999986358</v>
      </c>
      <c r="G338" s="164">
        <v>1073.8</v>
      </c>
      <c r="H338" s="164">
        <v>108.3492</v>
      </c>
      <c r="I338" s="165">
        <v>10.090258893648725</v>
      </c>
      <c r="J338" s="164">
        <v>965.45079999999996</v>
      </c>
      <c r="K338" s="163">
        <v>4.366299999999999</v>
      </c>
      <c r="L338" s="163">
        <v>3.5150000000000006</v>
      </c>
      <c r="M338" s="163">
        <v>30.000899999999998</v>
      </c>
      <c r="N338" s="163">
        <v>3.9838999999999984</v>
      </c>
      <c r="O338" s="163">
        <v>0.37100949897560054</v>
      </c>
      <c r="P338" s="163">
        <v>10.466524999999999</v>
      </c>
      <c r="Q338" s="146" t="s">
        <v>186</v>
      </c>
      <c r="T338" s="130"/>
    </row>
    <row r="339" spans="1:20" ht="10.7" customHeight="1" x14ac:dyDescent="0.2">
      <c r="A339" s="122"/>
      <c r="B339" s="174" t="s">
        <v>161</v>
      </c>
      <c r="C339" s="162">
        <v>0</v>
      </c>
      <c r="D339" s="173"/>
      <c r="E339" s="173">
        <v>0</v>
      </c>
      <c r="F339" s="163">
        <v>0</v>
      </c>
      <c r="G339" s="164">
        <v>0</v>
      </c>
      <c r="H339" s="163">
        <v>0</v>
      </c>
      <c r="I339" s="165" t="s">
        <v>119</v>
      </c>
      <c r="J339" s="164">
        <v>0</v>
      </c>
      <c r="K339" s="163">
        <v>0</v>
      </c>
      <c r="L339" s="163">
        <v>0</v>
      </c>
      <c r="M339" s="163">
        <v>0</v>
      </c>
      <c r="N339" s="163">
        <v>0</v>
      </c>
      <c r="O339" s="163" t="s">
        <v>42</v>
      </c>
      <c r="P339" s="163">
        <v>0</v>
      </c>
      <c r="Q339" s="146">
        <v>0</v>
      </c>
      <c r="T339" s="130"/>
    </row>
    <row r="340" spans="1:20" ht="10.7" customHeight="1" x14ac:dyDescent="0.2">
      <c r="A340" s="122"/>
      <c r="B340" s="174" t="s">
        <v>110</v>
      </c>
      <c r="C340" s="162">
        <v>0</v>
      </c>
      <c r="D340" s="173"/>
      <c r="E340" s="173">
        <v>0</v>
      </c>
      <c r="F340" s="163">
        <v>0</v>
      </c>
      <c r="G340" s="164">
        <v>0</v>
      </c>
      <c r="H340" s="163">
        <v>0</v>
      </c>
      <c r="I340" s="165" t="s">
        <v>119</v>
      </c>
      <c r="J340" s="164">
        <v>0</v>
      </c>
      <c r="K340" s="163">
        <v>0</v>
      </c>
      <c r="L340" s="163">
        <v>0</v>
      </c>
      <c r="M340" s="163">
        <v>0</v>
      </c>
      <c r="N340" s="163">
        <v>0</v>
      </c>
      <c r="O340" s="163" t="s">
        <v>42</v>
      </c>
      <c r="P340" s="163">
        <v>0</v>
      </c>
      <c r="Q340" s="146">
        <v>0</v>
      </c>
      <c r="T340" s="130"/>
    </row>
    <row r="341" spans="1:20" ht="10.7" customHeight="1" x14ac:dyDescent="0.2">
      <c r="A341" s="122"/>
      <c r="B341" s="174" t="s">
        <v>111</v>
      </c>
      <c r="C341" s="162"/>
      <c r="D341" s="163"/>
      <c r="E341" s="163"/>
      <c r="F341" s="163"/>
      <c r="G341" s="164"/>
      <c r="H341" s="196"/>
      <c r="I341" s="165"/>
      <c r="J341" s="164">
        <v>0</v>
      </c>
      <c r="K341" s="163"/>
      <c r="L341" s="163"/>
      <c r="M341" s="163"/>
      <c r="N341" s="163"/>
      <c r="O341" s="163"/>
      <c r="P341" s="163"/>
      <c r="Q341" s="146"/>
      <c r="T341" s="130"/>
    </row>
    <row r="342" spans="1:20" ht="10.7" customHeight="1" x14ac:dyDescent="0.2">
      <c r="A342" s="122"/>
      <c r="B342" s="175" t="s">
        <v>112</v>
      </c>
      <c r="C342" s="176">
        <v>22850.9</v>
      </c>
      <c r="D342" s="176">
        <v>22151.1</v>
      </c>
      <c r="E342" s="177">
        <v>0</v>
      </c>
      <c r="F342" s="180">
        <v>-699.80000000000291</v>
      </c>
      <c r="G342" s="189">
        <v>22151.1</v>
      </c>
      <c r="H342" s="180">
        <v>1385.8321000061035</v>
      </c>
      <c r="I342" s="179">
        <v>6.2562676345919774</v>
      </c>
      <c r="J342" s="189">
        <v>20765.267899993894</v>
      </c>
      <c r="K342" s="180">
        <v>101.74689999999987</v>
      </c>
      <c r="L342" s="180">
        <v>77.059699999999793</v>
      </c>
      <c r="M342" s="180">
        <v>83.774399998474337</v>
      </c>
      <c r="N342" s="180">
        <v>83.624900000000025</v>
      </c>
      <c r="O342" s="180">
        <v>0.37752030373209472</v>
      </c>
      <c r="P342" s="190">
        <v>86.551474999618506</v>
      </c>
      <c r="Q342" s="153" t="s">
        <v>186</v>
      </c>
      <c r="T342" s="130"/>
    </row>
    <row r="343" spans="1:20" ht="10.7" customHeight="1" x14ac:dyDescent="0.2">
      <c r="A343" s="122"/>
      <c r="B343" s="191" t="s">
        <v>241</v>
      </c>
      <c r="C343" s="191"/>
      <c r="D343" s="183"/>
      <c r="E343" s="183"/>
      <c r="F343" s="183"/>
      <c r="G343" s="184"/>
      <c r="H343" s="183"/>
      <c r="I343" s="163"/>
      <c r="J343" s="184"/>
      <c r="K343" s="185"/>
      <c r="L343" s="185"/>
      <c r="M343" s="185"/>
      <c r="N343" s="185"/>
      <c r="O343" s="173"/>
      <c r="P343" s="183"/>
      <c r="Q343" s="182"/>
      <c r="T343" s="130"/>
    </row>
    <row r="344" spans="1:20" ht="10.7" customHeight="1" x14ac:dyDescent="0.2">
      <c r="A344" s="122"/>
      <c r="B344" s="123" t="s">
        <v>114</v>
      </c>
      <c r="C344" s="123"/>
      <c r="J344" s="192"/>
      <c r="T344" s="130"/>
    </row>
    <row r="348" spans="1:20" ht="10.7" customHeight="1" x14ac:dyDescent="0.2">
      <c r="A348" s="122"/>
      <c r="B348" s="123" t="s">
        <v>185</v>
      </c>
      <c r="C348" s="123"/>
      <c r="P348" s="128"/>
      <c r="T348" s="130"/>
    </row>
    <row r="349" spans="1:20" ht="10.7" customHeight="1" x14ac:dyDescent="0.2">
      <c r="A349" s="122"/>
      <c r="B349" s="131" t="s">
        <v>240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43166</v>
      </c>
      <c r="L353" s="151">
        <v>43173</v>
      </c>
      <c r="M353" s="151">
        <v>43180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6"/>
      <c r="C355" s="193" t="s">
        <v>115</v>
      </c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4"/>
      <c r="Q355" s="145"/>
      <c r="T355" s="130"/>
    </row>
    <row r="356" spans="1:20" ht="10.7" customHeight="1" x14ac:dyDescent="0.2">
      <c r="A356" s="122"/>
      <c r="B356" s="161" t="s">
        <v>80</v>
      </c>
      <c r="C356" s="162">
        <v>634.79999999999995</v>
      </c>
      <c r="D356" s="163">
        <v>526</v>
      </c>
      <c r="E356" s="163">
        <v>-8.7999999999999545</v>
      </c>
      <c r="F356" s="163">
        <v>-108.79999999999995</v>
      </c>
      <c r="G356" s="164">
        <v>526</v>
      </c>
      <c r="H356" s="163">
        <v>61.557000000000002</v>
      </c>
      <c r="I356" s="165">
        <v>11.702851711026616</v>
      </c>
      <c r="J356" s="164">
        <v>464.44299999999998</v>
      </c>
      <c r="K356" s="163">
        <v>2.0450000000000017</v>
      </c>
      <c r="L356" s="163">
        <v>0</v>
      </c>
      <c r="M356" s="163">
        <v>0.31400000000000006</v>
      </c>
      <c r="N356" s="163">
        <v>0.9930000000000021</v>
      </c>
      <c r="O356" s="163">
        <v>0.18878326996197758</v>
      </c>
      <c r="P356" s="163">
        <v>0.83800000000000097</v>
      </c>
      <c r="Q356" s="146" t="s">
        <v>186</v>
      </c>
      <c r="T356" s="130"/>
    </row>
    <row r="357" spans="1:20" ht="10.7" customHeight="1" x14ac:dyDescent="0.2">
      <c r="A357" s="122"/>
      <c r="B357" s="161" t="s">
        <v>81</v>
      </c>
      <c r="C357" s="162">
        <v>267.60000000000002</v>
      </c>
      <c r="D357" s="163">
        <v>287.60000000000002</v>
      </c>
      <c r="E357" s="163">
        <v>20</v>
      </c>
      <c r="F357" s="163">
        <v>20</v>
      </c>
      <c r="G357" s="164">
        <v>287.60000000000002</v>
      </c>
      <c r="H357" s="163">
        <v>0.27</v>
      </c>
      <c r="I357" s="165">
        <v>9.3880389429763553E-2</v>
      </c>
      <c r="J357" s="164">
        <v>287.33000000000004</v>
      </c>
      <c r="K357" s="163">
        <v>0</v>
      </c>
      <c r="L357" s="163">
        <v>0</v>
      </c>
      <c r="M357" s="163">
        <v>0</v>
      </c>
      <c r="N357" s="163">
        <v>0</v>
      </c>
      <c r="O357" s="163">
        <v>0</v>
      </c>
      <c r="P357" s="163">
        <v>0</v>
      </c>
      <c r="Q357" s="146" t="s">
        <v>186</v>
      </c>
      <c r="T357" s="130"/>
    </row>
    <row r="358" spans="1:20" ht="10.7" customHeight="1" x14ac:dyDescent="0.2">
      <c r="A358" s="122"/>
      <c r="B358" s="161" t="s">
        <v>82</v>
      </c>
      <c r="C358" s="162">
        <v>325.8</v>
      </c>
      <c r="D358" s="163">
        <v>287.40000000000003</v>
      </c>
      <c r="E358" s="163">
        <v>6</v>
      </c>
      <c r="F358" s="163">
        <v>-38.399999999999977</v>
      </c>
      <c r="G358" s="164">
        <v>287.40000000000003</v>
      </c>
      <c r="H358" s="163">
        <v>23.367999999999999</v>
      </c>
      <c r="I358" s="165">
        <v>8.1308281141266505</v>
      </c>
      <c r="J358" s="164">
        <v>264.03200000000004</v>
      </c>
      <c r="K358" s="163">
        <v>0</v>
      </c>
      <c r="L358" s="163">
        <v>0</v>
      </c>
      <c r="M358" s="163">
        <v>0</v>
      </c>
      <c r="N358" s="163">
        <v>0</v>
      </c>
      <c r="O358" s="163">
        <v>0</v>
      </c>
      <c r="P358" s="163">
        <v>0</v>
      </c>
      <c r="Q358" s="146" t="s">
        <v>186</v>
      </c>
      <c r="T358" s="130"/>
    </row>
    <row r="359" spans="1:20" ht="10.7" customHeight="1" x14ac:dyDescent="0.2">
      <c r="A359" s="122"/>
      <c r="B359" s="161" t="s">
        <v>83</v>
      </c>
      <c r="C359" s="162">
        <v>432.8</v>
      </c>
      <c r="D359" s="163">
        <v>435</v>
      </c>
      <c r="E359" s="163">
        <v>2.1999999999999886</v>
      </c>
      <c r="F359" s="163">
        <v>2.1999999999999886</v>
      </c>
      <c r="G359" s="164">
        <v>435</v>
      </c>
      <c r="H359" s="163">
        <v>0</v>
      </c>
      <c r="I359" s="165">
        <v>0</v>
      </c>
      <c r="J359" s="164">
        <v>435</v>
      </c>
      <c r="K359" s="163">
        <v>0</v>
      </c>
      <c r="L359" s="163">
        <v>0</v>
      </c>
      <c r="M359" s="163">
        <v>0</v>
      </c>
      <c r="N359" s="163">
        <v>0</v>
      </c>
      <c r="O359" s="163">
        <v>0</v>
      </c>
      <c r="P359" s="163">
        <v>0</v>
      </c>
      <c r="Q359" s="146" t="s">
        <v>186</v>
      </c>
      <c r="T359" s="130"/>
    </row>
    <row r="360" spans="1:20" ht="10.7" customHeight="1" x14ac:dyDescent="0.2">
      <c r="A360" s="122"/>
      <c r="B360" s="161" t="s">
        <v>84</v>
      </c>
      <c r="C360" s="162">
        <v>88</v>
      </c>
      <c r="D360" s="163">
        <v>88</v>
      </c>
      <c r="E360" s="163">
        <v>0</v>
      </c>
      <c r="F360" s="163">
        <v>0</v>
      </c>
      <c r="G360" s="164">
        <v>88</v>
      </c>
      <c r="H360" s="163">
        <v>0</v>
      </c>
      <c r="I360" s="165">
        <v>0</v>
      </c>
      <c r="J360" s="164">
        <v>88</v>
      </c>
      <c r="K360" s="163">
        <v>0</v>
      </c>
      <c r="L360" s="163">
        <v>0</v>
      </c>
      <c r="M360" s="163">
        <v>0</v>
      </c>
      <c r="N360" s="163">
        <v>0</v>
      </c>
      <c r="O360" s="163">
        <v>0</v>
      </c>
      <c r="P360" s="163">
        <v>0</v>
      </c>
      <c r="Q360" s="146" t="s">
        <v>186</v>
      </c>
      <c r="T360" s="130"/>
    </row>
    <row r="361" spans="1:20" ht="10.7" customHeight="1" x14ac:dyDescent="0.2">
      <c r="A361" s="122"/>
      <c r="B361" s="161" t="s">
        <v>85</v>
      </c>
      <c r="C361" s="162">
        <v>35.1</v>
      </c>
      <c r="D361" s="163">
        <v>37.200000000000003</v>
      </c>
      <c r="E361" s="163">
        <v>0</v>
      </c>
      <c r="F361" s="163">
        <v>2.1000000000000014</v>
      </c>
      <c r="G361" s="164">
        <v>37.200000000000003</v>
      </c>
      <c r="H361" s="163">
        <v>0</v>
      </c>
      <c r="I361" s="165">
        <v>0</v>
      </c>
      <c r="J361" s="164">
        <v>37.200000000000003</v>
      </c>
      <c r="K361" s="163">
        <v>0</v>
      </c>
      <c r="L361" s="163">
        <v>0</v>
      </c>
      <c r="M361" s="163">
        <v>0</v>
      </c>
      <c r="N361" s="163">
        <v>0</v>
      </c>
      <c r="O361" s="163">
        <v>0</v>
      </c>
      <c r="P361" s="163">
        <v>0</v>
      </c>
      <c r="Q361" s="146" t="s">
        <v>162</v>
      </c>
      <c r="T361" s="130"/>
    </row>
    <row r="362" spans="1:20" ht="10.7" customHeight="1" x14ac:dyDescent="0.2">
      <c r="A362" s="122"/>
      <c r="B362" s="161" t="s">
        <v>86</v>
      </c>
      <c r="C362" s="162">
        <v>31</v>
      </c>
      <c r="D362" s="163">
        <v>31</v>
      </c>
      <c r="E362" s="163">
        <v>0</v>
      </c>
      <c r="F362" s="163">
        <v>0</v>
      </c>
      <c r="G362" s="164">
        <v>31</v>
      </c>
      <c r="H362" s="163">
        <v>2.891</v>
      </c>
      <c r="I362" s="165">
        <v>9.3258064516129036</v>
      </c>
      <c r="J362" s="164">
        <v>28.109000000000002</v>
      </c>
      <c r="K362" s="163">
        <v>0</v>
      </c>
      <c r="L362" s="163">
        <v>-0.1509999999999998</v>
      </c>
      <c r="M362" s="163">
        <v>0</v>
      </c>
      <c r="N362" s="163">
        <v>-1.4160000000000004</v>
      </c>
      <c r="O362" s="163">
        <v>-4.5677419354838724</v>
      </c>
      <c r="P362" s="163">
        <v>-0.39175000000000004</v>
      </c>
      <c r="Q362" s="146" t="s">
        <v>186</v>
      </c>
      <c r="T362" s="130"/>
    </row>
    <row r="363" spans="1:20" ht="10.7" customHeight="1" x14ac:dyDescent="0.2">
      <c r="A363" s="122"/>
      <c r="B363" s="161" t="s">
        <v>87</v>
      </c>
      <c r="C363" s="162">
        <v>21.5</v>
      </c>
      <c r="D363" s="163">
        <v>21.5</v>
      </c>
      <c r="E363" s="163">
        <v>0</v>
      </c>
      <c r="F363" s="163">
        <v>0</v>
      </c>
      <c r="G363" s="164">
        <v>21.5</v>
      </c>
      <c r="H363" s="163">
        <v>0</v>
      </c>
      <c r="I363" s="165">
        <v>0</v>
      </c>
      <c r="J363" s="164">
        <v>21.5</v>
      </c>
      <c r="K363" s="163">
        <v>0</v>
      </c>
      <c r="L363" s="163">
        <v>0</v>
      </c>
      <c r="M363" s="163">
        <v>0</v>
      </c>
      <c r="N363" s="163">
        <v>0</v>
      </c>
      <c r="O363" s="163">
        <v>0</v>
      </c>
      <c r="P363" s="163">
        <v>0</v>
      </c>
      <c r="Q363" s="146" t="s">
        <v>186</v>
      </c>
      <c r="T363" s="130"/>
    </row>
    <row r="364" spans="1:20" ht="10.7" customHeight="1" x14ac:dyDescent="0.2">
      <c r="A364" s="122"/>
      <c r="B364" s="161" t="s">
        <v>88</v>
      </c>
      <c r="C364" s="162">
        <v>0</v>
      </c>
      <c r="D364" s="163">
        <v>0</v>
      </c>
      <c r="E364" s="163">
        <v>0</v>
      </c>
      <c r="F364" s="163">
        <v>0</v>
      </c>
      <c r="G364" s="164">
        <v>0</v>
      </c>
      <c r="H364" s="163">
        <v>0</v>
      </c>
      <c r="I364" s="165" t="s">
        <v>119</v>
      </c>
      <c r="J364" s="164">
        <v>0</v>
      </c>
      <c r="K364" s="163">
        <v>0</v>
      </c>
      <c r="L364" s="163">
        <v>0</v>
      </c>
      <c r="M364" s="163">
        <v>0</v>
      </c>
      <c r="N364" s="163">
        <v>0</v>
      </c>
      <c r="O364" s="163" t="s">
        <v>42</v>
      </c>
      <c r="P364" s="163">
        <v>0</v>
      </c>
      <c r="Q364" s="146" t="s">
        <v>162</v>
      </c>
      <c r="T364" s="130"/>
    </row>
    <row r="365" spans="1:20" ht="10.7" customHeight="1" x14ac:dyDescent="0.2">
      <c r="A365" s="122"/>
      <c r="B365" s="161" t="s">
        <v>89</v>
      </c>
      <c r="C365" s="162">
        <v>78</v>
      </c>
      <c r="D365" s="163">
        <v>78</v>
      </c>
      <c r="E365" s="163">
        <v>0</v>
      </c>
      <c r="F365" s="163">
        <v>0</v>
      </c>
      <c r="G365" s="164">
        <v>78</v>
      </c>
      <c r="H365" s="163">
        <v>0</v>
      </c>
      <c r="I365" s="165">
        <v>0</v>
      </c>
      <c r="J365" s="164">
        <v>78</v>
      </c>
      <c r="K365" s="163">
        <v>0</v>
      </c>
      <c r="L365" s="163">
        <v>0</v>
      </c>
      <c r="M365" s="163">
        <v>0</v>
      </c>
      <c r="N365" s="163">
        <v>0</v>
      </c>
      <c r="O365" s="163">
        <v>0</v>
      </c>
      <c r="P365" s="163">
        <v>0</v>
      </c>
      <c r="Q365" s="146" t="s">
        <v>186</v>
      </c>
      <c r="T365" s="130"/>
    </row>
    <row r="366" spans="1:20" ht="10.7" customHeight="1" x14ac:dyDescent="0.2">
      <c r="A366" s="122"/>
      <c r="B366" s="168" t="s">
        <v>91</v>
      </c>
      <c r="C366" s="162">
        <v>1914.6</v>
      </c>
      <c r="D366" s="163">
        <v>1791.7</v>
      </c>
      <c r="E366" s="163">
        <v>19.400000000000034</v>
      </c>
      <c r="F366" s="163">
        <v>-122.89999999999986</v>
      </c>
      <c r="G366" s="164">
        <v>1791.7</v>
      </c>
      <c r="H366" s="163">
        <v>88.086000000000013</v>
      </c>
      <c r="I366" s="165">
        <v>4.9163364402522758</v>
      </c>
      <c r="J366" s="164">
        <v>1703.614</v>
      </c>
      <c r="K366" s="163">
        <v>2.0450000000000017</v>
      </c>
      <c r="L366" s="163">
        <v>-0.1509999999999998</v>
      </c>
      <c r="M366" s="163">
        <v>0.31400000000000006</v>
      </c>
      <c r="N366" s="163">
        <v>-0.42299999999999827</v>
      </c>
      <c r="O366" s="163">
        <v>-2.3608863090919141E-2</v>
      </c>
      <c r="P366" s="169">
        <v>0.44625000000000092</v>
      </c>
      <c r="Q366" s="146" t="s">
        <v>186</v>
      </c>
      <c r="T366" s="130"/>
    </row>
    <row r="367" spans="1:20" ht="10.7" customHeight="1" x14ac:dyDescent="0.2">
      <c r="A367" s="122"/>
      <c r="B367" s="168"/>
      <c r="D367" s="163"/>
      <c r="E367" s="163"/>
      <c r="F367" s="163"/>
      <c r="G367" s="164"/>
      <c r="H367" s="163"/>
      <c r="I367" s="165"/>
      <c r="J367" s="164"/>
      <c r="K367" s="163"/>
      <c r="L367" s="163"/>
      <c r="M367" s="163"/>
      <c r="N367" s="163"/>
      <c r="O367" s="163"/>
      <c r="P367" s="163"/>
      <c r="Q367" s="146"/>
      <c r="T367" s="130"/>
    </row>
    <row r="368" spans="1:20" ht="10.7" customHeight="1" x14ac:dyDescent="0.2">
      <c r="A368" s="122"/>
      <c r="B368" s="161" t="s">
        <v>92</v>
      </c>
      <c r="C368" s="162">
        <v>132.1</v>
      </c>
      <c r="D368" s="163">
        <v>143.29999999999998</v>
      </c>
      <c r="E368" s="163">
        <v>0</v>
      </c>
      <c r="F368" s="163">
        <v>11.199999999999989</v>
      </c>
      <c r="G368" s="164">
        <v>143.29999999999998</v>
      </c>
      <c r="H368" s="163">
        <v>6.8659999999999997</v>
      </c>
      <c r="I368" s="165">
        <v>4.7913468248429867</v>
      </c>
      <c r="J368" s="164">
        <v>136.43399999999997</v>
      </c>
      <c r="K368" s="163">
        <v>0</v>
      </c>
      <c r="L368" s="163">
        <v>0</v>
      </c>
      <c r="M368" s="163">
        <v>0</v>
      </c>
      <c r="N368" s="163">
        <v>0</v>
      </c>
      <c r="O368" s="163">
        <v>0</v>
      </c>
      <c r="P368" s="163">
        <v>0</v>
      </c>
      <c r="Q368" s="146" t="s">
        <v>186</v>
      </c>
      <c r="T368" s="130"/>
    </row>
    <row r="369" spans="1:20" ht="10.7" customHeight="1" x14ac:dyDescent="0.2">
      <c r="A369" s="122"/>
      <c r="B369" s="161" t="s">
        <v>93</v>
      </c>
      <c r="C369" s="162">
        <v>700.7</v>
      </c>
      <c r="D369" s="163">
        <v>707.1</v>
      </c>
      <c r="E369" s="163">
        <v>2</v>
      </c>
      <c r="F369" s="163">
        <v>6.3999999999999773</v>
      </c>
      <c r="G369" s="164">
        <v>707.1</v>
      </c>
      <c r="H369" s="163">
        <v>47.41</v>
      </c>
      <c r="I369" s="165">
        <v>6.7048507990383257</v>
      </c>
      <c r="J369" s="164">
        <v>659.69</v>
      </c>
      <c r="K369" s="163">
        <v>0.12000000000000455</v>
      </c>
      <c r="L369" s="163">
        <v>0</v>
      </c>
      <c r="M369" s="163">
        <v>4.399999999999693E-2</v>
      </c>
      <c r="N369" s="163">
        <v>3.0716999999999999</v>
      </c>
      <c r="O369" s="163">
        <v>0.43440814594823929</v>
      </c>
      <c r="P369" s="163">
        <v>0.80892500000000034</v>
      </c>
      <c r="Q369" s="146" t="s">
        <v>186</v>
      </c>
      <c r="T369" s="130"/>
    </row>
    <row r="370" spans="1:20" ht="10.7" hidden="1" customHeight="1" x14ac:dyDescent="0.2">
      <c r="A370" s="122"/>
      <c r="B370" s="161" t="s">
        <v>94</v>
      </c>
      <c r="C370" s="162">
        <v>0</v>
      </c>
      <c r="D370" s="163">
        <v>0</v>
      </c>
      <c r="E370" s="163">
        <v>0</v>
      </c>
      <c r="F370" s="163">
        <v>0</v>
      </c>
      <c r="G370" s="164">
        <v>0</v>
      </c>
      <c r="H370" s="163">
        <v>0</v>
      </c>
      <c r="I370" s="165" t="s">
        <v>119</v>
      </c>
      <c r="J370" s="164">
        <v>0</v>
      </c>
      <c r="K370" s="163">
        <v>0</v>
      </c>
      <c r="L370" s="163">
        <v>0</v>
      </c>
      <c r="M370" s="163">
        <v>0</v>
      </c>
      <c r="N370" s="163">
        <v>0</v>
      </c>
      <c r="O370" s="163" t="s">
        <v>42</v>
      </c>
      <c r="P370" s="163">
        <v>0</v>
      </c>
      <c r="Q370" s="146">
        <v>0</v>
      </c>
      <c r="T370" s="130"/>
    </row>
    <row r="371" spans="1:20" ht="10.7" customHeight="1" x14ac:dyDescent="0.2">
      <c r="A371" s="122"/>
      <c r="B371" s="161" t="s">
        <v>95</v>
      </c>
      <c r="C371" s="162">
        <v>58</v>
      </c>
      <c r="D371" s="163">
        <v>58</v>
      </c>
      <c r="E371" s="163">
        <v>0</v>
      </c>
      <c r="F371" s="163">
        <v>0</v>
      </c>
      <c r="G371" s="164">
        <v>58</v>
      </c>
      <c r="H371" s="163">
        <v>0</v>
      </c>
      <c r="I371" s="165">
        <v>0</v>
      </c>
      <c r="J371" s="164">
        <v>58</v>
      </c>
      <c r="K371" s="163">
        <v>0</v>
      </c>
      <c r="L371" s="163">
        <v>0</v>
      </c>
      <c r="M371" s="163">
        <v>0</v>
      </c>
      <c r="N371" s="163">
        <v>0</v>
      </c>
      <c r="O371" s="163">
        <v>0</v>
      </c>
      <c r="P371" s="163">
        <v>0</v>
      </c>
      <c r="Q371" s="146" t="s">
        <v>186</v>
      </c>
      <c r="T371" s="130"/>
    </row>
    <row r="372" spans="1:20" ht="10.7" customHeight="1" x14ac:dyDescent="0.2">
      <c r="A372" s="122"/>
      <c r="B372" s="161" t="s">
        <v>96</v>
      </c>
      <c r="C372" s="162">
        <v>51.8</v>
      </c>
      <c r="D372" s="163">
        <v>52.2</v>
      </c>
      <c r="E372" s="163">
        <v>11.600000000000009</v>
      </c>
      <c r="F372" s="163">
        <v>0.40000000000000568</v>
      </c>
      <c r="G372" s="164">
        <v>52.2</v>
      </c>
      <c r="H372" s="163">
        <v>1.0888</v>
      </c>
      <c r="I372" s="165">
        <v>2.085823754789272</v>
      </c>
      <c r="J372" s="164">
        <v>51.111200000000004</v>
      </c>
      <c r="K372" s="163">
        <v>0.60840000000000005</v>
      </c>
      <c r="L372" s="163">
        <v>0</v>
      </c>
      <c r="M372" s="163">
        <v>4.3999999999999928E-2</v>
      </c>
      <c r="N372" s="163">
        <v>9.7700000000000009E-2</v>
      </c>
      <c r="O372" s="163">
        <v>0.18716475095785443</v>
      </c>
      <c r="P372" s="163">
        <v>0.187525</v>
      </c>
      <c r="Q372" s="146" t="s">
        <v>186</v>
      </c>
      <c r="T372" s="130"/>
    </row>
    <row r="373" spans="1:20" ht="10.7" customHeight="1" x14ac:dyDescent="0.2">
      <c r="A373" s="122"/>
      <c r="B373" s="161" t="s">
        <v>97</v>
      </c>
      <c r="C373" s="162">
        <v>51.7</v>
      </c>
      <c r="D373" s="163">
        <v>51.7</v>
      </c>
      <c r="E373" s="163">
        <v>0</v>
      </c>
      <c r="F373" s="163">
        <v>0</v>
      </c>
      <c r="G373" s="164">
        <v>51.7</v>
      </c>
      <c r="H373" s="163">
        <v>0</v>
      </c>
      <c r="I373" s="165">
        <v>0</v>
      </c>
      <c r="J373" s="164">
        <v>51.7</v>
      </c>
      <c r="K373" s="163">
        <v>0</v>
      </c>
      <c r="L373" s="163">
        <v>0</v>
      </c>
      <c r="M373" s="163">
        <v>0</v>
      </c>
      <c r="N373" s="163">
        <v>0</v>
      </c>
      <c r="O373" s="163">
        <v>0</v>
      </c>
      <c r="P373" s="163">
        <v>0</v>
      </c>
      <c r="Q373" s="146" t="s">
        <v>186</v>
      </c>
      <c r="T373" s="130"/>
    </row>
    <row r="374" spans="1:20" ht="10.7" customHeight="1" x14ac:dyDescent="0.2">
      <c r="A374" s="122"/>
      <c r="B374" s="161" t="s">
        <v>98</v>
      </c>
      <c r="C374" s="162">
        <v>240.4</v>
      </c>
      <c r="D374" s="163">
        <v>190.5</v>
      </c>
      <c r="E374" s="163">
        <v>-33</v>
      </c>
      <c r="F374" s="163">
        <v>-49.900000000000006</v>
      </c>
      <c r="G374" s="164">
        <v>190.5</v>
      </c>
      <c r="H374" s="163">
        <v>0.21590000000000001</v>
      </c>
      <c r="I374" s="165">
        <v>0.11333333333333333</v>
      </c>
      <c r="J374" s="164">
        <v>190.2841</v>
      </c>
      <c r="K374" s="163">
        <v>0.18590000000000001</v>
      </c>
      <c r="L374" s="163">
        <v>0</v>
      </c>
      <c r="M374" s="163">
        <v>0</v>
      </c>
      <c r="N374" s="163">
        <v>0</v>
      </c>
      <c r="O374" s="163">
        <v>0</v>
      </c>
      <c r="P374" s="163">
        <v>4.6475000000000002E-2</v>
      </c>
      <c r="Q374" s="146" t="s">
        <v>186</v>
      </c>
      <c r="T374" s="130"/>
    </row>
    <row r="375" spans="1:20" ht="10.7" customHeight="1" x14ac:dyDescent="0.2">
      <c r="A375" s="122"/>
      <c r="B375" s="161" t="s">
        <v>99</v>
      </c>
      <c r="C375" s="162">
        <v>19.100000000000001</v>
      </c>
      <c r="D375" s="163">
        <v>19.100000000000001</v>
      </c>
      <c r="E375" s="163">
        <v>0</v>
      </c>
      <c r="F375" s="163">
        <v>0</v>
      </c>
      <c r="G375" s="164">
        <v>19.100000000000001</v>
      </c>
      <c r="H375" s="163">
        <v>0</v>
      </c>
      <c r="I375" s="165">
        <v>0</v>
      </c>
      <c r="J375" s="164">
        <v>19.100000000000001</v>
      </c>
      <c r="K375" s="163">
        <v>0</v>
      </c>
      <c r="L375" s="163">
        <v>0</v>
      </c>
      <c r="M375" s="163">
        <v>0</v>
      </c>
      <c r="N375" s="163">
        <v>0</v>
      </c>
      <c r="O375" s="163">
        <v>0</v>
      </c>
      <c r="P375" s="163">
        <v>0</v>
      </c>
      <c r="Q375" s="146" t="s">
        <v>186</v>
      </c>
      <c r="T375" s="130"/>
    </row>
    <row r="376" spans="1:20" ht="10.7" customHeight="1" x14ac:dyDescent="0.2">
      <c r="A376" s="122"/>
      <c r="B376" s="161" t="s">
        <v>100</v>
      </c>
      <c r="C376" s="162">
        <v>133.1</v>
      </c>
      <c r="D376" s="163">
        <v>133.1</v>
      </c>
      <c r="E376" s="163">
        <v>0</v>
      </c>
      <c r="F376" s="163">
        <v>0</v>
      </c>
      <c r="G376" s="164">
        <v>133.1</v>
      </c>
      <c r="H376" s="163">
        <v>0</v>
      </c>
      <c r="I376" s="165">
        <v>0</v>
      </c>
      <c r="J376" s="164">
        <v>133.1</v>
      </c>
      <c r="K376" s="163">
        <v>0</v>
      </c>
      <c r="L376" s="163">
        <v>0</v>
      </c>
      <c r="M376" s="163">
        <v>0</v>
      </c>
      <c r="N376" s="163">
        <v>0</v>
      </c>
      <c r="O376" s="163">
        <v>0</v>
      </c>
      <c r="P376" s="163">
        <v>0</v>
      </c>
      <c r="Q376" s="146" t="s">
        <v>186</v>
      </c>
      <c r="T376" s="130"/>
    </row>
    <row r="377" spans="1:20" ht="10.7" customHeight="1" x14ac:dyDescent="0.2">
      <c r="A377" s="122"/>
      <c r="B377" s="161" t="s">
        <v>101</v>
      </c>
      <c r="C377" s="162">
        <v>399.3</v>
      </c>
      <c r="D377" s="163">
        <v>314.10000000000002</v>
      </c>
      <c r="E377" s="163">
        <v>0</v>
      </c>
      <c r="F377" s="163">
        <v>-85.199999999999989</v>
      </c>
      <c r="G377" s="164">
        <v>314.10000000000002</v>
      </c>
      <c r="H377" s="163">
        <v>0</v>
      </c>
      <c r="I377" s="165">
        <v>0</v>
      </c>
      <c r="J377" s="164">
        <v>314.10000000000002</v>
      </c>
      <c r="K377" s="163">
        <v>0</v>
      </c>
      <c r="L377" s="163">
        <v>0</v>
      </c>
      <c r="M377" s="163">
        <v>0</v>
      </c>
      <c r="N377" s="163">
        <v>0</v>
      </c>
      <c r="O377" s="163">
        <v>0</v>
      </c>
      <c r="P377" s="163">
        <v>0</v>
      </c>
      <c r="Q377" s="146" t="s">
        <v>186</v>
      </c>
      <c r="T377" s="130"/>
    </row>
    <row r="378" spans="1:20" ht="10.7" customHeight="1" x14ac:dyDescent="0.2">
      <c r="A378" s="122"/>
      <c r="B378" s="161" t="s">
        <v>102</v>
      </c>
      <c r="C378" s="162">
        <v>0</v>
      </c>
      <c r="D378" s="163">
        <v>0</v>
      </c>
      <c r="E378" s="163">
        <v>0</v>
      </c>
      <c r="F378" s="163">
        <v>0</v>
      </c>
      <c r="G378" s="164">
        <v>0</v>
      </c>
      <c r="H378" s="163">
        <v>0</v>
      </c>
      <c r="I378" s="165" t="s">
        <v>119</v>
      </c>
      <c r="J378" s="164">
        <v>0</v>
      </c>
      <c r="K378" s="163">
        <v>0</v>
      </c>
      <c r="L378" s="163">
        <v>0</v>
      </c>
      <c r="M378" s="163">
        <v>0</v>
      </c>
      <c r="N378" s="163">
        <v>0</v>
      </c>
      <c r="O378" s="163" t="s">
        <v>42</v>
      </c>
      <c r="P378" s="163">
        <v>0</v>
      </c>
      <c r="Q378" s="146" t="s">
        <v>162</v>
      </c>
      <c r="T378" s="130"/>
    </row>
    <row r="379" spans="1:20" ht="10.7" customHeight="1" x14ac:dyDescent="0.2">
      <c r="A379" s="122"/>
      <c r="B379" s="161" t="s">
        <v>103</v>
      </c>
      <c r="C379" s="162">
        <v>0</v>
      </c>
      <c r="D379" s="163">
        <v>0</v>
      </c>
      <c r="E379" s="163">
        <v>0</v>
      </c>
      <c r="F379" s="163">
        <v>0</v>
      </c>
      <c r="G379" s="164">
        <v>0</v>
      </c>
      <c r="H379" s="163">
        <v>0</v>
      </c>
      <c r="I379" s="165" t="s">
        <v>119</v>
      </c>
      <c r="J379" s="164">
        <v>0</v>
      </c>
      <c r="K379" s="163">
        <v>0</v>
      </c>
      <c r="L379" s="163">
        <v>0</v>
      </c>
      <c r="M379" s="163">
        <v>0</v>
      </c>
      <c r="N379" s="163">
        <v>0</v>
      </c>
      <c r="O379" s="163" t="s">
        <v>42</v>
      </c>
      <c r="P379" s="163">
        <v>0</v>
      </c>
      <c r="Q379" s="146">
        <v>0</v>
      </c>
      <c r="T379" s="130"/>
    </row>
    <row r="380" spans="1:20" ht="10.7" customHeight="1" x14ac:dyDescent="0.2">
      <c r="A380" s="122"/>
      <c r="B380" s="1" t="s">
        <v>104</v>
      </c>
      <c r="C380" s="162">
        <v>49.1</v>
      </c>
      <c r="D380" s="163">
        <v>49.1</v>
      </c>
      <c r="E380" s="163">
        <v>0</v>
      </c>
      <c r="F380" s="163">
        <v>0</v>
      </c>
      <c r="G380" s="164">
        <v>49.1</v>
      </c>
      <c r="H380" s="163">
        <v>0</v>
      </c>
      <c r="I380" s="165">
        <v>0</v>
      </c>
      <c r="J380" s="164">
        <v>49.1</v>
      </c>
      <c r="K380" s="163">
        <v>0</v>
      </c>
      <c r="L380" s="163">
        <v>0</v>
      </c>
      <c r="M380" s="163">
        <v>0</v>
      </c>
      <c r="N380" s="163">
        <v>0</v>
      </c>
      <c r="O380" s="163">
        <v>0</v>
      </c>
      <c r="P380" s="163">
        <v>0</v>
      </c>
      <c r="Q380" s="146" t="s">
        <v>186</v>
      </c>
      <c r="T380" s="130"/>
    </row>
    <row r="381" spans="1:20" ht="10.7" customHeight="1" x14ac:dyDescent="0.2">
      <c r="A381" s="122"/>
      <c r="B381" s="168" t="s">
        <v>106</v>
      </c>
      <c r="C381" s="172">
        <v>3749.8999999999996</v>
      </c>
      <c r="D381" s="163">
        <v>3509.8999999999992</v>
      </c>
      <c r="E381" s="163">
        <v>0</v>
      </c>
      <c r="F381" s="163">
        <v>-240.00000000000045</v>
      </c>
      <c r="G381" s="164">
        <v>3509.8999999999992</v>
      </c>
      <c r="H381" s="163">
        <v>143.66669999999999</v>
      </c>
      <c r="I381" s="165">
        <v>4.0931849910253861</v>
      </c>
      <c r="J381" s="164">
        <v>3366.233299999999</v>
      </c>
      <c r="K381" s="163">
        <v>2.9593000000000131</v>
      </c>
      <c r="L381" s="163">
        <v>-0.15100000000001046</v>
      </c>
      <c r="M381" s="163">
        <v>0.40200000000001523</v>
      </c>
      <c r="N381" s="163">
        <v>2.7463999999999942</v>
      </c>
      <c r="O381" s="163">
        <v>7.8247243511210998E-2</v>
      </c>
      <c r="P381" s="163">
        <v>1.489175000000003</v>
      </c>
      <c r="Q381" s="146" t="s">
        <v>186</v>
      </c>
      <c r="T381" s="130"/>
    </row>
    <row r="382" spans="1:20" ht="10.7" customHeight="1" x14ac:dyDescent="0.2">
      <c r="A382" s="122"/>
      <c r="B382" s="168"/>
      <c r="C382" s="162"/>
      <c r="D382" s="163"/>
      <c r="E382" s="163"/>
      <c r="F382" s="163"/>
      <c r="G382" s="164"/>
      <c r="H382" s="163"/>
      <c r="I382" s="165"/>
      <c r="J382" s="164"/>
      <c r="K382" s="163"/>
      <c r="L382" s="163"/>
      <c r="M382" s="163"/>
      <c r="N382" s="163"/>
      <c r="O382" s="163"/>
      <c r="P382" s="163"/>
      <c r="Q382" s="146"/>
      <c r="T382" s="130"/>
    </row>
    <row r="383" spans="1:20" ht="10.7" customHeight="1" x14ac:dyDescent="0.2">
      <c r="A383" s="122"/>
      <c r="B383" s="161" t="s">
        <v>107</v>
      </c>
      <c r="C383" s="162">
        <v>0</v>
      </c>
      <c r="D383" s="163">
        <v>0</v>
      </c>
      <c r="E383" s="163">
        <v>0</v>
      </c>
      <c r="F383" s="163">
        <v>0</v>
      </c>
      <c r="G383" s="164">
        <v>0</v>
      </c>
      <c r="H383" s="163">
        <v>0</v>
      </c>
      <c r="I383" s="165" t="s">
        <v>119</v>
      </c>
      <c r="J383" s="164">
        <v>0</v>
      </c>
      <c r="K383" s="163">
        <v>0</v>
      </c>
      <c r="L383" s="163">
        <v>0</v>
      </c>
      <c r="M383" s="163">
        <v>0</v>
      </c>
      <c r="N383" s="163">
        <v>0</v>
      </c>
      <c r="O383" s="163" t="s">
        <v>42</v>
      </c>
      <c r="P383" s="163">
        <v>0</v>
      </c>
      <c r="Q383" s="146">
        <v>0</v>
      </c>
      <c r="T383" s="130"/>
    </row>
    <row r="384" spans="1:20" ht="10.7" customHeight="1" x14ac:dyDescent="0.2">
      <c r="A384" s="122"/>
      <c r="B384" s="161" t="s">
        <v>108</v>
      </c>
      <c r="C384" s="162">
        <v>0</v>
      </c>
      <c r="D384" s="162">
        <v>0</v>
      </c>
      <c r="E384" s="173">
        <v>0</v>
      </c>
      <c r="F384" s="163">
        <v>0</v>
      </c>
      <c r="G384" s="164">
        <v>0</v>
      </c>
      <c r="H384" s="163">
        <v>0</v>
      </c>
      <c r="I384" s="165" t="s">
        <v>119</v>
      </c>
      <c r="J384" s="164">
        <v>0</v>
      </c>
      <c r="K384" s="163">
        <v>0</v>
      </c>
      <c r="L384" s="163">
        <v>0</v>
      </c>
      <c r="M384" s="163">
        <v>0</v>
      </c>
      <c r="N384" s="163">
        <v>0</v>
      </c>
      <c r="O384" s="163" t="s">
        <v>42</v>
      </c>
      <c r="P384" s="163">
        <v>0</v>
      </c>
      <c r="Q384" s="146" t="s">
        <v>162</v>
      </c>
      <c r="T384" s="130"/>
    </row>
    <row r="385" spans="1:20" ht="10.7" customHeight="1" x14ac:dyDescent="0.2">
      <c r="A385" s="122"/>
      <c r="B385" s="174" t="s">
        <v>109</v>
      </c>
      <c r="C385" s="162">
        <v>0</v>
      </c>
      <c r="D385" s="162">
        <v>0</v>
      </c>
      <c r="E385" s="173">
        <v>0</v>
      </c>
      <c r="F385" s="163">
        <v>0</v>
      </c>
      <c r="G385" s="164">
        <v>0</v>
      </c>
      <c r="H385" s="163">
        <v>0</v>
      </c>
      <c r="I385" s="165" t="s">
        <v>119</v>
      </c>
      <c r="J385" s="164">
        <v>0</v>
      </c>
      <c r="K385" s="163">
        <v>0</v>
      </c>
      <c r="L385" s="163">
        <v>0</v>
      </c>
      <c r="M385" s="163">
        <v>0</v>
      </c>
      <c r="N385" s="163">
        <v>0</v>
      </c>
      <c r="O385" s="163" t="s">
        <v>42</v>
      </c>
      <c r="P385" s="163">
        <v>0</v>
      </c>
      <c r="Q385" s="146" t="s">
        <v>162</v>
      </c>
      <c r="T385" s="130"/>
    </row>
    <row r="386" spans="1:20" ht="10.7" customHeight="1" x14ac:dyDescent="0.2">
      <c r="A386" s="122"/>
      <c r="B386" s="174"/>
      <c r="C386" s="162"/>
      <c r="D386" s="163"/>
      <c r="E386" s="163"/>
      <c r="F386" s="163"/>
      <c r="G386" s="164"/>
      <c r="H386" s="163"/>
      <c r="I386" s="165"/>
      <c r="J386" s="164"/>
      <c r="K386" s="163"/>
      <c r="L386" s="163"/>
      <c r="M386" s="163"/>
      <c r="N386" s="163"/>
      <c r="O386" s="163"/>
      <c r="P386" s="163"/>
      <c r="Q386" s="146"/>
      <c r="T386" s="130"/>
    </row>
    <row r="387" spans="1:20" ht="10.7" customHeight="1" x14ac:dyDescent="0.2">
      <c r="A387" s="122"/>
      <c r="B387" s="174" t="s">
        <v>111</v>
      </c>
      <c r="C387" s="162"/>
      <c r="D387" s="163"/>
      <c r="E387" s="163"/>
      <c r="F387" s="163"/>
      <c r="G387" s="164">
        <v>0</v>
      </c>
      <c r="H387" s="163"/>
      <c r="I387" s="165"/>
      <c r="J387" s="164"/>
      <c r="K387" s="163"/>
      <c r="L387" s="163"/>
      <c r="M387" s="163"/>
      <c r="N387" s="163"/>
      <c r="O387" s="163"/>
      <c r="P387" s="169"/>
      <c r="Q387" s="146"/>
      <c r="T387" s="130"/>
    </row>
    <row r="388" spans="1:20" ht="10.7" customHeight="1" x14ac:dyDescent="0.2">
      <c r="A388" s="122"/>
      <c r="B388" s="175" t="s">
        <v>112</v>
      </c>
      <c r="C388" s="176">
        <v>3749.8999999999996</v>
      </c>
      <c r="D388" s="176">
        <v>3509.8999999999992</v>
      </c>
      <c r="E388" s="177">
        <v>0</v>
      </c>
      <c r="F388" s="180">
        <v>-240.00000000000045</v>
      </c>
      <c r="G388" s="189">
        <v>3509.8999999999992</v>
      </c>
      <c r="H388" s="180">
        <v>143.66669999999999</v>
      </c>
      <c r="I388" s="179">
        <v>4.0931849910253861</v>
      </c>
      <c r="J388" s="189">
        <v>3366.233299999999</v>
      </c>
      <c r="K388" s="180">
        <v>2.9593000000000131</v>
      </c>
      <c r="L388" s="180">
        <v>-0.15100000000001046</v>
      </c>
      <c r="M388" s="180">
        <v>0.40200000000001523</v>
      </c>
      <c r="N388" s="180">
        <v>2.7463999999999942</v>
      </c>
      <c r="O388" s="180">
        <v>7.8247243511210998E-2</v>
      </c>
      <c r="P388" s="190">
        <v>1.489175000000003</v>
      </c>
      <c r="Q388" s="153" t="s">
        <v>186</v>
      </c>
      <c r="T388" s="130"/>
    </row>
    <row r="389" spans="1:20" ht="10.7" customHeight="1" x14ac:dyDescent="0.2">
      <c r="A389" s="122"/>
      <c r="B389" s="181"/>
      <c r="C389" s="181"/>
      <c r="D389" s="163"/>
      <c r="E389" s="163"/>
      <c r="F389" s="163"/>
      <c r="G389" s="164"/>
      <c r="H389" s="163"/>
      <c r="I389" s="2"/>
      <c r="J389" s="164"/>
      <c r="K389" s="163"/>
      <c r="L389" s="163"/>
      <c r="M389" s="163"/>
      <c r="N389" s="163"/>
      <c r="O389" s="163"/>
      <c r="P389" s="163"/>
      <c r="Q389" s="182"/>
      <c r="T389" s="130"/>
    </row>
    <row r="390" spans="1:20" ht="10.7" customHeight="1" x14ac:dyDescent="0.2">
      <c r="A390" s="122"/>
      <c r="B390" s="181"/>
      <c r="C390" s="181"/>
      <c r="D390" s="135"/>
      <c r="E390" s="183"/>
      <c r="F390" s="183"/>
      <c r="G390" s="184"/>
      <c r="H390" s="183"/>
      <c r="I390" s="163"/>
      <c r="J390" s="184"/>
      <c r="K390" s="185"/>
      <c r="L390" s="185"/>
      <c r="M390" s="185"/>
      <c r="N390" s="185"/>
      <c r="O390" s="173"/>
      <c r="P390" s="183"/>
      <c r="Q390" s="182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43166</v>
      </c>
      <c r="L393" s="151">
        <v>43173</v>
      </c>
      <c r="M393" s="151">
        <v>43180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6"/>
      <c r="C395" s="193" t="s">
        <v>145</v>
      </c>
      <c r="D395" s="193"/>
      <c r="E395" s="193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4"/>
      <c r="Q395" s="145"/>
      <c r="T395" s="130"/>
    </row>
    <row r="396" spans="1:20" ht="10.7" customHeight="1" x14ac:dyDescent="0.2">
      <c r="A396" s="188"/>
      <c r="B396" s="161" t="s">
        <v>80</v>
      </c>
      <c r="C396" s="162">
        <v>4414.3</v>
      </c>
      <c r="D396" s="163">
        <v>4571.8</v>
      </c>
      <c r="E396" s="163">
        <v>48.5</v>
      </c>
      <c r="F396" s="163">
        <v>157.5</v>
      </c>
      <c r="G396" s="164">
        <v>4571.8</v>
      </c>
      <c r="H396" s="163">
        <v>1052.1257000124931</v>
      </c>
      <c r="I396" s="165">
        <v>23.013379850660417</v>
      </c>
      <c r="J396" s="164">
        <v>3519.6742999875069</v>
      </c>
      <c r="K396" s="163">
        <v>104.87100000000009</v>
      </c>
      <c r="L396" s="163">
        <v>89.928400001525802</v>
      </c>
      <c r="M396" s="163">
        <v>90.936759998321577</v>
      </c>
      <c r="N396" s="163">
        <v>88.188059996795573</v>
      </c>
      <c r="O396" s="163">
        <v>1.9289570846667738</v>
      </c>
      <c r="P396" s="163">
        <v>93.481054999160762</v>
      </c>
      <c r="Q396" s="146">
        <v>35.651204300369791</v>
      </c>
      <c r="T396" s="130"/>
    </row>
    <row r="397" spans="1:20" ht="10.7" customHeight="1" x14ac:dyDescent="0.2">
      <c r="A397" s="188"/>
      <c r="B397" s="161" t="s">
        <v>81</v>
      </c>
      <c r="C397" s="162">
        <v>585</v>
      </c>
      <c r="D397" s="163">
        <v>598.6</v>
      </c>
      <c r="E397" s="163">
        <v>3</v>
      </c>
      <c r="F397" s="163">
        <v>13.600000000000023</v>
      </c>
      <c r="G397" s="164">
        <v>598.6</v>
      </c>
      <c r="H397" s="163">
        <v>60.219000000000008</v>
      </c>
      <c r="I397" s="165">
        <v>10.059973270965587</v>
      </c>
      <c r="J397" s="164">
        <v>538.38099999999997</v>
      </c>
      <c r="K397" s="163">
        <v>0.78899999999999437</v>
      </c>
      <c r="L397" s="163">
        <v>10.197100000000006</v>
      </c>
      <c r="M397" s="163">
        <v>9.4546999999999954</v>
      </c>
      <c r="N397" s="163">
        <v>4.1071000000000097</v>
      </c>
      <c r="O397" s="163">
        <v>0.68611760775142161</v>
      </c>
      <c r="P397" s="163">
        <v>6.1369750000000014</v>
      </c>
      <c r="Q397" s="146" t="s">
        <v>186</v>
      </c>
      <c r="T397" s="130"/>
    </row>
    <row r="398" spans="1:20" ht="10.7" customHeight="1" x14ac:dyDescent="0.2">
      <c r="A398" s="188"/>
      <c r="B398" s="161" t="s">
        <v>82</v>
      </c>
      <c r="C398" s="162">
        <v>888.7</v>
      </c>
      <c r="D398" s="163">
        <v>1022.4000000000001</v>
      </c>
      <c r="E398" s="163">
        <v>-1</v>
      </c>
      <c r="F398" s="163">
        <v>133.70000000000005</v>
      </c>
      <c r="G398" s="164">
        <v>1022.4000000000001</v>
      </c>
      <c r="H398" s="163">
        <v>182.672</v>
      </c>
      <c r="I398" s="165">
        <v>17.866979655712051</v>
      </c>
      <c r="J398" s="164">
        <v>839.72800000000007</v>
      </c>
      <c r="K398" s="163">
        <v>12.677999999999997</v>
      </c>
      <c r="L398" s="163">
        <v>15.978000000000009</v>
      </c>
      <c r="M398" s="163">
        <v>16.818999999999988</v>
      </c>
      <c r="N398" s="163">
        <v>18.960000000000008</v>
      </c>
      <c r="O398" s="163">
        <v>1.8544600938967142</v>
      </c>
      <c r="P398" s="163">
        <v>16.108750000000001</v>
      </c>
      <c r="Q398" s="146" t="s">
        <v>186</v>
      </c>
      <c r="T398" s="130"/>
    </row>
    <row r="399" spans="1:20" ht="10.7" customHeight="1" x14ac:dyDescent="0.2">
      <c r="A399" s="188"/>
      <c r="B399" s="161" t="s">
        <v>83</v>
      </c>
      <c r="C399" s="162">
        <v>3139.4</v>
      </c>
      <c r="D399" s="163">
        <v>3149.5</v>
      </c>
      <c r="E399" s="163">
        <v>10.099999999999909</v>
      </c>
      <c r="F399" s="163">
        <v>10.099999999999909</v>
      </c>
      <c r="G399" s="164">
        <v>3149.5</v>
      </c>
      <c r="H399" s="163">
        <v>464.11599999999999</v>
      </c>
      <c r="I399" s="165">
        <v>14.73618034608668</v>
      </c>
      <c r="J399" s="164">
        <v>2685.384</v>
      </c>
      <c r="K399" s="163">
        <v>40.488</v>
      </c>
      <c r="L399" s="163">
        <v>57.623999999999967</v>
      </c>
      <c r="M399" s="163">
        <v>39.612000000000023</v>
      </c>
      <c r="N399" s="163">
        <v>16.97399999999999</v>
      </c>
      <c r="O399" s="163">
        <v>0.53894268931576406</v>
      </c>
      <c r="P399" s="163">
        <v>38.674499999999995</v>
      </c>
      <c r="Q399" s="146" t="s">
        <v>186</v>
      </c>
      <c r="T399" s="130"/>
    </row>
    <row r="400" spans="1:20" ht="10.7" customHeight="1" x14ac:dyDescent="0.2">
      <c r="A400" s="188"/>
      <c r="B400" s="161" t="s">
        <v>84</v>
      </c>
      <c r="C400" s="162">
        <v>115.9</v>
      </c>
      <c r="D400" s="163">
        <v>115.9</v>
      </c>
      <c r="E400" s="163">
        <v>0</v>
      </c>
      <c r="F400" s="163">
        <v>0</v>
      </c>
      <c r="G400" s="164">
        <v>115.9</v>
      </c>
      <c r="H400" s="163">
        <v>62.9656100025177</v>
      </c>
      <c r="I400" s="165">
        <v>54.327532357651158</v>
      </c>
      <c r="J400" s="164">
        <v>52.934389997482306</v>
      </c>
      <c r="K400" s="163">
        <v>3.6612000000000009</v>
      </c>
      <c r="L400" s="163">
        <v>14.006160000228874</v>
      </c>
      <c r="M400" s="163">
        <v>8.8731899986267138</v>
      </c>
      <c r="N400" s="163">
        <v>4.3178099998474124</v>
      </c>
      <c r="O400" s="163">
        <v>3.7254616047000968</v>
      </c>
      <c r="P400" s="163">
        <v>7.7145899996757503</v>
      </c>
      <c r="Q400" s="146">
        <v>4.8615947185407355</v>
      </c>
      <c r="T400" s="130"/>
    </row>
    <row r="401" spans="1:20" ht="10.7" customHeight="1" x14ac:dyDescent="0.2">
      <c r="A401" s="188"/>
      <c r="B401" s="161" t="s">
        <v>85</v>
      </c>
      <c r="C401" s="162">
        <v>46.4</v>
      </c>
      <c r="D401" s="163">
        <v>114.9</v>
      </c>
      <c r="E401" s="163">
        <v>16</v>
      </c>
      <c r="F401" s="163">
        <v>68.5</v>
      </c>
      <c r="G401" s="164">
        <v>114.9</v>
      </c>
      <c r="H401" s="163">
        <v>15.097699997711182</v>
      </c>
      <c r="I401" s="165">
        <v>13.139860746484926</v>
      </c>
      <c r="J401" s="164">
        <v>99.802300002288831</v>
      </c>
      <c r="K401" s="163">
        <v>2.1620000000000008</v>
      </c>
      <c r="L401" s="163">
        <v>0.64100000000000001</v>
      </c>
      <c r="M401" s="163">
        <v>-2.1299998474122006E-2</v>
      </c>
      <c r="N401" s="163">
        <v>0</v>
      </c>
      <c r="O401" s="163">
        <v>0</v>
      </c>
      <c r="P401" s="163">
        <v>0.6954250003814697</v>
      </c>
      <c r="Q401" s="146" t="s">
        <v>186</v>
      </c>
      <c r="T401" s="130"/>
    </row>
    <row r="402" spans="1:20" ht="10.7" customHeight="1" x14ac:dyDescent="0.2">
      <c r="A402" s="188"/>
      <c r="B402" s="161" t="s">
        <v>86</v>
      </c>
      <c r="C402" s="162">
        <v>193</v>
      </c>
      <c r="D402" s="163">
        <v>205.5</v>
      </c>
      <c r="E402" s="163">
        <v>20</v>
      </c>
      <c r="F402" s="163">
        <v>12.5</v>
      </c>
      <c r="G402" s="164">
        <v>205.5</v>
      </c>
      <c r="H402" s="163">
        <v>20.512</v>
      </c>
      <c r="I402" s="165">
        <v>9.9815085158150847</v>
      </c>
      <c r="J402" s="164">
        <v>184.988</v>
      </c>
      <c r="K402" s="163">
        <v>0</v>
      </c>
      <c r="L402" s="163">
        <v>0</v>
      </c>
      <c r="M402" s="163">
        <v>6.0250000000000021</v>
      </c>
      <c r="N402" s="163">
        <v>0.50199999999999889</v>
      </c>
      <c r="O402" s="163">
        <v>0.24428223844282182</v>
      </c>
      <c r="P402" s="163">
        <v>1.6317500000000003</v>
      </c>
      <c r="Q402" s="146" t="s">
        <v>186</v>
      </c>
      <c r="T402" s="130"/>
    </row>
    <row r="403" spans="1:20" ht="10.7" customHeight="1" x14ac:dyDescent="0.2">
      <c r="A403" s="188"/>
      <c r="B403" s="161" t="s">
        <v>87</v>
      </c>
      <c r="C403" s="162">
        <v>290.5</v>
      </c>
      <c r="D403" s="163">
        <v>290.5</v>
      </c>
      <c r="E403" s="163">
        <v>0</v>
      </c>
      <c r="F403" s="163">
        <v>0</v>
      </c>
      <c r="G403" s="164">
        <v>290.5</v>
      </c>
      <c r="H403" s="163">
        <v>22.835099996185303</v>
      </c>
      <c r="I403" s="165">
        <v>7.8606196200293645</v>
      </c>
      <c r="J403" s="164">
        <v>267.66490000381469</v>
      </c>
      <c r="K403" s="163">
        <v>5.7170000000000041</v>
      </c>
      <c r="L403" s="163">
        <v>0</v>
      </c>
      <c r="M403" s="163">
        <v>0.24469999999999814</v>
      </c>
      <c r="N403" s="163">
        <v>1.8348000015258776</v>
      </c>
      <c r="O403" s="163">
        <v>0.63160068899341737</v>
      </c>
      <c r="P403" s="163">
        <v>1.94912500038147</v>
      </c>
      <c r="Q403" s="146" t="s">
        <v>186</v>
      </c>
      <c r="T403" s="130"/>
    </row>
    <row r="404" spans="1:20" ht="10.7" customHeight="1" x14ac:dyDescent="0.2">
      <c r="A404" s="188"/>
      <c r="B404" s="161" t="s">
        <v>88</v>
      </c>
      <c r="C404" s="162">
        <v>0</v>
      </c>
      <c r="D404" s="163">
        <v>0</v>
      </c>
      <c r="E404" s="163">
        <v>0</v>
      </c>
      <c r="F404" s="163">
        <v>0</v>
      </c>
      <c r="G404" s="164">
        <v>0</v>
      </c>
      <c r="H404" s="163">
        <v>0</v>
      </c>
      <c r="I404" s="165" t="s">
        <v>119</v>
      </c>
      <c r="J404" s="164">
        <v>0</v>
      </c>
      <c r="K404" s="163">
        <v>0</v>
      </c>
      <c r="L404" s="163">
        <v>0</v>
      </c>
      <c r="M404" s="163">
        <v>0</v>
      </c>
      <c r="N404" s="163">
        <v>0</v>
      </c>
      <c r="O404" s="163" t="s">
        <v>42</v>
      </c>
      <c r="P404" s="163">
        <v>0</v>
      </c>
      <c r="Q404" s="146" t="s">
        <v>162</v>
      </c>
      <c r="T404" s="130"/>
    </row>
    <row r="405" spans="1:20" ht="10.7" customHeight="1" x14ac:dyDescent="0.2">
      <c r="A405" s="188"/>
      <c r="B405" s="161" t="s">
        <v>89</v>
      </c>
      <c r="C405" s="162">
        <v>325.8</v>
      </c>
      <c r="D405" s="163">
        <v>298.8</v>
      </c>
      <c r="E405" s="163">
        <v>0</v>
      </c>
      <c r="F405" s="163">
        <v>-27</v>
      </c>
      <c r="G405" s="164">
        <v>298.8</v>
      </c>
      <c r="H405" s="163">
        <v>3.601</v>
      </c>
      <c r="I405" s="165">
        <v>1.2051539491298529</v>
      </c>
      <c r="J405" s="164">
        <v>295.19900000000001</v>
      </c>
      <c r="K405" s="163">
        <v>0.20799999999999974</v>
      </c>
      <c r="L405" s="163">
        <v>3.6000000000000032E-2</v>
      </c>
      <c r="M405" s="163">
        <v>0</v>
      </c>
      <c r="N405" s="163">
        <v>1.1040000000000001</v>
      </c>
      <c r="O405" s="163">
        <v>0.36947791164658633</v>
      </c>
      <c r="P405" s="163">
        <v>0.33699999999999997</v>
      </c>
      <c r="Q405" s="146" t="s">
        <v>186</v>
      </c>
      <c r="T405" s="130"/>
    </row>
    <row r="406" spans="1:20" ht="10.7" customHeight="1" x14ac:dyDescent="0.2">
      <c r="A406" s="188"/>
      <c r="B406" s="168" t="s">
        <v>91</v>
      </c>
      <c r="C406" s="162">
        <v>9998.9999999999982</v>
      </c>
      <c r="D406" s="163">
        <v>10367.9</v>
      </c>
      <c r="E406" s="163">
        <v>96.599999999999909</v>
      </c>
      <c r="F406" s="163">
        <v>368.90000000000146</v>
      </c>
      <c r="G406" s="164">
        <v>10367.9</v>
      </c>
      <c r="H406" s="163">
        <v>1884.1441100089075</v>
      </c>
      <c r="I406" s="165">
        <v>18.172861524599075</v>
      </c>
      <c r="J406" s="164">
        <v>8483.7558899910928</v>
      </c>
      <c r="K406" s="163">
        <v>170.5742000000001</v>
      </c>
      <c r="L406" s="163">
        <v>188.41066000175465</v>
      </c>
      <c r="M406" s="163">
        <v>171.94404999847418</v>
      </c>
      <c r="N406" s="163">
        <v>135.98776999816889</v>
      </c>
      <c r="O406" s="163">
        <v>1.311623086624764</v>
      </c>
      <c r="P406" s="169">
        <v>166.72916999959943</v>
      </c>
      <c r="Q406" s="146">
        <v>48.88345302751447</v>
      </c>
      <c r="T406" s="130"/>
    </row>
    <row r="407" spans="1:20" ht="10.7" customHeight="1" x14ac:dyDescent="0.2">
      <c r="A407" s="188"/>
      <c r="B407" s="168"/>
      <c r="D407" s="163"/>
      <c r="E407" s="163"/>
      <c r="F407" s="163"/>
      <c r="G407" s="164"/>
      <c r="H407" s="163"/>
      <c r="I407" s="165"/>
      <c r="J407" s="164"/>
      <c r="K407" s="163"/>
      <c r="L407" s="163"/>
      <c r="M407" s="163"/>
      <c r="N407" s="163"/>
      <c r="O407" s="163"/>
      <c r="P407" s="163"/>
      <c r="Q407" s="146"/>
      <c r="T407" s="130"/>
    </row>
    <row r="408" spans="1:20" ht="10.7" customHeight="1" x14ac:dyDescent="0.2">
      <c r="A408" s="188"/>
      <c r="B408" s="161" t="s">
        <v>92</v>
      </c>
      <c r="C408" s="162">
        <v>245.2</v>
      </c>
      <c r="D408" s="163">
        <v>266.7</v>
      </c>
      <c r="E408" s="163">
        <v>-3</v>
      </c>
      <c r="F408" s="163">
        <v>21.5</v>
      </c>
      <c r="G408" s="164">
        <v>266.7</v>
      </c>
      <c r="H408" s="163">
        <v>21.33032000961304</v>
      </c>
      <c r="I408" s="165">
        <v>7.9978702698211617</v>
      </c>
      <c r="J408" s="164">
        <v>245.36967999038694</v>
      </c>
      <c r="K408" s="163">
        <v>3.487899999999998</v>
      </c>
      <c r="L408" s="163">
        <v>5.677500000000002</v>
      </c>
      <c r="M408" s="163">
        <v>0.53129999999999811</v>
      </c>
      <c r="N408" s="163">
        <v>2.2082000003814706</v>
      </c>
      <c r="O408" s="163">
        <v>0.82797150370508832</v>
      </c>
      <c r="P408" s="163">
        <v>2.9762250000953672</v>
      </c>
      <c r="Q408" s="146" t="s">
        <v>186</v>
      </c>
      <c r="T408" s="130"/>
    </row>
    <row r="409" spans="1:20" ht="10.7" customHeight="1" x14ac:dyDescent="0.2">
      <c r="A409" s="188"/>
      <c r="B409" s="161" t="s">
        <v>93</v>
      </c>
      <c r="C409" s="162">
        <v>731.1</v>
      </c>
      <c r="D409" s="163">
        <v>575.90000000000009</v>
      </c>
      <c r="E409" s="163">
        <v>-34.999999999999886</v>
      </c>
      <c r="F409" s="163">
        <v>-155.19999999999993</v>
      </c>
      <c r="G409" s="164">
        <v>575.90000000000009</v>
      </c>
      <c r="H409" s="163">
        <v>91.994800000000012</v>
      </c>
      <c r="I409" s="165">
        <v>15.974092724431324</v>
      </c>
      <c r="J409" s="164">
        <v>483.90520000000009</v>
      </c>
      <c r="K409" s="163">
        <v>4.6939999999999955</v>
      </c>
      <c r="L409" s="163">
        <v>14.119500000000002</v>
      </c>
      <c r="M409" s="163">
        <v>7.8041999999999945</v>
      </c>
      <c r="N409" s="163">
        <v>13.306600000000017</v>
      </c>
      <c r="O409" s="163">
        <v>2.310574752561211</v>
      </c>
      <c r="P409" s="163">
        <v>9.9810750000000024</v>
      </c>
      <c r="Q409" s="146">
        <v>46.482272701086806</v>
      </c>
      <c r="T409" s="130"/>
    </row>
    <row r="410" spans="1:20" ht="10.7" hidden="1" customHeight="1" x14ac:dyDescent="0.2">
      <c r="A410" s="188"/>
      <c r="B410" s="161" t="s">
        <v>94</v>
      </c>
      <c r="C410" s="162">
        <v>0</v>
      </c>
      <c r="D410" s="163">
        <v>0</v>
      </c>
      <c r="E410" s="163">
        <v>0</v>
      </c>
      <c r="F410" s="163">
        <v>0</v>
      </c>
      <c r="G410" s="164">
        <v>0</v>
      </c>
      <c r="H410" s="163">
        <v>0</v>
      </c>
      <c r="I410" s="165" t="s">
        <v>119</v>
      </c>
      <c r="J410" s="164">
        <v>0</v>
      </c>
      <c r="K410" s="163">
        <v>0</v>
      </c>
      <c r="L410" s="163">
        <v>0</v>
      </c>
      <c r="M410" s="163">
        <v>0</v>
      </c>
      <c r="N410" s="163">
        <v>0</v>
      </c>
      <c r="O410" s="163" t="s">
        <v>42</v>
      </c>
      <c r="P410" s="163">
        <v>0</v>
      </c>
      <c r="Q410" s="146">
        <v>0</v>
      </c>
      <c r="T410" s="130"/>
    </row>
    <row r="411" spans="1:20" ht="10.7" customHeight="1" x14ac:dyDescent="0.2">
      <c r="A411" s="188"/>
      <c r="B411" s="161" t="s">
        <v>95</v>
      </c>
      <c r="C411" s="162">
        <v>18.399999999999999</v>
      </c>
      <c r="D411" s="163">
        <v>19.399999999999999</v>
      </c>
      <c r="E411" s="163">
        <v>0</v>
      </c>
      <c r="F411" s="163">
        <v>1</v>
      </c>
      <c r="G411" s="164">
        <v>19.399999999999999</v>
      </c>
      <c r="H411" s="163">
        <v>4.5086000000000004</v>
      </c>
      <c r="I411" s="165">
        <v>23.240206185567011</v>
      </c>
      <c r="J411" s="164">
        <v>14.891399999999997</v>
      </c>
      <c r="K411" s="163">
        <v>0.37309999999999999</v>
      </c>
      <c r="L411" s="163">
        <v>0</v>
      </c>
      <c r="M411" s="163">
        <v>0.3660000000000001</v>
      </c>
      <c r="N411" s="163">
        <v>0.98500000000000032</v>
      </c>
      <c r="O411" s="163">
        <v>5.0773195876288684</v>
      </c>
      <c r="P411" s="163">
        <v>0.4310250000000001</v>
      </c>
      <c r="Q411" s="146">
        <v>32.548808073777607</v>
      </c>
      <c r="T411" s="130"/>
    </row>
    <row r="412" spans="1:20" ht="10.7" customHeight="1" x14ac:dyDescent="0.2">
      <c r="A412" s="188"/>
      <c r="B412" s="161" t="s">
        <v>96</v>
      </c>
      <c r="C412" s="162">
        <v>161.6</v>
      </c>
      <c r="D412" s="163">
        <v>93.399999999999991</v>
      </c>
      <c r="E412" s="163">
        <v>-53.600000000000009</v>
      </c>
      <c r="F412" s="163">
        <v>-68.2</v>
      </c>
      <c r="G412" s="164">
        <v>93.399999999999991</v>
      </c>
      <c r="H412" s="163">
        <v>43.442</v>
      </c>
      <c r="I412" s="165">
        <v>46.511777301927197</v>
      </c>
      <c r="J412" s="164">
        <v>49.957999999999991</v>
      </c>
      <c r="K412" s="163">
        <v>0.22439999999999927</v>
      </c>
      <c r="L412" s="163">
        <v>10.625100000000003</v>
      </c>
      <c r="M412" s="163">
        <v>0.27779999999999916</v>
      </c>
      <c r="N412" s="163">
        <v>1.8155000000000001</v>
      </c>
      <c r="O412" s="163">
        <v>1.943790149892934</v>
      </c>
      <c r="P412" s="163">
        <v>3.2357000000000005</v>
      </c>
      <c r="Q412" s="146">
        <v>13.439626665018384</v>
      </c>
      <c r="T412" s="130"/>
    </row>
    <row r="413" spans="1:20" ht="10.7" customHeight="1" x14ac:dyDescent="0.2">
      <c r="A413" s="188"/>
      <c r="B413" s="161" t="s">
        <v>97</v>
      </c>
      <c r="C413" s="162">
        <v>1069.5</v>
      </c>
      <c r="D413" s="163">
        <v>1099.5</v>
      </c>
      <c r="E413" s="163">
        <v>30</v>
      </c>
      <c r="F413" s="163">
        <v>30</v>
      </c>
      <c r="G413" s="164">
        <v>1099.5</v>
      </c>
      <c r="H413" s="163">
        <v>0</v>
      </c>
      <c r="I413" s="165">
        <v>0</v>
      </c>
      <c r="J413" s="164">
        <v>1099.5</v>
      </c>
      <c r="K413" s="163">
        <v>0</v>
      </c>
      <c r="L413" s="163">
        <v>0</v>
      </c>
      <c r="M413" s="163">
        <v>0</v>
      </c>
      <c r="N413" s="163">
        <v>0</v>
      </c>
      <c r="O413" s="163">
        <v>0</v>
      </c>
      <c r="P413" s="163">
        <v>0</v>
      </c>
      <c r="Q413" s="146" t="s">
        <v>186</v>
      </c>
      <c r="T413" s="130"/>
    </row>
    <row r="414" spans="1:20" ht="10.7" customHeight="1" x14ac:dyDescent="0.2">
      <c r="A414" s="188"/>
      <c r="B414" s="161" t="s">
        <v>98</v>
      </c>
      <c r="C414" s="162">
        <v>437.3</v>
      </c>
      <c r="D414" s="163">
        <v>247.3</v>
      </c>
      <c r="E414" s="163">
        <v>-25</v>
      </c>
      <c r="F414" s="163">
        <v>-190</v>
      </c>
      <c r="G414" s="164">
        <v>247.3</v>
      </c>
      <c r="H414" s="163">
        <v>20.274799999999999</v>
      </c>
      <c r="I414" s="165">
        <v>8.1984634047715321</v>
      </c>
      <c r="J414" s="164">
        <v>227.02520000000001</v>
      </c>
      <c r="K414" s="163">
        <v>5.6000000000000938E-2</v>
      </c>
      <c r="L414" s="163">
        <v>2.9919999999999973</v>
      </c>
      <c r="M414" s="163">
        <v>0.35070000000000334</v>
      </c>
      <c r="N414" s="163">
        <v>0.5329999999999977</v>
      </c>
      <c r="O414" s="163">
        <v>0.21552769915082803</v>
      </c>
      <c r="P414" s="163">
        <v>0.98292499999999983</v>
      </c>
      <c r="Q414" s="146" t="s">
        <v>186</v>
      </c>
      <c r="T414" s="130"/>
    </row>
    <row r="415" spans="1:20" ht="10.7" customHeight="1" x14ac:dyDescent="0.2">
      <c r="A415" s="122"/>
      <c r="B415" s="161" t="s">
        <v>99</v>
      </c>
      <c r="C415" s="162">
        <v>232.6</v>
      </c>
      <c r="D415" s="163">
        <v>222.6</v>
      </c>
      <c r="E415" s="163">
        <v>-10</v>
      </c>
      <c r="F415" s="163">
        <v>-10</v>
      </c>
      <c r="G415" s="164">
        <v>222.6</v>
      </c>
      <c r="H415" s="163">
        <v>0</v>
      </c>
      <c r="I415" s="165">
        <v>0</v>
      </c>
      <c r="J415" s="164">
        <v>222.6</v>
      </c>
      <c r="K415" s="163">
        <v>0</v>
      </c>
      <c r="L415" s="163">
        <v>0</v>
      </c>
      <c r="M415" s="163">
        <v>0</v>
      </c>
      <c r="N415" s="163">
        <v>0</v>
      </c>
      <c r="O415" s="163">
        <v>0</v>
      </c>
      <c r="P415" s="163">
        <v>0</v>
      </c>
      <c r="Q415" s="146" t="s">
        <v>186</v>
      </c>
      <c r="T415" s="130"/>
    </row>
    <row r="416" spans="1:20" ht="10.7" customHeight="1" x14ac:dyDescent="0.2">
      <c r="A416" s="122"/>
      <c r="B416" s="161" t="s">
        <v>100</v>
      </c>
      <c r="C416" s="162">
        <v>102.5</v>
      </c>
      <c r="D416" s="163">
        <v>102.5</v>
      </c>
      <c r="E416" s="163">
        <v>0</v>
      </c>
      <c r="F416" s="163">
        <v>0</v>
      </c>
      <c r="G416" s="164">
        <v>102.5</v>
      </c>
      <c r="H416" s="163">
        <v>0.32100000000000001</v>
      </c>
      <c r="I416" s="165">
        <v>0.31317073170731707</v>
      </c>
      <c r="J416" s="164">
        <v>102.179</v>
      </c>
      <c r="K416" s="163">
        <v>0</v>
      </c>
      <c r="L416" s="163">
        <v>0</v>
      </c>
      <c r="M416" s="163">
        <v>0</v>
      </c>
      <c r="N416" s="163">
        <v>0.14200000000000002</v>
      </c>
      <c r="O416" s="163">
        <v>0.13853658536585367</v>
      </c>
      <c r="P416" s="163">
        <v>3.5500000000000004E-2</v>
      </c>
      <c r="Q416" s="146" t="s">
        <v>186</v>
      </c>
      <c r="T416" s="130"/>
    </row>
    <row r="417" spans="1:21" ht="10.7" customHeight="1" x14ac:dyDescent="0.2">
      <c r="A417" s="122"/>
      <c r="B417" s="161" t="s">
        <v>101</v>
      </c>
      <c r="C417" s="162">
        <v>110.1</v>
      </c>
      <c r="D417" s="163">
        <v>63.099999999999994</v>
      </c>
      <c r="E417" s="163">
        <v>0</v>
      </c>
      <c r="F417" s="163">
        <v>-47</v>
      </c>
      <c r="G417" s="164">
        <v>63.099999999999994</v>
      </c>
      <c r="H417" s="163">
        <v>1.41E-2</v>
      </c>
      <c r="I417" s="165">
        <v>2.2345483359746433E-2</v>
      </c>
      <c r="J417" s="164">
        <v>63.085899999999995</v>
      </c>
      <c r="K417" s="163">
        <v>3.6000000000000008E-3</v>
      </c>
      <c r="L417" s="163">
        <v>2.3E-3</v>
      </c>
      <c r="M417" s="163">
        <v>0</v>
      </c>
      <c r="N417" s="163">
        <v>9.9999999999999915E-4</v>
      </c>
      <c r="O417" s="163">
        <v>1.5847860538827244E-3</v>
      </c>
      <c r="P417" s="163">
        <v>1.725E-3</v>
      </c>
      <c r="Q417" s="146" t="s">
        <v>186</v>
      </c>
      <c r="T417" s="130"/>
    </row>
    <row r="418" spans="1:21" ht="10.7" customHeight="1" x14ac:dyDescent="0.2">
      <c r="A418" s="122"/>
      <c r="B418" s="161" t="s">
        <v>102</v>
      </c>
      <c r="C418" s="162">
        <v>0</v>
      </c>
      <c r="D418" s="163">
        <v>0</v>
      </c>
      <c r="E418" s="163">
        <v>0</v>
      </c>
      <c r="F418" s="163">
        <v>0</v>
      </c>
      <c r="G418" s="164">
        <v>0</v>
      </c>
      <c r="H418" s="163">
        <v>0</v>
      </c>
      <c r="I418" s="165" t="s">
        <v>119</v>
      </c>
      <c r="J418" s="164">
        <v>0</v>
      </c>
      <c r="K418" s="163">
        <v>0</v>
      </c>
      <c r="L418" s="163">
        <v>0</v>
      </c>
      <c r="M418" s="163">
        <v>0</v>
      </c>
      <c r="N418" s="163">
        <v>0</v>
      </c>
      <c r="O418" s="163" t="s">
        <v>42</v>
      </c>
      <c r="P418" s="163">
        <v>0</v>
      </c>
      <c r="Q418" s="146">
        <v>0</v>
      </c>
      <c r="T418" s="130"/>
    </row>
    <row r="419" spans="1:21" ht="10.7" customHeight="1" x14ac:dyDescent="0.2">
      <c r="A419" s="122"/>
      <c r="B419" s="161" t="s">
        <v>103</v>
      </c>
      <c r="C419" s="162">
        <v>29.4</v>
      </c>
      <c r="D419" s="163">
        <v>29.4</v>
      </c>
      <c r="E419" s="163">
        <v>0</v>
      </c>
      <c r="F419" s="163">
        <v>0</v>
      </c>
      <c r="G419" s="164">
        <v>29.4</v>
      </c>
      <c r="H419" s="163">
        <v>0</v>
      </c>
      <c r="I419" s="165">
        <v>0</v>
      </c>
      <c r="J419" s="164">
        <v>29.4</v>
      </c>
      <c r="K419" s="163">
        <v>0</v>
      </c>
      <c r="L419" s="163">
        <v>0</v>
      </c>
      <c r="M419" s="163">
        <v>0</v>
      </c>
      <c r="N419" s="163">
        <v>0</v>
      </c>
      <c r="O419" s="163">
        <v>0</v>
      </c>
      <c r="P419" s="163">
        <v>0</v>
      </c>
      <c r="Q419" s="146" t="s">
        <v>186</v>
      </c>
      <c r="T419" s="130"/>
    </row>
    <row r="420" spans="1:21" ht="10.7" customHeight="1" x14ac:dyDescent="0.2">
      <c r="A420" s="122"/>
      <c r="B420" s="1" t="s">
        <v>104</v>
      </c>
      <c r="C420" s="162">
        <v>30.6</v>
      </c>
      <c r="D420" s="163">
        <v>30.6</v>
      </c>
      <c r="E420" s="163">
        <v>0</v>
      </c>
      <c r="F420" s="163">
        <v>0</v>
      </c>
      <c r="G420" s="164">
        <v>30.6</v>
      </c>
      <c r="H420" s="163">
        <v>3.8699999999999998E-2</v>
      </c>
      <c r="I420" s="165">
        <v>0.12647058823529411</v>
      </c>
      <c r="J420" s="164">
        <v>30.561300000000003</v>
      </c>
      <c r="K420" s="163">
        <v>0</v>
      </c>
      <c r="L420" s="163">
        <v>0</v>
      </c>
      <c r="M420" s="163">
        <v>0</v>
      </c>
      <c r="N420" s="163">
        <v>0</v>
      </c>
      <c r="O420" s="163">
        <v>0</v>
      </c>
      <c r="P420" s="163">
        <v>0</v>
      </c>
      <c r="Q420" s="146" t="s">
        <v>186</v>
      </c>
      <c r="T420" s="130"/>
    </row>
    <row r="421" spans="1:21" ht="10.7" customHeight="1" x14ac:dyDescent="0.2">
      <c r="A421" s="122"/>
      <c r="B421" s="168" t="s">
        <v>106</v>
      </c>
      <c r="C421" s="172">
        <v>13167.3</v>
      </c>
      <c r="D421" s="163">
        <v>13118.3</v>
      </c>
      <c r="E421" s="163">
        <v>0</v>
      </c>
      <c r="F421" s="163">
        <v>-49</v>
      </c>
      <c r="G421" s="164">
        <v>13118.3</v>
      </c>
      <c r="H421" s="163">
        <v>2066.0684300185208</v>
      </c>
      <c r="I421" s="165">
        <v>15.74951350417753</v>
      </c>
      <c r="J421" s="164">
        <v>11052.231569981479</v>
      </c>
      <c r="K421" s="163">
        <v>179.41320000000019</v>
      </c>
      <c r="L421" s="163">
        <v>221.82706000175472</v>
      </c>
      <c r="M421" s="163">
        <v>181.27404999847431</v>
      </c>
      <c r="N421" s="163">
        <v>154.97906999855081</v>
      </c>
      <c r="O421" s="163">
        <v>1.1813959887984786</v>
      </c>
      <c r="P421" s="163">
        <v>184.37334499969501</v>
      </c>
      <c r="Q421" s="146" t="s">
        <v>186</v>
      </c>
      <c r="T421" s="130"/>
      <c r="U421" s="163"/>
    </row>
    <row r="422" spans="1:21" ht="10.7" customHeight="1" x14ac:dyDescent="0.2">
      <c r="A422" s="122"/>
      <c r="B422" s="168"/>
      <c r="C422" s="162"/>
      <c r="D422" s="163"/>
      <c r="E422" s="163"/>
      <c r="F422" s="163"/>
      <c r="G422" s="164"/>
      <c r="H422" s="163"/>
      <c r="I422" s="165"/>
      <c r="J422" s="164"/>
      <c r="K422" s="163"/>
      <c r="L422" s="163"/>
      <c r="M422" s="163"/>
      <c r="N422" s="163"/>
      <c r="O422" s="163"/>
      <c r="P422" s="163"/>
      <c r="Q422" s="146"/>
      <c r="T422" s="130"/>
    </row>
    <row r="423" spans="1:21" ht="10.7" customHeight="1" x14ac:dyDescent="0.2">
      <c r="A423" s="122"/>
      <c r="B423" s="161" t="s">
        <v>107</v>
      </c>
      <c r="C423" s="162">
        <v>0</v>
      </c>
      <c r="D423" s="163">
        <v>1.1000000000000001</v>
      </c>
      <c r="E423" s="163">
        <v>0</v>
      </c>
      <c r="F423" s="163">
        <v>1.1000000000000001</v>
      </c>
      <c r="G423" s="164">
        <v>1.1000000000000001</v>
      </c>
      <c r="H423" s="163">
        <v>0</v>
      </c>
      <c r="I423" s="165">
        <v>0</v>
      </c>
      <c r="J423" s="164">
        <v>1.1000000000000001</v>
      </c>
      <c r="K423" s="163">
        <v>0</v>
      </c>
      <c r="L423" s="163">
        <v>0</v>
      </c>
      <c r="M423" s="163">
        <v>0</v>
      </c>
      <c r="N423" s="163">
        <v>0</v>
      </c>
      <c r="O423" s="163">
        <v>0</v>
      </c>
      <c r="P423" s="163">
        <v>0</v>
      </c>
      <c r="Q423" s="146" t="s">
        <v>186</v>
      </c>
      <c r="T423" s="130"/>
    </row>
    <row r="424" spans="1:21" ht="10.7" customHeight="1" x14ac:dyDescent="0.2">
      <c r="A424" s="122"/>
      <c r="B424" s="161" t="s">
        <v>108</v>
      </c>
      <c r="C424" s="162">
        <v>2.7</v>
      </c>
      <c r="D424" s="162">
        <v>2.6</v>
      </c>
      <c r="E424" s="173">
        <v>0</v>
      </c>
      <c r="F424" s="163">
        <v>-0.10000000000000009</v>
      </c>
      <c r="G424" s="164">
        <v>2.6</v>
      </c>
      <c r="H424" s="163">
        <v>0.17810000000000001</v>
      </c>
      <c r="I424" s="165">
        <v>6.8500000000000005</v>
      </c>
      <c r="J424" s="164">
        <v>2.4218999999999999</v>
      </c>
      <c r="K424" s="163">
        <v>1.1999999999999927E-3</v>
      </c>
      <c r="L424" s="163">
        <v>1.3000000000000012E-2</v>
      </c>
      <c r="M424" s="163">
        <v>8.4999999999999798E-3</v>
      </c>
      <c r="N424" s="163">
        <v>3.8900000000000018E-2</v>
      </c>
      <c r="O424" s="163">
        <v>1.4961538461538466</v>
      </c>
      <c r="P424" s="163">
        <v>1.54E-2</v>
      </c>
      <c r="Q424" s="146" t="s">
        <v>186</v>
      </c>
      <c r="T424" s="130"/>
    </row>
    <row r="425" spans="1:21" ht="10.7" customHeight="1" x14ac:dyDescent="0.2">
      <c r="A425" s="122"/>
      <c r="B425" s="174" t="s">
        <v>109</v>
      </c>
      <c r="C425" s="162">
        <v>32</v>
      </c>
      <c r="D425" s="162">
        <v>32.099999999999994</v>
      </c>
      <c r="E425" s="173">
        <v>0</v>
      </c>
      <c r="F425" s="163">
        <v>9.9999999999994316E-2</v>
      </c>
      <c r="G425" s="164">
        <v>32.099999999999994</v>
      </c>
      <c r="H425" s="163">
        <v>0.89290000000000003</v>
      </c>
      <c r="I425" s="165">
        <v>2.7816199376947046</v>
      </c>
      <c r="J425" s="164">
        <v>31.207099999999993</v>
      </c>
      <c r="K425" s="163">
        <v>0.28410000000000002</v>
      </c>
      <c r="L425" s="163">
        <v>0</v>
      </c>
      <c r="M425" s="163">
        <v>0.41699999999999998</v>
      </c>
      <c r="N425" s="163">
        <v>4.6000000000000476E-3</v>
      </c>
      <c r="O425" s="163">
        <v>1.4330218068535976E-2</v>
      </c>
      <c r="P425" s="163">
        <v>0.17642500000000003</v>
      </c>
      <c r="Q425" s="146" t="s">
        <v>186</v>
      </c>
      <c r="T425" s="130"/>
    </row>
    <row r="426" spans="1:21" ht="10.7" customHeight="1" x14ac:dyDescent="0.2">
      <c r="A426" s="122"/>
      <c r="B426" s="174"/>
      <c r="C426" s="162"/>
      <c r="D426" s="163"/>
      <c r="E426" s="163"/>
      <c r="F426" s="163"/>
      <c r="G426" s="164"/>
      <c r="H426" s="163"/>
      <c r="I426" s="165"/>
      <c r="J426" s="164"/>
      <c r="K426" s="163"/>
      <c r="L426" s="163"/>
      <c r="M426" s="163"/>
      <c r="N426" s="163"/>
      <c r="O426" s="163"/>
      <c r="P426" s="163"/>
      <c r="Q426" s="146"/>
      <c r="T426" s="130"/>
    </row>
    <row r="427" spans="1:21" ht="10.7" customHeight="1" x14ac:dyDescent="0.2">
      <c r="A427" s="122"/>
      <c r="B427" s="174" t="s">
        <v>111</v>
      </c>
      <c r="C427" s="162">
        <v>0</v>
      </c>
      <c r="D427" s="163"/>
      <c r="E427" s="163"/>
      <c r="F427" s="163"/>
      <c r="G427" s="164">
        <v>0</v>
      </c>
      <c r="H427" s="163"/>
      <c r="I427" s="165"/>
      <c r="J427" s="164">
        <v>0</v>
      </c>
      <c r="K427" s="163"/>
      <c r="L427" s="163"/>
      <c r="M427" s="163"/>
      <c r="N427" s="163"/>
      <c r="O427" s="163"/>
      <c r="P427" s="163"/>
      <c r="Q427" s="146"/>
      <c r="T427" s="130"/>
    </row>
    <row r="428" spans="1:21" ht="10.7" customHeight="1" x14ac:dyDescent="0.2">
      <c r="A428" s="122"/>
      <c r="B428" s="175" t="s">
        <v>112</v>
      </c>
      <c r="C428" s="176">
        <v>13202</v>
      </c>
      <c r="D428" s="176">
        <v>13154.099999999999</v>
      </c>
      <c r="E428" s="177">
        <v>0</v>
      </c>
      <c r="F428" s="177">
        <v>-47.900000000000006</v>
      </c>
      <c r="G428" s="189">
        <v>13154.099999999999</v>
      </c>
      <c r="H428" s="180">
        <v>2067.1394300185207</v>
      </c>
      <c r="I428" s="179">
        <v>15.714791814099947</v>
      </c>
      <c r="J428" s="178">
        <v>11086.960569981478</v>
      </c>
      <c r="K428" s="180">
        <v>179.69850000000019</v>
      </c>
      <c r="L428" s="180">
        <v>221.84006000175464</v>
      </c>
      <c r="M428" s="180">
        <v>181.69954999847414</v>
      </c>
      <c r="N428" s="180">
        <v>155.02256999855081</v>
      </c>
      <c r="O428" s="180">
        <v>1.1785114146809803</v>
      </c>
      <c r="P428" s="190">
        <v>184.56516999969494</v>
      </c>
      <c r="Q428" s="153" t="s">
        <v>186</v>
      </c>
      <c r="T428" s="130"/>
    </row>
    <row r="429" spans="1:21" ht="10.7" customHeight="1" x14ac:dyDescent="0.2">
      <c r="A429" s="122"/>
      <c r="B429" s="191" t="s">
        <v>241</v>
      </c>
      <c r="C429" s="191"/>
      <c r="D429" s="183"/>
      <c r="E429" s="183"/>
      <c r="F429" s="183"/>
      <c r="G429" s="184"/>
      <c r="H429" s="183"/>
      <c r="I429" s="163"/>
      <c r="J429" s="184"/>
      <c r="K429" s="185"/>
      <c r="L429" s="185"/>
      <c r="M429" s="185"/>
      <c r="N429" s="185"/>
      <c r="O429" s="173"/>
      <c r="P429" s="183"/>
      <c r="Q429" s="182"/>
      <c r="T429" s="130"/>
    </row>
    <row r="430" spans="1:21" ht="10.7" customHeight="1" x14ac:dyDescent="0.2">
      <c r="A430" s="122"/>
      <c r="B430" s="123" t="s">
        <v>114</v>
      </c>
      <c r="C430" s="123"/>
      <c r="J430" s="192"/>
      <c r="T430" s="130"/>
    </row>
    <row r="434" spans="1:20" ht="10.7" customHeight="1" x14ac:dyDescent="0.2">
      <c r="A434" s="122"/>
      <c r="B434" s="123" t="s">
        <v>185</v>
      </c>
      <c r="C434" s="123"/>
      <c r="P434" s="128"/>
      <c r="T434" s="130"/>
    </row>
    <row r="435" spans="1:20" ht="10.7" customHeight="1" x14ac:dyDescent="0.2">
      <c r="A435" s="122"/>
      <c r="B435" s="131" t="s">
        <v>240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43166</v>
      </c>
      <c r="L439" s="151">
        <v>43173</v>
      </c>
      <c r="M439" s="151">
        <v>43180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6"/>
      <c r="C441" s="193" t="s">
        <v>151</v>
      </c>
      <c r="D441" s="193"/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4"/>
      <c r="Q441" s="145"/>
      <c r="T441" s="130"/>
    </row>
    <row r="442" spans="1:20" ht="10.7" customHeight="1" x14ac:dyDescent="0.2">
      <c r="A442" s="122"/>
      <c r="B442" s="161" t="s">
        <v>80</v>
      </c>
      <c r="C442" s="162">
        <v>921.7</v>
      </c>
      <c r="D442" s="163">
        <v>927.6</v>
      </c>
      <c r="E442" s="163">
        <v>5.8999999999999773</v>
      </c>
      <c r="F442" s="163">
        <v>5.8999999999999773</v>
      </c>
      <c r="G442" s="164">
        <v>927.6</v>
      </c>
      <c r="H442" s="163">
        <v>72.306000000000012</v>
      </c>
      <c r="I442" s="165">
        <v>7.7949547218628732</v>
      </c>
      <c r="J442" s="164">
        <v>855.29399999999998</v>
      </c>
      <c r="K442" s="163">
        <v>5.7980000000000018</v>
      </c>
      <c r="L442" s="163">
        <v>8.1539999999999964</v>
      </c>
      <c r="M442" s="163">
        <v>8.0399999999999991</v>
      </c>
      <c r="N442" s="163">
        <v>12.540000000000013</v>
      </c>
      <c r="O442" s="163">
        <v>1.3518758085381644</v>
      </c>
      <c r="P442" s="163">
        <v>8.6330000000000027</v>
      </c>
      <c r="Q442" s="146" t="s">
        <v>186</v>
      </c>
      <c r="T442" s="130"/>
    </row>
    <row r="443" spans="1:20" ht="10.7" customHeight="1" x14ac:dyDescent="0.2">
      <c r="A443" s="122"/>
      <c r="B443" s="161" t="s">
        <v>81</v>
      </c>
      <c r="C443" s="162">
        <v>211.2</v>
      </c>
      <c r="D443" s="163">
        <v>217</v>
      </c>
      <c r="E443" s="163">
        <v>1</v>
      </c>
      <c r="F443" s="163">
        <v>5.8000000000000114</v>
      </c>
      <c r="G443" s="164">
        <v>217</v>
      </c>
      <c r="H443" s="163">
        <v>10.055299999999999</v>
      </c>
      <c r="I443" s="165">
        <v>4.6337788018433175</v>
      </c>
      <c r="J443" s="164">
        <v>206.94470000000001</v>
      </c>
      <c r="K443" s="163">
        <v>0.20740000000000069</v>
      </c>
      <c r="L443" s="163">
        <v>1.6719999999999988</v>
      </c>
      <c r="M443" s="163">
        <v>0.75030000000000108</v>
      </c>
      <c r="N443" s="163">
        <v>1.5234999999999985</v>
      </c>
      <c r="O443" s="163">
        <v>0.70207373271889328</v>
      </c>
      <c r="P443" s="163">
        <v>1.0382999999999998</v>
      </c>
      <c r="Q443" s="146" t="s">
        <v>186</v>
      </c>
      <c r="T443" s="130"/>
    </row>
    <row r="444" spans="1:20" ht="10.7" customHeight="1" x14ac:dyDescent="0.2">
      <c r="A444" s="122"/>
      <c r="B444" s="161" t="s">
        <v>82</v>
      </c>
      <c r="C444" s="162">
        <v>359.5</v>
      </c>
      <c r="D444" s="163">
        <v>384.4</v>
      </c>
      <c r="E444" s="163">
        <v>10</v>
      </c>
      <c r="F444" s="163">
        <v>24.899999999999977</v>
      </c>
      <c r="G444" s="164">
        <v>384.4</v>
      </c>
      <c r="H444" s="163">
        <v>25.899000000000001</v>
      </c>
      <c r="I444" s="165">
        <v>6.7375130072840799</v>
      </c>
      <c r="J444" s="164">
        <v>358.50099999999998</v>
      </c>
      <c r="K444" s="163">
        <v>0.79800000000000004</v>
      </c>
      <c r="L444" s="163">
        <v>2.0749999999999993</v>
      </c>
      <c r="M444" s="163">
        <v>7.6660000000000004</v>
      </c>
      <c r="N444" s="163">
        <v>4.3500000000000014</v>
      </c>
      <c r="O444" s="163">
        <v>1.1316337148803333</v>
      </c>
      <c r="P444" s="163">
        <v>3.7222500000000003</v>
      </c>
      <c r="Q444" s="146" t="s">
        <v>186</v>
      </c>
      <c r="T444" s="130"/>
    </row>
    <row r="445" spans="1:20" ht="10.7" customHeight="1" x14ac:dyDescent="0.2">
      <c r="A445" s="122"/>
      <c r="B445" s="161" t="s">
        <v>83</v>
      </c>
      <c r="C445" s="162">
        <v>546.5</v>
      </c>
      <c r="D445" s="163">
        <v>555</v>
      </c>
      <c r="E445" s="163">
        <v>8.5</v>
      </c>
      <c r="F445" s="163">
        <v>8.5</v>
      </c>
      <c r="G445" s="164">
        <v>555</v>
      </c>
      <c r="H445" s="163">
        <v>97.725999999999999</v>
      </c>
      <c r="I445" s="165">
        <v>17.608288288288289</v>
      </c>
      <c r="J445" s="164">
        <v>457.274</v>
      </c>
      <c r="K445" s="163">
        <v>11.376000000000005</v>
      </c>
      <c r="L445" s="163">
        <v>13.768000000000001</v>
      </c>
      <c r="M445" s="163">
        <v>13.435000000000002</v>
      </c>
      <c r="N445" s="163">
        <v>7.3619999999999948</v>
      </c>
      <c r="O445" s="163">
        <v>1.3264864864864856</v>
      </c>
      <c r="P445" s="163">
        <v>11.485250000000001</v>
      </c>
      <c r="Q445" s="146">
        <v>37.814022332992316</v>
      </c>
      <c r="T445" s="130"/>
    </row>
    <row r="446" spans="1:20" ht="10.7" customHeight="1" x14ac:dyDescent="0.2">
      <c r="A446" s="122"/>
      <c r="B446" s="161" t="s">
        <v>84</v>
      </c>
      <c r="C446" s="162">
        <v>6.9</v>
      </c>
      <c r="D446" s="163">
        <v>6.9</v>
      </c>
      <c r="E446" s="163">
        <v>0</v>
      </c>
      <c r="F446" s="163">
        <v>0</v>
      </c>
      <c r="G446" s="164">
        <v>6.9</v>
      </c>
      <c r="H446" s="163">
        <v>2.1419999999999999</v>
      </c>
      <c r="I446" s="165">
        <v>31.043478260869563</v>
      </c>
      <c r="J446" s="164">
        <v>4.7580000000000009</v>
      </c>
      <c r="K446" s="163">
        <v>0</v>
      </c>
      <c r="L446" s="163">
        <v>4.2999999999999983E-2</v>
      </c>
      <c r="M446" s="163">
        <v>1.8649999999999998</v>
      </c>
      <c r="N446" s="163">
        <v>3.2000000000000028E-2</v>
      </c>
      <c r="O446" s="163">
        <v>0.46376811594202938</v>
      </c>
      <c r="P446" s="163">
        <v>0.48499999999999993</v>
      </c>
      <c r="Q446" s="146">
        <v>7.8103092783505179</v>
      </c>
      <c r="T446" s="130"/>
    </row>
    <row r="447" spans="1:20" ht="10.7" customHeight="1" x14ac:dyDescent="0.2">
      <c r="A447" s="122"/>
      <c r="B447" s="161" t="s">
        <v>85</v>
      </c>
      <c r="C447" s="162">
        <v>4.7</v>
      </c>
      <c r="D447" s="163">
        <v>4.7</v>
      </c>
      <c r="E447" s="163">
        <v>0</v>
      </c>
      <c r="F447" s="163">
        <v>0</v>
      </c>
      <c r="G447" s="164">
        <v>4.7</v>
      </c>
      <c r="H447" s="163">
        <v>0.91100000000000003</v>
      </c>
      <c r="I447" s="165">
        <v>19.382978723404257</v>
      </c>
      <c r="J447" s="164">
        <v>3.7890000000000001</v>
      </c>
      <c r="K447" s="163">
        <v>0</v>
      </c>
      <c r="L447" s="163">
        <v>0</v>
      </c>
      <c r="M447" s="163">
        <v>0</v>
      </c>
      <c r="N447" s="163">
        <v>0</v>
      </c>
      <c r="O447" s="163">
        <v>0</v>
      </c>
      <c r="P447" s="163">
        <v>0</v>
      </c>
      <c r="Q447" s="146" t="s">
        <v>186</v>
      </c>
      <c r="T447" s="130"/>
    </row>
    <row r="448" spans="1:20" ht="10.7" customHeight="1" x14ac:dyDescent="0.2">
      <c r="A448" s="122"/>
      <c r="B448" s="161" t="s">
        <v>86</v>
      </c>
      <c r="C448" s="162">
        <v>40.1</v>
      </c>
      <c r="D448" s="163">
        <v>36.800000000000004</v>
      </c>
      <c r="E448" s="163">
        <v>0</v>
      </c>
      <c r="F448" s="163">
        <v>-3.2999999999999972</v>
      </c>
      <c r="G448" s="164">
        <v>36.800000000000004</v>
      </c>
      <c r="H448" s="163">
        <v>2.6019999999999999</v>
      </c>
      <c r="I448" s="165">
        <v>7.0706521739130421</v>
      </c>
      <c r="J448" s="164">
        <v>34.198000000000008</v>
      </c>
      <c r="K448" s="163">
        <v>0</v>
      </c>
      <c r="L448" s="163">
        <v>0</v>
      </c>
      <c r="M448" s="163">
        <v>0.54899999999999993</v>
      </c>
      <c r="N448" s="163">
        <v>0</v>
      </c>
      <c r="O448" s="163">
        <v>0</v>
      </c>
      <c r="P448" s="163">
        <v>0.13724999999999998</v>
      </c>
      <c r="Q448" s="146" t="s">
        <v>186</v>
      </c>
      <c r="T448" s="130"/>
    </row>
    <row r="449" spans="1:20" ht="10.7" customHeight="1" x14ac:dyDescent="0.2">
      <c r="A449" s="122"/>
      <c r="B449" s="161" t="s">
        <v>87</v>
      </c>
      <c r="C449" s="162">
        <v>8</v>
      </c>
      <c r="D449" s="163">
        <v>8</v>
      </c>
      <c r="E449" s="163">
        <v>0</v>
      </c>
      <c r="F449" s="163">
        <v>0</v>
      </c>
      <c r="G449" s="164">
        <v>8</v>
      </c>
      <c r="H449" s="163">
        <v>0.42399999999999999</v>
      </c>
      <c r="I449" s="165">
        <v>5.3</v>
      </c>
      <c r="J449" s="164">
        <v>7.5759999999999996</v>
      </c>
      <c r="K449" s="163">
        <v>0</v>
      </c>
      <c r="L449" s="163">
        <v>0</v>
      </c>
      <c r="M449" s="163">
        <v>0.10599999999999998</v>
      </c>
      <c r="N449" s="163">
        <v>0</v>
      </c>
      <c r="O449" s="163">
        <v>0</v>
      </c>
      <c r="P449" s="163">
        <v>2.6499999999999996E-2</v>
      </c>
      <c r="Q449" s="146" t="s">
        <v>186</v>
      </c>
      <c r="T449" s="130"/>
    </row>
    <row r="450" spans="1:20" ht="10.7" customHeight="1" x14ac:dyDescent="0.2">
      <c r="A450" s="122"/>
      <c r="B450" s="161" t="s">
        <v>88</v>
      </c>
      <c r="C450" s="162">
        <v>0</v>
      </c>
      <c r="D450" s="163">
        <v>0</v>
      </c>
      <c r="E450" s="163">
        <v>0</v>
      </c>
      <c r="F450" s="163">
        <v>0</v>
      </c>
      <c r="G450" s="164">
        <v>0</v>
      </c>
      <c r="H450" s="163">
        <v>0</v>
      </c>
      <c r="I450" s="165" t="s">
        <v>119</v>
      </c>
      <c r="J450" s="164">
        <v>0</v>
      </c>
      <c r="K450" s="163">
        <v>0</v>
      </c>
      <c r="L450" s="163">
        <v>0</v>
      </c>
      <c r="M450" s="163">
        <v>0</v>
      </c>
      <c r="N450" s="163">
        <v>0</v>
      </c>
      <c r="O450" s="163" t="s">
        <v>42</v>
      </c>
      <c r="P450" s="163">
        <v>0</v>
      </c>
      <c r="Q450" s="146" t="s">
        <v>162</v>
      </c>
      <c r="T450" s="130"/>
    </row>
    <row r="451" spans="1:20" ht="10.7" customHeight="1" x14ac:dyDescent="0.2">
      <c r="A451" s="122"/>
      <c r="B451" s="161" t="s">
        <v>89</v>
      </c>
      <c r="C451" s="162">
        <v>107.7</v>
      </c>
      <c r="D451" s="197">
        <v>97.600000000000009</v>
      </c>
      <c r="E451" s="163">
        <v>0</v>
      </c>
      <c r="F451" s="163">
        <v>-10.099999999999994</v>
      </c>
      <c r="G451" s="164">
        <v>97.600000000000009</v>
      </c>
      <c r="H451" s="163">
        <v>1.198</v>
      </c>
      <c r="I451" s="165">
        <v>1.2274590163934425</v>
      </c>
      <c r="J451" s="164">
        <v>96.402000000000015</v>
      </c>
      <c r="K451" s="163">
        <v>1.6E-2</v>
      </c>
      <c r="L451" s="163">
        <v>1.100000000000001E-2</v>
      </c>
      <c r="M451" s="163">
        <v>0</v>
      </c>
      <c r="N451" s="163">
        <v>1.06</v>
      </c>
      <c r="O451" s="163">
        <v>1.0860655737704918</v>
      </c>
      <c r="P451" s="163">
        <v>0.27174999999999999</v>
      </c>
      <c r="Q451" s="146" t="s">
        <v>186</v>
      </c>
      <c r="T451" s="130"/>
    </row>
    <row r="452" spans="1:20" ht="10.7" customHeight="1" x14ac:dyDescent="0.2">
      <c r="A452" s="122"/>
      <c r="B452" s="168" t="s">
        <v>91</v>
      </c>
      <c r="C452" s="162">
        <v>2206.2999999999997</v>
      </c>
      <c r="D452" s="163">
        <v>2238</v>
      </c>
      <c r="E452" s="163">
        <v>25.399999999999977</v>
      </c>
      <c r="F452" s="163">
        <v>31.700000000000273</v>
      </c>
      <c r="G452" s="164">
        <v>2238</v>
      </c>
      <c r="H452" s="163">
        <v>213.26330000000004</v>
      </c>
      <c r="I452" s="165">
        <v>9.52919124218052</v>
      </c>
      <c r="J452" s="164">
        <v>2024.7367000000002</v>
      </c>
      <c r="K452" s="163">
        <v>18.195400000000006</v>
      </c>
      <c r="L452" s="163">
        <v>25.722999999999995</v>
      </c>
      <c r="M452" s="163">
        <v>32.411300000000004</v>
      </c>
      <c r="N452" s="163">
        <v>26.867500000000007</v>
      </c>
      <c r="O452" s="163">
        <v>1.2005138516532621</v>
      </c>
      <c r="P452" s="169">
        <v>25.799300000000006</v>
      </c>
      <c r="Q452" s="146" t="s">
        <v>186</v>
      </c>
      <c r="T452" s="130"/>
    </row>
    <row r="453" spans="1:20" ht="10.7" customHeight="1" x14ac:dyDescent="0.2">
      <c r="A453" s="122"/>
      <c r="B453" s="168"/>
      <c r="D453" s="163"/>
      <c r="E453" s="163"/>
      <c r="F453" s="163"/>
      <c r="G453" s="164"/>
      <c r="H453" s="163"/>
      <c r="I453" s="165"/>
      <c r="J453" s="164"/>
      <c r="K453" s="163"/>
      <c r="L453" s="163"/>
      <c r="M453" s="163"/>
      <c r="N453" s="163"/>
      <c r="O453" s="163"/>
      <c r="P453" s="163"/>
      <c r="Q453" s="146"/>
      <c r="T453" s="130"/>
    </row>
    <row r="454" spans="1:20" ht="10.7" customHeight="1" x14ac:dyDescent="0.2">
      <c r="A454" s="122"/>
      <c r="B454" s="161" t="s">
        <v>92</v>
      </c>
      <c r="C454" s="162">
        <v>60.7</v>
      </c>
      <c r="D454" s="163">
        <v>70.7</v>
      </c>
      <c r="E454" s="163">
        <v>-1</v>
      </c>
      <c r="F454" s="163">
        <v>10</v>
      </c>
      <c r="G454" s="164">
        <v>70.7</v>
      </c>
      <c r="H454" s="163">
        <v>4.5469999999999997</v>
      </c>
      <c r="I454" s="165">
        <v>6.4314002828854306</v>
      </c>
      <c r="J454" s="164">
        <v>66.153000000000006</v>
      </c>
      <c r="K454" s="163">
        <v>0.18099999999999994</v>
      </c>
      <c r="L454" s="163">
        <v>3.1270000000000002</v>
      </c>
      <c r="M454" s="163">
        <v>0.14400000000000013</v>
      </c>
      <c r="N454" s="163">
        <v>0.28299999999999947</v>
      </c>
      <c r="O454" s="163">
        <v>0.40028288543139956</v>
      </c>
      <c r="P454" s="163">
        <v>0.93374999999999997</v>
      </c>
      <c r="Q454" s="146" t="s">
        <v>186</v>
      </c>
      <c r="T454" s="130"/>
    </row>
    <row r="455" spans="1:20" ht="10.7" customHeight="1" x14ac:dyDescent="0.2">
      <c r="A455" s="122"/>
      <c r="B455" s="161" t="s">
        <v>93</v>
      </c>
      <c r="C455" s="162">
        <v>198.4</v>
      </c>
      <c r="D455" s="163">
        <v>176</v>
      </c>
      <c r="E455" s="163">
        <v>-10</v>
      </c>
      <c r="F455" s="163">
        <v>-22.400000000000006</v>
      </c>
      <c r="G455" s="164">
        <v>176</v>
      </c>
      <c r="H455" s="163">
        <v>18.1554</v>
      </c>
      <c r="I455" s="165">
        <v>10.315568181818181</v>
      </c>
      <c r="J455" s="164">
        <v>157.84460000000001</v>
      </c>
      <c r="K455" s="163">
        <v>1.1690000000000005</v>
      </c>
      <c r="L455" s="163">
        <v>2.6058000000000003</v>
      </c>
      <c r="M455" s="163">
        <v>1.7088000000000001</v>
      </c>
      <c r="N455" s="163">
        <v>3.1438000000000006</v>
      </c>
      <c r="O455" s="163">
        <v>1.7862500000000003</v>
      </c>
      <c r="P455" s="163">
        <v>2.1568500000000004</v>
      </c>
      <c r="Q455" s="146" t="s">
        <v>186</v>
      </c>
      <c r="T455" s="130"/>
    </row>
    <row r="456" spans="1:20" ht="10.7" hidden="1" customHeight="1" x14ac:dyDescent="0.2">
      <c r="A456" s="122"/>
      <c r="B456" s="161" t="s">
        <v>94</v>
      </c>
      <c r="C456" s="162">
        <v>0</v>
      </c>
      <c r="D456" s="163">
        <v>0</v>
      </c>
      <c r="E456" s="163">
        <v>0</v>
      </c>
      <c r="F456" s="163">
        <v>0</v>
      </c>
      <c r="G456" s="164">
        <v>0</v>
      </c>
      <c r="H456" s="163">
        <v>0</v>
      </c>
      <c r="I456" s="165" t="s">
        <v>119</v>
      </c>
      <c r="J456" s="164">
        <v>0</v>
      </c>
      <c r="K456" s="163">
        <v>0</v>
      </c>
      <c r="L456" s="163">
        <v>0</v>
      </c>
      <c r="M456" s="163">
        <v>0</v>
      </c>
      <c r="N456" s="163">
        <v>0</v>
      </c>
      <c r="O456" s="163" t="s">
        <v>42</v>
      </c>
      <c r="P456" s="163">
        <v>0</v>
      </c>
      <c r="Q456" s="146">
        <v>0</v>
      </c>
      <c r="T456" s="130"/>
    </row>
    <row r="457" spans="1:20" ht="10.7" customHeight="1" x14ac:dyDescent="0.2">
      <c r="A457" s="188"/>
      <c r="B457" s="161" t="s">
        <v>95</v>
      </c>
      <c r="C457" s="162">
        <v>9</v>
      </c>
      <c r="D457" s="163">
        <v>9</v>
      </c>
      <c r="E457" s="163">
        <v>0</v>
      </c>
      <c r="F457" s="163">
        <v>0</v>
      </c>
      <c r="G457" s="164">
        <v>9</v>
      </c>
      <c r="H457" s="163">
        <v>3.0598000000000001</v>
      </c>
      <c r="I457" s="165">
        <v>33.997777777777777</v>
      </c>
      <c r="J457" s="164">
        <v>5.9401999999999999</v>
      </c>
      <c r="K457" s="163">
        <v>0.64599999999999991</v>
      </c>
      <c r="L457" s="163">
        <v>0</v>
      </c>
      <c r="M457" s="163">
        <v>0.29150000000000009</v>
      </c>
      <c r="N457" s="163">
        <v>0.57960000000000012</v>
      </c>
      <c r="O457" s="163">
        <v>6.4400000000000013</v>
      </c>
      <c r="P457" s="163">
        <v>0.37927500000000003</v>
      </c>
      <c r="Q457" s="146">
        <v>13.66198668512293</v>
      </c>
      <c r="T457" s="130"/>
    </row>
    <row r="458" spans="1:20" ht="10.7" customHeight="1" x14ac:dyDescent="0.2">
      <c r="A458" s="122"/>
      <c r="B458" s="161" t="s">
        <v>96</v>
      </c>
      <c r="C458" s="162">
        <v>34.299999999999997</v>
      </c>
      <c r="D458" s="163">
        <v>23.999999999999996</v>
      </c>
      <c r="E458" s="163">
        <v>-9.4000000000000021</v>
      </c>
      <c r="F458" s="163">
        <v>-10.3</v>
      </c>
      <c r="G458" s="164">
        <v>23.999999999999996</v>
      </c>
      <c r="H458" s="163">
        <v>5.4454000000000002</v>
      </c>
      <c r="I458" s="165">
        <v>22.689166666666672</v>
      </c>
      <c r="J458" s="164">
        <v>18.554599999999997</v>
      </c>
      <c r="K458" s="163">
        <v>0.1301000000000001</v>
      </c>
      <c r="L458" s="163">
        <v>1.0609999999999999</v>
      </c>
      <c r="M458" s="163">
        <v>0.41559999999999997</v>
      </c>
      <c r="N458" s="163">
        <v>2.1821000000000002</v>
      </c>
      <c r="O458" s="163">
        <v>9.0920833333333348</v>
      </c>
      <c r="P458" s="163">
        <v>0.94720000000000004</v>
      </c>
      <c r="Q458" s="146">
        <v>17.588893581081077</v>
      </c>
      <c r="T458" s="130"/>
    </row>
    <row r="459" spans="1:20" ht="10.7" customHeight="1" x14ac:dyDescent="0.2">
      <c r="A459" s="122"/>
      <c r="B459" s="161" t="s">
        <v>97</v>
      </c>
      <c r="C459" s="162">
        <v>66.8</v>
      </c>
      <c r="D459" s="163">
        <v>66.8</v>
      </c>
      <c r="E459" s="163">
        <v>0</v>
      </c>
      <c r="F459" s="163">
        <v>0</v>
      </c>
      <c r="G459" s="164">
        <v>66.8</v>
      </c>
      <c r="H459" s="163">
        <v>0</v>
      </c>
      <c r="I459" s="165">
        <v>0</v>
      </c>
      <c r="J459" s="164">
        <v>66.8</v>
      </c>
      <c r="K459" s="163">
        <v>0</v>
      </c>
      <c r="L459" s="163">
        <v>0</v>
      </c>
      <c r="M459" s="163">
        <v>0</v>
      </c>
      <c r="N459" s="163">
        <v>0</v>
      </c>
      <c r="O459" s="163">
        <v>0</v>
      </c>
      <c r="P459" s="163">
        <v>0</v>
      </c>
      <c r="Q459" s="146" t="s">
        <v>186</v>
      </c>
      <c r="T459" s="130"/>
    </row>
    <row r="460" spans="1:20" ht="10.7" customHeight="1" x14ac:dyDescent="0.2">
      <c r="A460" s="122"/>
      <c r="B460" s="161" t="s">
        <v>98</v>
      </c>
      <c r="C460" s="162">
        <v>99.7</v>
      </c>
      <c r="D460" s="163">
        <v>69.7</v>
      </c>
      <c r="E460" s="163">
        <v>-5</v>
      </c>
      <c r="F460" s="163">
        <v>-30</v>
      </c>
      <c r="G460" s="164">
        <v>69.7</v>
      </c>
      <c r="H460" s="163">
        <v>1.4262000000000001</v>
      </c>
      <c r="I460" s="165">
        <v>2.0461979913916788</v>
      </c>
      <c r="J460" s="164">
        <v>68.273800000000008</v>
      </c>
      <c r="K460" s="163">
        <v>0</v>
      </c>
      <c r="L460" s="163">
        <v>0.127</v>
      </c>
      <c r="M460" s="163">
        <v>9.3999999999999972E-2</v>
      </c>
      <c r="N460" s="163">
        <v>0.42370000000000019</v>
      </c>
      <c r="O460" s="163">
        <v>0.60789096126255404</v>
      </c>
      <c r="P460" s="163">
        <v>0.16117500000000004</v>
      </c>
      <c r="Q460" s="146" t="s">
        <v>186</v>
      </c>
      <c r="T460" s="130"/>
    </row>
    <row r="461" spans="1:20" ht="10.7" customHeight="1" x14ac:dyDescent="0.2">
      <c r="A461" s="122"/>
      <c r="B461" s="161" t="s">
        <v>99</v>
      </c>
      <c r="C461" s="162">
        <v>7.3</v>
      </c>
      <c r="D461" s="163">
        <v>7.3</v>
      </c>
      <c r="E461" s="163">
        <v>0</v>
      </c>
      <c r="F461" s="163">
        <v>0</v>
      </c>
      <c r="G461" s="164">
        <v>7.3</v>
      </c>
      <c r="H461" s="163">
        <v>0</v>
      </c>
      <c r="I461" s="165">
        <v>0</v>
      </c>
      <c r="J461" s="164">
        <v>7.3</v>
      </c>
      <c r="K461" s="163">
        <v>0</v>
      </c>
      <c r="L461" s="163">
        <v>0</v>
      </c>
      <c r="M461" s="163">
        <v>0</v>
      </c>
      <c r="N461" s="163">
        <v>0</v>
      </c>
      <c r="O461" s="163">
        <v>0</v>
      </c>
      <c r="P461" s="163">
        <v>0</v>
      </c>
      <c r="Q461" s="146" t="s">
        <v>186</v>
      </c>
      <c r="T461" s="130"/>
    </row>
    <row r="462" spans="1:20" ht="10.7" customHeight="1" x14ac:dyDescent="0.2">
      <c r="A462" s="122"/>
      <c r="B462" s="161" t="s">
        <v>100</v>
      </c>
      <c r="C462" s="162">
        <v>8.1</v>
      </c>
      <c r="D462" s="163">
        <v>8.1</v>
      </c>
      <c r="E462" s="163">
        <v>0</v>
      </c>
      <c r="F462" s="163">
        <v>0</v>
      </c>
      <c r="G462" s="164">
        <v>8.1</v>
      </c>
      <c r="H462" s="163">
        <v>0</v>
      </c>
      <c r="I462" s="165">
        <v>0</v>
      </c>
      <c r="J462" s="164">
        <v>8.1</v>
      </c>
      <c r="K462" s="163">
        <v>0</v>
      </c>
      <c r="L462" s="163">
        <v>0</v>
      </c>
      <c r="M462" s="163">
        <v>0</v>
      </c>
      <c r="N462" s="163">
        <v>0</v>
      </c>
      <c r="O462" s="163">
        <v>0</v>
      </c>
      <c r="P462" s="163">
        <v>0</v>
      </c>
      <c r="Q462" s="146" t="s">
        <v>186</v>
      </c>
      <c r="T462" s="130"/>
    </row>
    <row r="463" spans="1:20" ht="10.7" customHeight="1" x14ac:dyDescent="0.2">
      <c r="A463" s="122"/>
      <c r="B463" s="161" t="s">
        <v>101</v>
      </c>
      <c r="C463" s="162">
        <v>8.4</v>
      </c>
      <c r="D463" s="163">
        <v>8.4</v>
      </c>
      <c r="E463" s="163">
        <v>0</v>
      </c>
      <c r="F463" s="163">
        <v>0</v>
      </c>
      <c r="G463" s="164">
        <v>8.4</v>
      </c>
      <c r="H463" s="163">
        <v>0</v>
      </c>
      <c r="I463" s="165">
        <v>0</v>
      </c>
      <c r="J463" s="164">
        <v>8.4</v>
      </c>
      <c r="K463" s="163">
        <v>0</v>
      </c>
      <c r="L463" s="163">
        <v>0</v>
      </c>
      <c r="M463" s="163">
        <v>0</v>
      </c>
      <c r="N463" s="163">
        <v>0</v>
      </c>
      <c r="O463" s="163">
        <v>0</v>
      </c>
      <c r="P463" s="163">
        <v>0</v>
      </c>
      <c r="Q463" s="146" t="s">
        <v>186</v>
      </c>
      <c r="T463" s="130"/>
    </row>
    <row r="464" spans="1:20" ht="10.7" customHeight="1" x14ac:dyDescent="0.2">
      <c r="A464" s="122"/>
      <c r="B464" s="161" t="s">
        <v>102</v>
      </c>
      <c r="C464" s="162">
        <v>0</v>
      </c>
      <c r="D464" s="163">
        <v>0</v>
      </c>
      <c r="E464" s="163">
        <v>0</v>
      </c>
      <c r="F464" s="163">
        <v>0</v>
      </c>
      <c r="G464" s="164">
        <v>0</v>
      </c>
      <c r="H464" s="163">
        <v>0</v>
      </c>
      <c r="I464" s="165" t="s">
        <v>119</v>
      </c>
      <c r="J464" s="164">
        <v>0</v>
      </c>
      <c r="K464" s="163">
        <v>0</v>
      </c>
      <c r="L464" s="163">
        <v>0</v>
      </c>
      <c r="M464" s="163">
        <v>0</v>
      </c>
      <c r="N464" s="163">
        <v>0</v>
      </c>
      <c r="O464" s="163" t="s">
        <v>42</v>
      </c>
      <c r="P464" s="163">
        <v>0</v>
      </c>
      <c r="Q464" s="146" t="s">
        <v>162</v>
      </c>
      <c r="T464" s="130"/>
    </row>
    <row r="465" spans="1:20" ht="10.7" customHeight="1" x14ac:dyDescent="0.2">
      <c r="A465" s="122"/>
      <c r="B465" s="161" t="s">
        <v>103</v>
      </c>
      <c r="C465" s="162">
        <v>2.2999999999999998</v>
      </c>
      <c r="D465" s="163">
        <v>2.2999999999999998</v>
      </c>
      <c r="E465" s="163">
        <v>0</v>
      </c>
      <c r="F465" s="163">
        <v>0</v>
      </c>
      <c r="G465" s="164">
        <v>2.2999999999999998</v>
      </c>
      <c r="H465" s="163">
        <v>0</v>
      </c>
      <c r="I465" s="165">
        <v>0</v>
      </c>
      <c r="J465" s="164">
        <v>2.2999999999999998</v>
      </c>
      <c r="K465" s="163">
        <v>0</v>
      </c>
      <c r="L465" s="163">
        <v>0</v>
      </c>
      <c r="M465" s="163">
        <v>0</v>
      </c>
      <c r="N465" s="163">
        <v>0</v>
      </c>
      <c r="O465" s="163">
        <v>0</v>
      </c>
      <c r="P465" s="163">
        <v>0</v>
      </c>
      <c r="Q465" s="146" t="s">
        <v>186</v>
      </c>
      <c r="T465" s="130"/>
    </row>
    <row r="466" spans="1:20" ht="10.7" customHeight="1" x14ac:dyDescent="0.2">
      <c r="A466" s="122"/>
      <c r="B466" s="1" t="s">
        <v>104</v>
      </c>
      <c r="C466" s="162">
        <v>1.1000000000000001</v>
      </c>
      <c r="D466" s="163">
        <v>1.1000000000000001</v>
      </c>
      <c r="E466" s="163">
        <v>0</v>
      </c>
      <c r="F466" s="163">
        <v>0</v>
      </c>
      <c r="G466" s="164">
        <v>1.1000000000000001</v>
      </c>
      <c r="H466" s="163">
        <v>0</v>
      </c>
      <c r="I466" s="165">
        <v>0</v>
      </c>
      <c r="J466" s="164">
        <v>1.1000000000000001</v>
      </c>
      <c r="K466" s="163">
        <v>0</v>
      </c>
      <c r="L466" s="163">
        <v>0</v>
      </c>
      <c r="M466" s="163">
        <v>0</v>
      </c>
      <c r="N466" s="163">
        <v>0</v>
      </c>
      <c r="O466" s="163">
        <v>0</v>
      </c>
      <c r="P466" s="163">
        <v>0</v>
      </c>
      <c r="Q466" s="146" t="s">
        <v>186</v>
      </c>
      <c r="T466" s="130"/>
    </row>
    <row r="467" spans="1:20" ht="10.7" customHeight="1" x14ac:dyDescent="0.2">
      <c r="A467" s="122"/>
      <c r="B467" s="168" t="s">
        <v>106</v>
      </c>
      <c r="C467" s="172">
        <v>2702.3999999999996</v>
      </c>
      <c r="D467" s="163">
        <v>2681.4</v>
      </c>
      <c r="E467" s="163">
        <v>0</v>
      </c>
      <c r="F467" s="163">
        <v>-20.999999999999545</v>
      </c>
      <c r="G467" s="164">
        <v>2681.4</v>
      </c>
      <c r="H467" s="163">
        <v>245.89710000000005</v>
      </c>
      <c r="I467" s="165">
        <v>9.1704743790557188</v>
      </c>
      <c r="J467" s="164">
        <v>2435.5029</v>
      </c>
      <c r="K467" s="163">
        <v>20.321499999999986</v>
      </c>
      <c r="L467" s="163">
        <v>32.643800000000027</v>
      </c>
      <c r="M467" s="163">
        <v>35.065200000000004</v>
      </c>
      <c r="N467" s="163">
        <v>33.479700000000037</v>
      </c>
      <c r="O467" s="163">
        <v>1.2485902886551814</v>
      </c>
      <c r="P467" s="163">
        <v>30.377550000000014</v>
      </c>
      <c r="Q467" s="146" t="s">
        <v>186</v>
      </c>
      <c r="T467" s="130"/>
    </row>
    <row r="468" spans="1:20" ht="10.7" customHeight="1" x14ac:dyDescent="0.2">
      <c r="A468" s="122"/>
      <c r="B468" s="168"/>
      <c r="C468" s="162"/>
      <c r="D468" s="163"/>
      <c r="E468" s="163"/>
      <c r="F468" s="163"/>
      <c r="G468" s="164"/>
      <c r="H468" s="163"/>
      <c r="I468" s="165"/>
      <c r="J468" s="164"/>
      <c r="K468" s="163"/>
      <c r="L468" s="163"/>
      <c r="M468" s="163"/>
      <c r="N468" s="163"/>
      <c r="O468" s="163"/>
      <c r="P468" s="163"/>
      <c r="Q468" s="146"/>
      <c r="T468" s="130"/>
    </row>
    <row r="469" spans="1:20" ht="10.7" customHeight="1" x14ac:dyDescent="0.2">
      <c r="A469" s="122"/>
      <c r="B469" s="161" t="s">
        <v>107</v>
      </c>
      <c r="C469" s="162">
        <v>0</v>
      </c>
      <c r="D469" s="163">
        <v>0</v>
      </c>
      <c r="E469" s="163">
        <v>0</v>
      </c>
      <c r="F469" s="163">
        <v>0</v>
      </c>
      <c r="G469" s="164">
        <v>0</v>
      </c>
      <c r="H469" s="163">
        <v>0</v>
      </c>
      <c r="I469" s="165" t="s">
        <v>119</v>
      </c>
      <c r="J469" s="164">
        <v>0</v>
      </c>
      <c r="K469" s="163">
        <v>0</v>
      </c>
      <c r="L469" s="163">
        <v>0</v>
      </c>
      <c r="M469" s="163">
        <v>0</v>
      </c>
      <c r="N469" s="163">
        <v>0</v>
      </c>
      <c r="O469" s="163" t="s">
        <v>42</v>
      </c>
      <c r="P469" s="163">
        <v>0</v>
      </c>
      <c r="Q469" s="146">
        <v>0</v>
      </c>
      <c r="T469" s="130"/>
    </row>
    <row r="470" spans="1:20" ht="10.7" customHeight="1" x14ac:dyDescent="0.2">
      <c r="A470" s="122"/>
      <c r="B470" s="161" t="s">
        <v>108</v>
      </c>
      <c r="C470" s="162">
        <v>0</v>
      </c>
      <c r="D470" s="162">
        <v>0</v>
      </c>
      <c r="E470" s="173">
        <v>0</v>
      </c>
      <c r="F470" s="163">
        <v>0</v>
      </c>
      <c r="G470" s="164">
        <v>0</v>
      </c>
      <c r="H470" s="163">
        <v>0</v>
      </c>
      <c r="I470" s="165" t="s">
        <v>119</v>
      </c>
      <c r="J470" s="164">
        <v>0</v>
      </c>
      <c r="K470" s="163">
        <v>0</v>
      </c>
      <c r="L470" s="163">
        <v>0</v>
      </c>
      <c r="M470" s="163">
        <v>0</v>
      </c>
      <c r="N470" s="163">
        <v>0</v>
      </c>
      <c r="O470" s="163" t="s">
        <v>42</v>
      </c>
      <c r="P470" s="163">
        <v>0</v>
      </c>
      <c r="Q470" s="146" t="s">
        <v>162</v>
      </c>
      <c r="T470" s="130"/>
    </row>
    <row r="471" spans="1:20" ht="10.7" customHeight="1" x14ac:dyDescent="0.2">
      <c r="A471" s="122"/>
      <c r="B471" s="174" t="s">
        <v>109</v>
      </c>
      <c r="C471" s="162">
        <v>1.9000000000000001</v>
      </c>
      <c r="D471" s="162">
        <v>2.9000000000000004</v>
      </c>
      <c r="E471" s="173">
        <v>0</v>
      </c>
      <c r="F471" s="163">
        <v>1.0000000000000002</v>
      </c>
      <c r="G471" s="164">
        <v>2.9000000000000004</v>
      </c>
      <c r="H471" s="163">
        <v>0</v>
      </c>
      <c r="I471" s="165">
        <v>0</v>
      </c>
      <c r="J471" s="164">
        <v>2.9000000000000004</v>
      </c>
      <c r="K471" s="163">
        <v>0</v>
      </c>
      <c r="L471" s="163">
        <v>0</v>
      </c>
      <c r="M471" s="163">
        <v>0</v>
      </c>
      <c r="N471" s="163">
        <v>0</v>
      </c>
      <c r="O471" s="163">
        <v>0</v>
      </c>
      <c r="P471" s="163">
        <v>0</v>
      </c>
      <c r="Q471" s="146" t="s">
        <v>186</v>
      </c>
      <c r="T471" s="130"/>
    </row>
    <row r="472" spans="1:20" ht="10.7" customHeight="1" x14ac:dyDescent="0.2">
      <c r="A472" s="122"/>
      <c r="B472" s="174"/>
      <c r="C472" s="162"/>
      <c r="D472" s="163"/>
      <c r="E472" s="163"/>
      <c r="F472" s="163"/>
      <c r="G472" s="164"/>
      <c r="H472" s="163"/>
      <c r="I472" s="165"/>
      <c r="J472" s="164"/>
      <c r="K472" s="163"/>
      <c r="L472" s="163"/>
      <c r="M472" s="163"/>
      <c r="N472" s="163"/>
      <c r="O472" s="163"/>
      <c r="P472" s="163"/>
      <c r="Q472" s="146"/>
      <c r="T472" s="130"/>
    </row>
    <row r="473" spans="1:20" ht="10.7" customHeight="1" x14ac:dyDescent="0.2">
      <c r="A473" s="122"/>
      <c r="B473" s="174" t="s">
        <v>111</v>
      </c>
      <c r="C473" s="162"/>
      <c r="D473" s="163"/>
      <c r="E473" s="163"/>
      <c r="F473" s="163"/>
      <c r="G473" s="164">
        <v>0</v>
      </c>
      <c r="H473" s="163"/>
      <c r="I473" s="165"/>
      <c r="J473" s="164">
        <v>0</v>
      </c>
      <c r="K473" s="163"/>
      <c r="L473" s="163"/>
      <c r="M473" s="163"/>
      <c r="N473" s="163"/>
      <c r="O473" s="163"/>
      <c r="P473" s="169"/>
      <c r="Q473" s="146"/>
      <c r="T473" s="130"/>
    </row>
    <row r="474" spans="1:20" ht="10.7" customHeight="1" x14ac:dyDescent="0.2">
      <c r="A474" s="122"/>
      <c r="B474" s="175" t="s">
        <v>112</v>
      </c>
      <c r="C474" s="176">
        <v>2704.2999999999997</v>
      </c>
      <c r="D474" s="176">
        <v>2684.3</v>
      </c>
      <c r="E474" s="177">
        <v>0</v>
      </c>
      <c r="F474" s="180">
        <v>-19.999999999999545</v>
      </c>
      <c r="G474" s="189">
        <v>2684.3</v>
      </c>
      <c r="H474" s="180">
        <v>245.89710000000005</v>
      </c>
      <c r="I474" s="179">
        <v>9.1605670007078217</v>
      </c>
      <c r="J474" s="189">
        <v>2438.4029</v>
      </c>
      <c r="K474" s="180">
        <v>20.321499999999986</v>
      </c>
      <c r="L474" s="180">
        <v>32.643800000000027</v>
      </c>
      <c r="M474" s="180">
        <v>35.065200000000004</v>
      </c>
      <c r="N474" s="180">
        <v>33.479700000000037</v>
      </c>
      <c r="O474" s="180">
        <v>1.2472413664642563</v>
      </c>
      <c r="P474" s="190">
        <v>30.377550000000014</v>
      </c>
      <c r="Q474" s="153" t="s">
        <v>186</v>
      </c>
      <c r="T474" s="130"/>
    </row>
    <row r="475" spans="1:20" ht="10.7" customHeight="1" x14ac:dyDescent="0.2">
      <c r="A475" s="122"/>
      <c r="B475" s="181"/>
      <c r="C475" s="181"/>
      <c r="D475" s="163"/>
      <c r="E475" s="163"/>
      <c r="F475" s="163"/>
      <c r="G475" s="164"/>
      <c r="H475" s="163"/>
      <c r="I475" s="2"/>
      <c r="J475" s="164"/>
      <c r="K475" s="163"/>
      <c r="L475" s="163"/>
      <c r="M475" s="163"/>
      <c r="N475" s="163"/>
      <c r="O475" s="163"/>
      <c r="P475" s="163"/>
      <c r="Q475" s="182"/>
      <c r="T475" s="130"/>
    </row>
    <row r="476" spans="1:20" ht="10.7" customHeight="1" x14ac:dyDescent="0.2">
      <c r="A476" s="122"/>
      <c r="B476" s="181"/>
      <c r="C476" s="181"/>
      <c r="D476" s="135"/>
      <c r="E476" s="183"/>
      <c r="F476" s="183"/>
      <c r="G476" s="184"/>
      <c r="H476" s="183"/>
      <c r="I476" s="163"/>
      <c r="J476" s="184"/>
      <c r="K476" s="185"/>
      <c r="L476" s="185"/>
      <c r="M476" s="185"/>
      <c r="N476" s="185"/>
      <c r="O476" s="173"/>
      <c r="P476" s="183"/>
      <c r="Q476" s="182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43166</v>
      </c>
      <c r="L479" s="151">
        <v>43173</v>
      </c>
      <c r="M479" s="151">
        <v>43180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6"/>
      <c r="C481" s="193" t="s">
        <v>121</v>
      </c>
      <c r="D481" s="193"/>
      <c r="E481" s="193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4"/>
      <c r="Q481" s="145"/>
      <c r="T481" s="130"/>
    </row>
    <row r="482" spans="1:20" ht="10.7" customHeight="1" x14ac:dyDescent="0.2">
      <c r="A482" s="122"/>
      <c r="B482" s="161" t="s">
        <v>80</v>
      </c>
      <c r="C482" s="162">
        <v>915.9</v>
      </c>
      <c r="D482" s="163">
        <v>919.4</v>
      </c>
      <c r="E482" s="163">
        <v>3.5</v>
      </c>
      <c r="F482" s="163">
        <v>3.5</v>
      </c>
      <c r="G482" s="164">
        <v>919.4</v>
      </c>
      <c r="H482" s="163">
        <v>211.60248000106813</v>
      </c>
      <c r="I482" s="165">
        <v>23.015279530244523</v>
      </c>
      <c r="J482" s="164">
        <v>707.79751999893188</v>
      </c>
      <c r="K482" s="163">
        <v>36.106999999999985</v>
      </c>
      <c r="L482" s="163">
        <v>19.789000000000016</v>
      </c>
      <c r="M482" s="163">
        <v>18.00200000000001</v>
      </c>
      <c r="N482" s="163">
        <v>20.37560000000002</v>
      </c>
      <c r="O482" s="163">
        <v>2.216184468131392</v>
      </c>
      <c r="P482" s="163">
        <v>23.568400000000008</v>
      </c>
      <c r="Q482" s="146">
        <v>28.031632185423348</v>
      </c>
      <c r="T482" s="130"/>
    </row>
    <row r="483" spans="1:20" ht="10.7" customHeight="1" x14ac:dyDescent="0.2">
      <c r="A483" s="122"/>
      <c r="B483" s="161" t="s">
        <v>81</v>
      </c>
      <c r="C483" s="162">
        <v>164.3</v>
      </c>
      <c r="D483" s="163">
        <v>159.20000000000002</v>
      </c>
      <c r="E483" s="163">
        <v>0</v>
      </c>
      <c r="F483" s="163">
        <v>-5.0999999999999943</v>
      </c>
      <c r="G483" s="164">
        <v>159.20000000000002</v>
      </c>
      <c r="H483" s="163">
        <v>7.2160000000000002</v>
      </c>
      <c r="I483" s="165">
        <v>4.532663316582914</v>
      </c>
      <c r="J483" s="164">
        <v>151.98400000000001</v>
      </c>
      <c r="K483" s="163">
        <v>4.2000000000000259E-2</v>
      </c>
      <c r="L483" s="163">
        <v>1.1829999999999998</v>
      </c>
      <c r="M483" s="163">
        <v>1.5521000000000003</v>
      </c>
      <c r="N483" s="163">
        <v>0.81530000000000014</v>
      </c>
      <c r="O483" s="163">
        <v>0.51212311557788948</v>
      </c>
      <c r="P483" s="163">
        <v>0.89810000000000012</v>
      </c>
      <c r="Q483" s="146" t="s">
        <v>186</v>
      </c>
      <c r="T483" s="130"/>
    </row>
    <row r="484" spans="1:20" ht="10.7" customHeight="1" x14ac:dyDescent="0.2">
      <c r="A484" s="122"/>
      <c r="B484" s="161" t="s">
        <v>82</v>
      </c>
      <c r="C484" s="162">
        <v>250.6</v>
      </c>
      <c r="D484" s="163">
        <v>250.6</v>
      </c>
      <c r="E484" s="163">
        <v>0</v>
      </c>
      <c r="F484" s="163">
        <v>0</v>
      </c>
      <c r="G484" s="164">
        <v>250.6</v>
      </c>
      <c r="H484" s="163">
        <v>27.445</v>
      </c>
      <c r="I484" s="165">
        <v>10.95171588188348</v>
      </c>
      <c r="J484" s="164">
        <v>223.155</v>
      </c>
      <c r="K484" s="163">
        <v>3.8939999999999984</v>
      </c>
      <c r="L484" s="163">
        <v>2.0100000000000016</v>
      </c>
      <c r="M484" s="163">
        <v>1.9750000000000014</v>
      </c>
      <c r="N484" s="163">
        <v>2.0919999999999987</v>
      </c>
      <c r="O484" s="163">
        <v>0.83479648842777288</v>
      </c>
      <c r="P484" s="163">
        <v>2.49275</v>
      </c>
      <c r="Q484" s="146" t="s">
        <v>186</v>
      </c>
      <c r="T484" s="130"/>
    </row>
    <row r="485" spans="1:20" ht="10.7" customHeight="1" x14ac:dyDescent="0.2">
      <c r="A485" s="122"/>
      <c r="B485" s="161" t="s">
        <v>83</v>
      </c>
      <c r="C485" s="162">
        <v>521.4</v>
      </c>
      <c r="D485" s="163">
        <v>521.4</v>
      </c>
      <c r="E485" s="163">
        <v>0</v>
      </c>
      <c r="F485" s="163">
        <v>0</v>
      </c>
      <c r="G485" s="164">
        <v>521.4</v>
      </c>
      <c r="H485" s="163">
        <v>30.286999999999999</v>
      </c>
      <c r="I485" s="165">
        <v>5.8087840429612578</v>
      </c>
      <c r="J485" s="164">
        <v>491.113</v>
      </c>
      <c r="K485" s="163">
        <v>2.2739999999999974</v>
      </c>
      <c r="L485" s="163">
        <v>2.0150000000000023</v>
      </c>
      <c r="M485" s="163">
        <v>2.9019999999999975</v>
      </c>
      <c r="N485" s="163">
        <v>1.4420000000000002</v>
      </c>
      <c r="O485" s="163">
        <v>0.27656309934790951</v>
      </c>
      <c r="P485" s="163">
        <v>2.1582499999999993</v>
      </c>
      <c r="Q485" s="146" t="s">
        <v>186</v>
      </c>
      <c r="T485" s="130"/>
    </row>
    <row r="486" spans="1:20" ht="10.7" customHeight="1" x14ac:dyDescent="0.2">
      <c r="A486" s="122"/>
      <c r="B486" s="161" t="s">
        <v>84</v>
      </c>
      <c r="C486" s="162">
        <v>166.1</v>
      </c>
      <c r="D486" s="163">
        <v>166.1</v>
      </c>
      <c r="E486" s="163">
        <v>0</v>
      </c>
      <c r="F486" s="163">
        <v>0</v>
      </c>
      <c r="G486" s="164">
        <v>166.1</v>
      </c>
      <c r="H486" s="163">
        <v>14.852549998474121</v>
      </c>
      <c r="I486" s="165">
        <v>8.9419325698218675</v>
      </c>
      <c r="J486" s="164">
        <v>151.24745000152586</v>
      </c>
      <c r="K486" s="163">
        <v>2.3098000000000019</v>
      </c>
      <c r="L486" s="163">
        <v>2.0964299991607653</v>
      </c>
      <c r="M486" s="163">
        <v>2.0519299991607642</v>
      </c>
      <c r="N486" s="163">
        <v>1.7138900001525901</v>
      </c>
      <c r="O486" s="163">
        <v>1.0318422637884346</v>
      </c>
      <c r="P486" s="163">
        <v>2.0430124996185306</v>
      </c>
      <c r="Q486" s="146" t="s">
        <v>186</v>
      </c>
      <c r="T486" s="130"/>
    </row>
    <row r="487" spans="1:20" ht="10.7" customHeight="1" x14ac:dyDescent="0.2">
      <c r="A487" s="122"/>
      <c r="B487" s="161" t="s">
        <v>85</v>
      </c>
      <c r="C487" s="162">
        <v>45</v>
      </c>
      <c r="D487" s="163">
        <v>33.4</v>
      </c>
      <c r="E487" s="163">
        <v>0</v>
      </c>
      <c r="F487" s="163">
        <v>-11.600000000000001</v>
      </c>
      <c r="G487" s="164">
        <v>33.4</v>
      </c>
      <c r="H487" s="163">
        <v>3.6920000000000002</v>
      </c>
      <c r="I487" s="165">
        <v>11.053892215568863</v>
      </c>
      <c r="J487" s="164">
        <v>29.707999999999998</v>
      </c>
      <c r="K487" s="163">
        <v>1.3890000000000002</v>
      </c>
      <c r="L487" s="163">
        <v>1.2999999999999901E-2</v>
      </c>
      <c r="M487" s="163">
        <v>9.0000000000003411E-3</v>
      </c>
      <c r="N487" s="163">
        <v>0</v>
      </c>
      <c r="O487" s="163">
        <v>0</v>
      </c>
      <c r="P487" s="163">
        <v>0.35275000000000012</v>
      </c>
      <c r="Q487" s="146" t="s">
        <v>186</v>
      </c>
      <c r="T487" s="130"/>
    </row>
    <row r="488" spans="1:20" ht="10.7" customHeight="1" x14ac:dyDescent="0.2">
      <c r="A488" s="122"/>
      <c r="B488" s="161" t="s">
        <v>86</v>
      </c>
      <c r="C488" s="162">
        <v>42.9</v>
      </c>
      <c r="D488" s="163">
        <v>42</v>
      </c>
      <c r="E488" s="163">
        <v>0</v>
      </c>
      <c r="F488" s="163">
        <v>-0.89999999999999858</v>
      </c>
      <c r="G488" s="164">
        <v>42</v>
      </c>
      <c r="H488" s="163">
        <v>2.7720000000000002</v>
      </c>
      <c r="I488" s="165">
        <v>6.6000000000000014</v>
      </c>
      <c r="J488" s="164">
        <v>39.228000000000002</v>
      </c>
      <c r="K488" s="163">
        <v>0</v>
      </c>
      <c r="L488" s="163">
        <v>5.2000000000000095E-2</v>
      </c>
      <c r="M488" s="163">
        <v>0.12100000000000005</v>
      </c>
      <c r="N488" s="163">
        <v>9.5000000000000251E-2</v>
      </c>
      <c r="O488" s="163">
        <v>0.2261904761904768</v>
      </c>
      <c r="P488" s="163">
        <v>6.7000000000000101E-2</v>
      </c>
      <c r="Q488" s="146" t="s">
        <v>186</v>
      </c>
      <c r="T488" s="130"/>
    </row>
    <row r="489" spans="1:20" ht="10.7" customHeight="1" x14ac:dyDescent="0.2">
      <c r="A489" s="122"/>
      <c r="B489" s="161" t="s">
        <v>87</v>
      </c>
      <c r="C489" s="162">
        <v>42.5</v>
      </c>
      <c r="D489" s="163">
        <v>42.5</v>
      </c>
      <c r="E489" s="163">
        <v>0</v>
      </c>
      <c r="F489" s="163">
        <v>0</v>
      </c>
      <c r="G489" s="164">
        <v>42.5</v>
      </c>
      <c r="H489" s="163">
        <v>7.6983999999999995</v>
      </c>
      <c r="I489" s="165">
        <v>18.113882352941175</v>
      </c>
      <c r="J489" s="164">
        <v>34.801600000000001</v>
      </c>
      <c r="K489" s="163">
        <v>2.4849999999999999</v>
      </c>
      <c r="L489" s="163">
        <v>0</v>
      </c>
      <c r="M489" s="163">
        <v>8.5099999999999731E-2</v>
      </c>
      <c r="N489" s="163">
        <v>0.66230000000000011</v>
      </c>
      <c r="O489" s="163">
        <v>1.5583529411764707</v>
      </c>
      <c r="P489" s="163">
        <v>0.80809999999999993</v>
      </c>
      <c r="Q489" s="146">
        <v>41.065957183516893</v>
      </c>
      <c r="T489" s="130"/>
    </row>
    <row r="490" spans="1:20" ht="10.7" customHeight="1" x14ac:dyDescent="0.2">
      <c r="A490" s="122"/>
      <c r="B490" s="161" t="s">
        <v>88</v>
      </c>
      <c r="C490" s="162">
        <v>0</v>
      </c>
      <c r="D490" s="163">
        <v>0</v>
      </c>
      <c r="E490" s="163">
        <v>0</v>
      </c>
      <c r="F490" s="163">
        <v>0</v>
      </c>
      <c r="G490" s="164">
        <v>0</v>
      </c>
      <c r="H490" s="163">
        <v>0</v>
      </c>
      <c r="I490" s="165" t="s">
        <v>119</v>
      </c>
      <c r="J490" s="164">
        <v>0</v>
      </c>
      <c r="K490" s="163">
        <v>0</v>
      </c>
      <c r="L490" s="163">
        <v>0</v>
      </c>
      <c r="M490" s="163">
        <v>0</v>
      </c>
      <c r="N490" s="163">
        <v>0</v>
      </c>
      <c r="O490" s="163" t="s">
        <v>42</v>
      </c>
      <c r="P490" s="163">
        <v>0</v>
      </c>
      <c r="Q490" s="146" t="s">
        <v>162</v>
      </c>
      <c r="T490" s="130"/>
    </row>
    <row r="491" spans="1:20" ht="10.7" customHeight="1" x14ac:dyDescent="0.2">
      <c r="A491" s="122"/>
      <c r="B491" s="161" t="s">
        <v>89</v>
      </c>
      <c r="C491" s="162">
        <v>85.9</v>
      </c>
      <c r="D491" s="163">
        <v>65.400000000000006</v>
      </c>
      <c r="E491" s="163">
        <v>0</v>
      </c>
      <c r="F491" s="163">
        <v>-20.5</v>
      </c>
      <c r="G491" s="164">
        <v>65.400000000000006</v>
      </c>
      <c r="H491" s="163">
        <v>0.86899999999999999</v>
      </c>
      <c r="I491" s="165">
        <v>1.3287461773700306</v>
      </c>
      <c r="J491" s="164">
        <v>64.531000000000006</v>
      </c>
      <c r="K491" s="163">
        <v>0</v>
      </c>
      <c r="L491" s="163">
        <v>0</v>
      </c>
      <c r="M491" s="163">
        <v>0</v>
      </c>
      <c r="N491" s="163">
        <v>0</v>
      </c>
      <c r="O491" s="163">
        <v>0</v>
      </c>
      <c r="P491" s="163">
        <v>0</v>
      </c>
      <c r="Q491" s="146" t="s">
        <v>186</v>
      </c>
      <c r="T491" s="130"/>
    </row>
    <row r="492" spans="1:20" ht="10.7" customHeight="1" x14ac:dyDescent="0.2">
      <c r="A492" s="122"/>
      <c r="B492" s="168" t="s">
        <v>91</v>
      </c>
      <c r="C492" s="162">
        <v>2234.6</v>
      </c>
      <c r="D492" s="163">
        <v>2200</v>
      </c>
      <c r="E492" s="163">
        <v>3.5</v>
      </c>
      <c r="F492" s="163">
        <v>-34.599999999999909</v>
      </c>
      <c r="G492" s="164">
        <v>2200</v>
      </c>
      <c r="H492" s="163">
        <v>306.43442999954226</v>
      </c>
      <c r="I492" s="165">
        <v>13.928837727251921</v>
      </c>
      <c r="J492" s="164">
        <v>1893.5655700004579</v>
      </c>
      <c r="K492" s="163">
        <v>48.500799999999984</v>
      </c>
      <c r="L492" s="163">
        <v>27.158429999160788</v>
      </c>
      <c r="M492" s="163">
        <v>26.69812999916077</v>
      </c>
      <c r="N492" s="163">
        <v>27.196090000152608</v>
      </c>
      <c r="O492" s="163">
        <v>1.2361859090978458</v>
      </c>
      <c r="P492" s="169">
        <v>32.388362499618538</v>
      </c>
      <c r="Q492" s="146" t="s">
        <v>186</v>
      </c>
      <c r="T492" s="130"/>
    </row>
    <row r="493" spans="1:20" ht="10.7" customHeight="1" x14ac:dyDescent="0.2">
      <c r="A493" s="122"/>
      <c r="B493" s="168"/>
      <c r="D493" s="163"/>
      <c r="E493" s="163"/>
      <c r="F493" s="163"/>
      <c r="G493" s="164"/>
      <c r="H493" s="163"/>
      <c r="I493" s="165"/>
      <c r="J493" s="164"/>
      <c r="K493" s="163"/>
      <c r="L493" s="163"/>
      <c r="M493" s="163"/>
      <c r="N493" s="163"/>
      <c r="O493" s="163"/>
      <c r="P493" s="163"/>
      <c r="Q493" s="146"/>
      <c r="T493" s="130"/>
    </row>
    <row r="494" spans="1:20" ht="10.7" customHeight="1" x14ac:dyDescent="0.2">
      <c r="A494" s="122"/>
      <c r="B494" s="161" t="s">
        <v>92</v>
      </c>
      <c r="C494" s="162">
        <v>235.7</v>
      </c>
      <c r="D494" s="163">
        <v>262.8</v>
      </c>
      <c r="E494" s="163">
        <v>0</v>
      </c>
      <c r="F494" s="163">
        <v>27.100000000000023</v>
      </c>
      <c r="G494" s="164">
        <v>262.8</v>
      </c>
      <c r="H494" s="163">
        <v>6.2847799996852869</v>
      </c>
      <c r="I494" s="165">
        <v>2.3914687974449342</v>
      </c>
      <c r="J494" s="164">
        <v>256.51522000031474</v>
      </c>
      <c r="K494" s="163">
        <v>1.5848999999999998</v>
      </c>
      <c r="L494" s="163">
        <v>0.66155000000000053</v>
      </c>
      <c r="M494" s="163">
        <v>0.13149999999999995</v>
      </c>
      <c r="N494" s="163">
        <v>1.1484999999999999</v>
      </c>
      <c r="O494" s="163">
        <v>0.43702435312024346</v>
      </c>
      <c r="P494" s="163">
        <v>0.88161250000000002</v>
      </c>
      <c r="Q494" s="146" t="s">
        <v>186</v>
      </c>
      <c r="T494" s="130"/>
    </row>
    <row r="495" spans="1:20" ht="10.7" customHeight="1" x14ac:dyDescent="0.2">
      <c r="A495" s="122"/>
      <c r="B495" s="161" t="s">
        <v>93</v>
      </c>
      <c r="C495" s="162">
        <v>464</v>
      </c>
      <c r="D495" s="163">
        <v>482.2</v>
      </c>
      <c r="E495" s="163">
        <v>0</v>
      </c>
      <c r="F495" s="163">
        <v>18.199999999999989</v>
      </c>
      <c r="G495" s="164">
        <v>482.2</v>
      </c>
      <c r="H495" s="163">
        <v>17.728300000000001</v>
      </c>
      <c r="I495" s="165">
        <v>3.6765450020738286</v>
      </c>
      <c r="J495" s="164">
        <v>464.4717</v>
      </c>
      <c r="K495" s="163">
        <v>1.2323000000000004</v>
      </c>
      <c r="L495" s="163">
        <v>1.9946000000000002</v>
      </c>
      <c r="M495" s="163">
        <v>1.9533000000000005</v>
      </c>
      <c r="N495" s="163">
        <v>4.2882000000000007</v>
      </c>
      <c r="O495" s="163">
        <v>0.88929904603898802</v>
      </c>
      <c r="P495" s="163">
        <v>2.3671000000000006</v>
      </c>
      <c r="Q495" s="146" t="s">
        <v>186</v>
      </c>
      <c r="T495" s="130"/>
    </row>
    <row r="496" spans="1:20" ht="10.7" hidden="1" customHeight="1" x14ac:dyDescent="0.2">
      <c r="A496" s="122"/>
      <c r="B496" s="161" t="s">
        <v>94</v>
      </c>
      <c r="C496" s="162">
        <v>0</v>
      </c>
      <c r="D496" s="163">
        <v>0</v>
      </c>
      <c r="E496" s="163">
        <v>0</v>
      </c>
      <c r="F496" s="163">
        <v>0</v>
      </c>
      <c r="G496" s="164">
        <v>0</v>
      </c>
      <c r="H496" s="163">
        <v>0</v>
      </c>
      <c r="I496" s="165" t="s">
        <v>119</v>
      </c>
      <c r="J496" s="164">
        <v>0</v>
      </c>
      <c r="K496" s="163">
        <v>0</v>
      </c>
      <c r="L496" s="163">
        <v>0</v>
      </c>
      <c r="M496" s="163">
        <v>0</v>
      </c>
      <c r="N496" s="163">
        <v>0</v>
      </c>
      <c r="O496" s="163" t="s">
        <v>42</v>
      </c>
      <c r="P496" s="163">
        <v>0</v>
      </c>
      <c r="Q496" s="146">
        <v>0</v>
      </c>
      <c r="T496" s="130"/>
    </row>
    <row r="497" spans="1:20" ht="10.7" customHeight="1" x14ac:dyDescent="0.2">
      <c r="A497" s="122"/>
      <c r="B497" s="161" t="s">
        <v>95</v>
      </c>
      <c r="C497" s="162">
        <v>13.2</v>
      </c>
      <c r="D497" s="163">
        <v>13.2</v>
      </c>
      <c r="E497" s="163">
        <v>0</v>
      </c>
      <c r="F497" s="163">
        <v>0</v>
      </c>
      <c r="G497" s="164">
        <v>13.2</v>
      </c>
      <c r="H497" s="163">
        <v>0.50700000000000001</v>
      </c>
      <c r="I497" s="165">
        <v>3.8409090909090913</v>
      </c>
      <c r="J497" s="164">
        <v>12.693</v>
      </c>
      <c r="K497" s="163">
        <v>1.6199999999999992E-2</v>
      </c>
      <c r="L497" s="163">
        <v>0</v>
      </c>
      <c r="M497" s="163">
        <v>9.9099999999999994E-2</v>
      </c>
      <c r="N497" s="163">
        <v>0.17220000000000002</v>
      </c>
      <c r="O497" s="163">
        <v>1.3045454545454547</v>
      </c>
      <c r="P497" s="163">
        <v>7.1874999999999994E-2</v>
      </c>
      <c r="Q497" s="146" t="s">
        <v>186</v>
      </c>
      <c r="T497" s="130"/>
    </row>
    <row r="498" spans="1:20" ht="10.7" customHeight="1" x14ac:dyDescent="0.2">
      <c r="A498" s="122"/>
      <c r="B498" s="161" t="s">
        <v>96</v>
      </c>
      <c r="C498" s="162">
        <v>52.2</v>
      </c>
      <c r="D498" s="163">
        <v>41.5</v>
      </c>
      <c r="E498" s="163">
        <v>-3.5</v>
      </c>
      <c r="F498" s="163">
        <v>-10.700000000000003</v>
      </c>
      <c r="G498" s="164">
        <v>41.5</v>
      </c>
      <c r="H498" s="163">
        <v>2.9969000000000001</v>
      </c>
      <c r="I498" s="165">
        <v>7.2214457831325305</v>
      </c>
      <c r="J498" s="164">
        <v>38.503100000000003</v>
      </c>
      <c r="K498" s="163">
        <v>0.11790000000000012</v>
      </c>
      <c r="L498" s="163">
        <v>6.3499999999999446E-2</v>
      </c>
      <c r="M498" s="163">
        <v>0.4798</v>
      </c>
      <c r="N498" s="163">
        <v>-4.0583999999999998</v>
      </c>
      <c r="O498" s="163">
        <v>-9.7792771084337335</v>
      </c>
      <c r="P498" s="163">
        <v>-0.84930000000000005</v>
      </c>
      <c r="Q498" s="146" t="s">
        <v>186</v>
      </c>
      <c r="T498" s="130"/>
    </row>
    <row r="499" spans="1:20" ht="10.7" customHeight="1" x14ac:dyDescent="0.2">
      <c r="A499" s="122"/>
      <c r="B499" s="161" t="s">
        <v>97</v>
      </c>
      <c r="C499" s="162">
        <v>127</v>
      </c>
      <c r="D499" s="163">
        <v>127</v>
      </c>
      <c r="E499" s="163">
        <v>0</v>
      </c>
      <c r="F499" s="163">
        <v>0</v>
      </c>
      <c r="G499" s="164">
        <v>127</v>
      </c>
      <c r="H499" s="163">
        <v>0</v>
      </c>
      <c r="I499" s="165">
        <v>0</v>
      </c>
      <c r="J499" s="164">
        <v>127</v>
      </c>
      <c r="K499" s="163">
        <v>0</v>
      </c>
      <c r="L499" s="163">
        <v>0</v>
      </c>
      <c r="M499" s="163">
        <v>0</v>
      </c>
      <c r="N499" s="163">
        <v>0</v>
      </c>
      <c r="O499" s="163">
        <v>0</v>
      </c>
      <c r="P499" s="163">
        <v>0</v>
      </c>
      <c r="Q499" s="146" t="s">
        <v>186</v>
      </c>
      <c r="T499" s="130"/>
    </row>
    <row r="500" spans="1:20" ht="10.7" customHeight="1" x14ac:dyDescent="0.2">
      <c r="A500" s="122"/>
      <c r="B500" s="161" t="s">
        <v>98</v>
      </c>
      <c r="C500" s="162">
        <v>121.1</v>
      </c>
      <c r="D500" s="163">
        <v>96.1</v>
      </c>
      <c r="E500" s="163">
        <v>0</v>
      </c>
      <c r="F500" s="163">
        <v>-25</v>
      </c>
      <c r="G500" s="164">
        <v>96.1</v>
      </c>
      <c r="H500" s="163">
        <v>5.4388000000000005</v>
      </c>
      <c r="I500" s="165">
        <v>5.659521331945891</v>
      </c>
      <c r="J500" s="164">
        <v>90.661199999999994</v>
      </c>
      <c r="K500" s="163">
        <v>0.12200000000000077</v>
      </c>
      <c r="L500" s="163">
        <v>0.13299999999999956</v>
      </c>
      <c r="M500" s="163">
        <v>0.2995000000000001</v>
      </c>
      <c r="N500" s="163">
        <v>0.39299999999999979</v>
      </c>
      <c r="O500" s="163">
        <v>0.40894901144640983</v>
      </c>
      <c r="P500" s="163">
        <v>0.23687500000000006</v>
      </c>
      <c r="Q500" s="146" t="s">
        <v>186</v>
      </c>
      <c r="T500" s="130"/>
    </row>
    <row r="501" spans="1:20" ht="10.7" customHeight="1" x14ac:dyDescent="0.2">
      <c r="A501" s="122"/>
      <c r="B501" s="161" t="s">
        <v>99</v>
      </c>
      <c r="C501" s="162">
        <v>94.4</v>
      </c>
      <c r="D501" s="163">
        <v>94.4</v>
      </c>
      <c r="E501" s="163">
        <v>0</v>
      </c>
      <c r="F501" s="163">
        <v>0</v>
      </c>
      <c r="G501" s="164">
        <v>94.4</v>
      </c>
      <c r="H501" s="163">
        <v>0</v>
      </c>
      <c r="I501" s="165">
        <v>0</v>
      </c>
      <c r="J501" s="164">
        <v>94.4</v>
      </c>
      <c r="K501" s="163">
        <v>0</v>
      </c>
      <c r="L501" s="163">
        <v>0</v>
      </c>
      <c r="M501" s="163">
        <v>0</v>
      </c>
      <c r="N501" s="163">
        <v>0</v>
      </c>
      <c r="O501" s="163">
        <v>0</v>
      </c>
      <c r="P501" s="163">
        <v>0</v>
      </c>
      <c r="Q501" s="146" t="s">
        <v>186</v>
      </c>
      <c r="T501" s="130"/>
    </row>
    <row r="502" spans="1:20" ht="10.7" customHeight="1" x14ac:dyDescent="0.2">
      <c r="A502" s="122"/>
      <c r="B502" s="161" t="s">
        <v>100</v>
      </c>
      <c r="C502" s="162">
        <v>134.6</v>
      </c>
      <c r="D502" s="163">
        <v>134.6</v>
      </c>
      <c r="E502" s="163">
        <v>0</v>
      </c>
      <c r="F502" s="163">
        <v>0</v>
      </c>
      <c r="G502" s="164">
        <v>134.6</v>
      </c>
      <c r="H502" s="163">
        <v>14.146799999999999</v>
      </c>
      <c r="I502" s="165">
        <v>10.510252600297177</v>
      </c>
      <c r="J502" s="164">
        <v>120.4532</v>
      </c>
      <c r="K502" s="163">
        <v>0.19620000000000015</v>
      </c>
      <c r="L502" s="163">
        <v>0.7948000000000004</v>
      </c>
      <c r="M502" s="163">
        <v>0.21599999999999842</v>
      </c>
      <c r="N502" s="163">
        <v>4.5179999999999998</v>
      </c>
      <c r="O502" s="163">
        <v>3.3566121842496286</v>
      </c>
      <c r="P502" s="163">
        <v>1.4312499999999997</v>
      </c>
      <c r="Q502" s="146" t="s">
        <v>186</v>
      </c>
      <c r="T502" s="130"/>
    </row>
    <row r="503" spans="1:20" ht="10.7" customHeight="1" x14ac:dyDescent="0.2">
      <c r="A503" s="122"/>
      <c r="B503" s="161" t="s">
        <v>101</v>
      </c>
      <c r="C503" s="162">
        <v>124.7</v>
      </c>
      <c r="D503" s="163">
        <v>124.7</v>
      </c>
      <c r="E503" s="163">
        <v>0</v>
      </c>
      <c r="F503" s="163">
        <v>0</v>
      </c>
      <c r="G503" s="164">
        <v>124.7</v>
      </c>
      <c r="H503" s="163">
        <v>5.9898999999999996</v>
      </c>
      <c r="I503" s="165">
        <v>4.8034482758620687</v>
      </c>
      <c r="J503" s="164">
        <v>118.7101</v>
      </c>
      <c r="K503" s="163">
        <v>0.97699999999999976</v>
      </c>
      <c r="L503" s="163">
        <v>0.26250000000000007</v>
      </c>
      <c r="M503" s="163">
        <v>1.0686000000000004</v>
      </c>
      <c r="N503" s="163">
        <v>1.8798999999999992</v>
      </c>
      <c r="O503" s="163">
        <v>1.5075380914194061</v>
      </c>
      <c r="P503" s="163">
        <v>1.0469999999999999</v>
      </c>
      <c r="Q503" s="146" t="s">
        <v>186</v>
      </c>
      <c r="T503" s="130"/>
    </row>
    <row r="504" spans="1:20" ht="10.7" customHeight="1" x14ac:dyDescent="0.2">
      <c r="A504" s="122"/>
      <c r="B504" s="161" t="s">
        <v>102</v>
      </c>
      <c r="C504" s="162">
        <v>0</v>
      </c>
      <c r="D504" s="163">
        <v>0</v>
      </c>
      <c r="E504" s="163">
        <v>0</v>
      </c>
      <c r="F504" s="163">
        <v>0</v>
      </c>
      <c r="G504" s="164">
        <v>0</v>
      </c>
      <c r="H504" s="163">
        <v>0</v>
      </c>
      <c r="I504" s="165" t="s">
        <v>119</v>
      </c>
      <c r="J504" s="164">
        <v>0</v>
      </c>
      <c r="K504" s="163">
        <v>0</v>
      </c>
      <c r="L504" s="163">
        <v>0</v>
      </c>
      <c r="M504" s="163">
        <v>0</v>
      </c>
      <c r="N504" s="163">
        <v>0</v>
      </c>
      <c r="O504" s="163" t="s">
        <v>42</v>
      </c>
      <c r="P504" s="163">
        <v>0</v>
      </c>
      <c r="Q504" s="146" t="s">
        <v>162</v>
      </c>
      <c r="T504" s="130"/>
    </row>
    <row r="505" spans="1:20" ht="10.7" customHeight="1" x14ac:dyDescent="0.2">
      <c r="A505" s="122"/>
      <c r="B505" s="161" t="s">
        <v>103</v>
      </c>
      <c r="C505" s="162">
        <v>7.3</v>
      </c>
      <c r="D505" s="163">
        <v>7.3</v>
      </c>
      <c r="E505" s="163">
        <v>0</v>
      </c>
      <c r="F505" s="163">
        <v>0</v>
      </c>
      <c r="G505" s="164">
        <v>7.3</v>
      </c>
      <c r="H505" s="163">
        <v>0</v>
      </c>
      <c r="I505" s="165">
        <v>0</v>
      </c>
      <c r="J505" s="164">
        <v>7.3</v>
      </c>
      <c r="K505" s="163">
        <v>0</v>
      </c>
      <c r="L505" s="163">
        <v>0</v>
      </c>
      <c r="M505" s="163">
        <v>0</v>
      </c>
      <c r="N505" s="163">
        <v>0</v>
      </c>
      <c r="O505" s="163">
        <v>0</v>
      </c>
      <c r="P505" s="163">
        <v>0</v>
      </c>
      <c r="Q505" s="146" t="s">
        <v>186</v>
      </c>
      <c r="T505" s="130"/>
    </row>
    <row r="506" spans="1:20" ht="10.7" customHeight="1" x14ac:dyDescent="0.2">
      <c r="A506" s="122"/>
      <c r="B506" s="1" t="s">
        <v>104</v>
      </c>
      <c r="C506" s="162">
        <v>33</v>
      </c>
      <c r="D506" s="163">
        <v>33</v>
      </c>
      <c r="E506" s="163">
        <v>0</v>
      </c>
      <c r="F506" s="163">
        <v>0</v>
      </c>
      <c r="G506" s="164">
        <v>33</v>
      </c>
      <c r="H506" s="163">
        <v>0.17319999999999999</v>
      </c>
      <c r="I506" s="165">
        <v>0.5248484848484849</v>
      </c>
      <c r="J506" s="164">
        <v>32.826799999999999</v>
      </c>
      <c r="K506" s="163">
        <v>3.6500000000000005E-2</v>
      </c>
      <c r="L506" s="163">
        <v>0</v>
      </c>
      <c r="M506" s="163">
        <v>0</v>
      </c>
      <c r="N506" s="163">
        <v>0</v>
      </c>
      <c r="O506" s="163">
        <v>0</v>
      </c>
      <c r="P506" s="163">
        <v>9.1250000000000012E-3</v>
      </c>
      <c r="Q506" s="146" t="s">
        <v>186</v>
      </c>
      <c r="T506" s="130"/>
    </row>
    <row r="507" spans="1:20" ht="10.7" customHeight="1" x14ac:dyDescent="0.2">
      <c r="A507" s="122"/>
      <c r="B507" s="168" t="s">
        <v>106</v>
      </c>
      <c r="C507" s="172">
        <v>3641.8</v>
      </c>
      <c r="D507" s="163">
        <v>3616.7999999999997</v>
      </c>
      <c r="E507" s="163">
        <v>0</v>
      </c>
      <c r="F507" s="163">
        <v>-25.000000000000455</v>
      </c>
      <c r="G507" s="164">
        <v>3616.7999999999997</v>
      </c>
      <c r="H507" s="163">
        <v>359.70010999922755</v>
      </c>
      <c r="I507" s="165">
        <v>9.9452585157937285</v>
      </c>
      <c r="J507" s="164">
        <v>3257.0998900007721</v>
      </c>
      <c r="K507" s="163">
        <v>52.783799999999985</v>
      </c>
      <c r="L507" s="163">
        <v>31.068379999160783</v>
      </c>
      <c r="M507" s="163">
        <v>30.945929999160796</v>
      </c>
      <c r="N507" s="163">
        <v>35.537490000152502</v>
      </c>
      <c r="O507" s="163">
        <v>0.98256718646738839</v>
      </c>
      <c r="P507" s="163">
        <v>37.583899999618517</v>
      </c>
      <c r="Q507" s="146" t="s">
        <v>186</v>
      </c>
      <c r="T507" s="130"/>
    </row>
    <row r="508" spans="1:20" ht="10.7" customHeight="1" x14ac:dyDescent="0.2">
      <c r="A508" s="122"/>
      <c r="B508" s="168"/>
      <c r="C508" s="162"/>
      <c r="D508" s="163"/>
      <c r="E508" s="163"/>
      <c r="F508" s="163"/>
      <c r="G508" s="164"/>
      <c r="H508" s="163"/>
      <c r="I508" s="165"/>
      <c r="J508" s="164"/>
      <c r="K508" s="163"/>
      <c r="L508" s="163"/>
      <c r="M508" s="163"/>
      <c r="N508" s="163"/>
      <c r="O508" s="163"/>
      <c r="P508" s="163"/>
      <c r="Q508" s="146"/>
      <c r="T508" s="130"/>
    </row>
    <row r="509" spans="1:20" ht="10.7" customHeight="1" x14ac:dyDescent="0.2">
      <c r="A509" s="122"/>
      <c r="B509" s="161" t="s">
        <v>107</v>
      </c>
      <c r="C509" s="162">
        <v>0.1</v>
      </c>
      <c r="D509" s="163">
        <v>0.1</v>
      </c>
      <c r="E509" s="163">
        <v>0</v>
      </c>
      <c r="F509" s="163">
        <v>0</v>
      </c>
      <c r="G509" s="164">
        <v>0.1</v>
      </c>
      <c r="H509" s="163">
        <v>0</v>
      </c>
      <c r="I509" s="165">
        <v>0</v>
      </c>
      <c r="J509" s="164">
        <v>0.1</v>
      </c>
      <c r="K509" s="163">
        <v>0</v>
      </c>
      <c r="L509" s="163">
        <v>0</v>
      </c>
      <c r="M509" s="163">
        <v>0</v>
      </c>
      <c r="N509" s="163">
        <v>0</v>
      </c>
      <c r="O509" s="163">
        <v>0</v>
      </c>
      <c r="P509" s="163">
        <v>0</v>
      </c>
      <c r="Q509" s="146" t="s">
        <v>186</v>
      </c>
      <c r="T509" s="130"/>
    </row>
    <row r="510" spans="1:20" ht="10.7" customHeight="1" x14ac:dyDescent="0.2">
      <c r="A510" s="122"/>
      <c r="B510" s="161" t="s">
        <v>108</v>
      </c>
      <c r="C510" s="162">
        <v>1.2000000000000002</v>
      </c>
      <c r="D510" s="162">
        <v>1.1000000000000001</v>
      </c>
      <c r="E510" s="173">
        <v>0</v>
      </c>
      <c r="F510" s="163">
        <v>-0.10000000000000009</v>
      </c>
      <c r="G510" s="164">
        <v>1.1000000000000001</v>
      </c>
      <c r="H510" s="163">
        <v>0.10199999999999999</v>
      </c>
      <c r="I510" s="165">
        <v>9.2727272727272716</v>
      </c>
      <c r="J510" s="164">
        <v>0.99800000000000011</v>
      </c>
      <c r="K510" s="163">
        <v>1.9999999999999983E-3</v>
      </c>
      <c r="L510" s="163">
        <v>0</v>
      </c>
      <c r="M510" s="163">
        <v>3.1399999999999997E-2</v>
      </c>
      <c r="N510" s="163">
        <v>2.9499999999999998E-2</v>
      </c>
      <c r="O510" s="163">
        <v>2.6818181818181812</v>
      </c>
      <c r="P510" s="163">
        <v>1.5724999999999999E-2</v>
      </c>
      <c r="Q510" s="146" t="s">
        <v>186</v>
      </c>
      <c r="T510" s="130"/>
    </row>
    <row r="511" spans="1:20" ht="10.7" customHeight="1" x14ac:dyDescent="0.2">
      <c r="A511" s="122"/>
      <c r="B511" s="174" t="s">
        <v>109</v>
      </c>
      <c r="C511" s="162">
        <v>260.8</v>
      </c>
      <c r="D511" s="162">
        <v>260.90000000000003</v>
      </c>
      <c r="E511" s="173">
        <v>0</v>
      </c>
      <c r="F511" s="163">
        <v>0.10000000000002274</v>
      </c>
      <c r="G511" s="164">
        <v>260.90000000000003</v>
      </c>
      <c r="H511" s="163">
        <v>1.0126999999999999</v>
      </c>
      <c r="I511" s="165">
        <v>0.3881563817554618</v>
      </c>
      <c r="J511" s="164">
        <v>259.88730000000004</v>
      </c>
      <c r="K511" s="163">
        <v>0.2676</v>
      </c>
      <c r="L511" s="163">
        <v>1.2793585635328952E-17</v>
      </c>
      <c r="M511" s="163">
        <v>0.56950000000000001</v>
      </c>
      <c r="N511" s="163">
        <v>2.5000000000000019E-2</v>
      </c>
      <c r="O511" s="163">
        <v>9.5822154082023832E-3</v>
      </c>
      <c r="P511" s="163">
        <v>0.21552499999999999</v>
      </c>
      <c r="Q511" s="146" t="s">
        <v>186</v>
      </c>
      <c r="T511" s="130"/>
    </row>
    <row r="512" spans="1:20" ht="10.7" customHeight="1" x14ac:dyDescent="0.2">
      <c r="A512" s="122"/>
      <c r="B512" s="174"/>
      <c r="C512" s="162"/>
      <c r="D512" s="163"/>
      <c r="E512" s="163"/>
      <c r="F512" s="163"/>
      <c r="G512" s="164"/>
      <c r="H512" s="163"/>
      <c r="I512" s="165"/>
      <c r="J512" s="164"/>
      <c r="K512" s="163"/>
      <c r="L512" s="163"/>
      <c r="M512" s="163"/>
      <c r="N512" s="163"/>
      <c r="O512" s="163"/>
      <c r="P512" s="163"/>
      <c r="Q512" s="146"/>
      <c r="T512" s="130"/>
    </row>
    <row r="513" spans="1:20" ht="10.7" customHeight="1" x14ac:dyDescent="0.2">
      <c r="A513" s="122"/>
      <c r="B513" s="174" t="s">
        <v>111</v>
      </c>
      <c r="C513" s="162"/>
      <c r="D513" s="163"/>
      <c r="E513" s="163"/>
      <c r="F513" s="163"/>
      <c r="G513" s="164">
        <v>0</v>
      </c>
      <c r="H513" s="163"/>
      <c r="I513" s="165"/>
      <c r="J513" s="164"/>
      <c r="K513" s="163"/>
      <c r="L513" s="163"/>
      <c r="M513" s="163"/>
      <c r="N513" s="163"/>
      <c r="O513" s="163"/>
      <c r="P513" s="163"/>
      <c r="Q513" s="146"/>
      <c r="T513" s="130"/>
    </row>
    <row r="514" spans="1:20" ht="10.7" customHeight="1" x14ac:dyDescent="0.2">
      <c r="A514" s="122"/>
      <c r="B514" s="175" t="s">
        <v>112</v>
      </c>
      <c r="C514" s="176">
        <v>3903.9</v>
      </c>
      <c r="D514" s="176">
        <v>3878.8999999999996</v>
      </c>
      <c r="E514" s="177">
        <v>0</v>
      </c>
      <c r="F514" s="180">
        <v>-25.000000000000455</v>
      </c>
      <c r="G514" s="189">
        <v>3878.8999999999996</v>
      </c>
      <c r="H514" s="180">
        <v>360.81480999922758</v>
      </c>
      <c r="I514" s="179">
        <v>9.301987934703849</v>
      </c>
      <c r="J514" s="189">
        <v>3518.0851900007719</v>
      </c>
      <c r="K514" s="180">
        <v>53.053400000000039</v>
      </c>
      <c r="L514" s="180">
        <v>31.068379999160811</v>
      </c>
      <c r="M514" s="180">
        <v>31.546829999160792</v>
      </c>
      <c r="N514" s="180">
        <v>35.591990000152521</v>
      </c>
      <c r="O514" s="180">
        <v>0.91757946840992344</v>
      </c>
      <c r="P514" s="190">
        <v>37.815149999618541</v>
      </c>
      <c r="Q514" s="153" t="s">
        <v>186</v>
      </c>
      <c r="T514" s="130"/>
    </row>
    <row r="515" spans="1:20" ht="10.7" customHeight="1" x14ac:dyDescent="0.2">
      <c r="A515" s="122"/>
      <c r="B515" s="191" t="s">
        <v>241</v>
      </c>
      <c r="C515" s="191"/>
      <c r="D515" s="183"/>
      <c r="E515" s="183"/>
      <c r="F515" s="183"/>
      <c r="G515" s="184"/>
      <c r="H515" s="183"/>
      <c r="I515" s="163"/>
      <c r="J515" s="184"/>
      <c r="K515" s="185"/>
      <c r="L515" s="185"/>
      <c r="M515" s="185"/>
      <c r="N515" s="185"/>
      <c r="O515" s="173"/>
      <c r="P515" s="183"/>
      <c r="Q515" s="182"/>
      <c r="T515" s="130"/>
    </row>
    <row r="516" spans="1:20" ht="10.7" customHeight="1" x14ac:dyDescent="0.2">
      <c r="A516" s="122"/>
      <c r="B516" s="123" t="s">
        <v>114</v>
      </c>
      <c r="C516" s="123"/>
      <c r="J516" s="192"/>
      <c r="T516" s="130"/>
    </row>
    <row r="520" spans="1:20" ht="10.7" customHeight="1" x14ac:dyDescent="0.2">
      <c r="A520" s="122"/>
      <c r="B520" s="123" t="s">
        <v>185</v>
      </c>
      <c r="C520" s="123"/>
      <c r="P520" s="128"/>
      <c r="T520" s="130"/>
    </row>
    <row r="521" spans="1:20" ht="10.7" customHeight="1" x14ac:dyDescent="0.2">
      <c r="A521" s="122"/>
      <c r="B521" s="131" t="s">
        <v>240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43166</v>
      </c>
      <c r="L525" s="151">
        <v>43173</v>
      </c>
      <c r="M525" s="151">
        <v>43180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6"/>
      <c r="C527" s="193" t="s">
        <v>144</v>
      </c>
      <c r="D527" s="193"/>
      <c r="E527" s="193"/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4"/>
      <c r="Q527" s="145"/>
      <c r="T527" s="130"/>
    </row>
    <row r="528" spans="1:20" ht="10.7" customHeight="1" x14ac:dyDescent="0.2">
      <c r="A528" s="122"/>
      <c r="B528" s="161" t="s">
        <v>80</v>
      </c>
      <c r="C528" s="162">
        <v>193.7</v>
      </c>
      <c r="D528" s="163">
        <v>187.6</v>
      </c>
      <c r="E528" s="163">
        <v>2.3000000000000114</v>
      </c>
      <c r="F528" s="163">
        <v>-6.0999999999999943</v>
      </c>
      <c r="G528" s="164">
        <v>187.6</v>
      </c>
      <c r="H528" s="163">
        <v>30.439200000762938</v>
      </c>
      <c r="I528" s="165">
        <v>16.225586354351247</v>
      </c>
      <c r="J528" s="164">
        <v>157.16079999923704</v>
      </c>
      <c r="K528" s="163">
        <v>1.1419999999999995</v>
      </c>
      <c r="L528" s="163">
        <v>1.4230000000000018</v>
      </c>
      <c r="M528" s="163">
        <v>1.0069999999999979</v>
      </c>
      <c r="N528" s="163">
        <v>3.8449999999999989</v>
      </c>
      <c r="O528" s="163">
        <v>2.0495735607675902</v>
      </c>
      <c r="P528" s="163">
        <v>1.8542499999999995</v>
      </c>
      <c r="Q528" s="146" t="s">
        <v>186</v>
      </c>
      <c r="T528" s="130"/>
    </row>
    <row r="529" spans="1:20" ht="10.7" customHeight="1" x14ac:dyDescent="0.2">
      <c r="A529" s="122"/>
      <c r="B529" s="161" t="s">
        <v>81</v>
      </c>
      <c r="C529" s="162">
        <v>36.5</v>
      </c>
      <c r="D529" s="163">
        <v>30.4</v>
      </c>
      <c r="E529" s="163">
        <v>-6</v>
      </c>
      <c r="F529" s="163">
        <v>-6.1000000000000014</v>
      </c>
      <c r="G529" s="164">
        <v>30.4</v>
      </c>
      <c r="H529" s="163">
        <v>7.6448</v>
      </c>
      <c r="I529" s="165">
        <v>25.147368421052633</v>
      </c>
      <c r="J529" s="164">
        <v>22.755199999999999</v>
      </c>
      <c r="K529" s="163">
        <v>0.32939999999999969</v>
      </c>
      <c r="L529" s="163">
        <v>0.98179999999999978</v>
      </c>
      <c r="M529" s="163">
        <v>0.88730000000000064</v>
      </c>
      <c r="N529" s="163">
        <v>0.77550000000000008</v>
      </c>
      <c r="O529" s="163">
        <v>2.5509868421052637</v>
      </c>
      <c r="P529" s="163">
        <v>0.74350000000000005</v>
      </c>
      <c r="Q529" s="146">
        <v>28.605514458641558</v>
      </c>
      <c r="T529" s="130"/>
    </row>
    <row r="530" spans="1:20" ht="10.7" customHeight="1" x14ac:dyDescent="0.2">
      <c r="A530" s="122"/>
      <c r="B530" s="161" t="s">
        <v>82</v>
      </c>
      <c r="C530" s="162">
        <v>44.3</v>
      </c>
      <c r="D530" s="163">
        <v>44.699999999999996</v>
      </c>
      <c r="E530" s="163">
        <v>0</v>
      </c>
      <c r="F530" s="163">
        <v>0.39999999999999858</v>
      </c>
      <c r="G530" s="164">
        <v>44.699999999999996</v>
      </c>
      <c r="H530" s="163">
        <v>3.387</v>
      </c>
      <c r="I530" s="165">
        <v>7.577181208053692</v>
      </c>
      <c r="J530" s="164">
        <v>41.312999999999995</v>
      </c>
      <c r="K530" s="163">
        <v>4.2000000000000259E-2</v>
      </c>
      <c r="L530" s="163">
        <v>0.53100000000000014</v>
      </c>
      <c r="M530" s="163">
        <v>9.5999999999999641E-2</v>
      </c>
      <c r="N530" s="163">
        <v>0.31700000000000017</v>
      </c>
      <c r="O530" s="163">
        <v>0.70917225950783047</v>
      </c>
      <c r="P530" s="163">
        <v>0.24650000000000005</v>
      </c>
      <c r="Q530" s="146" t="s">
        <v>186</v>
      </c>
      <c r="T530" s="130"/>
    </row>
    <row r="531" spans="1:20" ht="10.7" customHeight="1" x14ac:dyDescent="0.2">
      <c r="A531" s="122"/>
      <c r="B531" s="161" t="s">
        <v>83</v>
      </c>
      <c r="C531" s="162">
        <v>207.9</v>
      </c>
      <c r="D531" s="163">
        <v>211</v>
      </c>
      <c r="E531" s="163">
        <v>3.0999999999999943</v>
      </c>
      <c r="F531" s="163">
        <v>3.0999999999999943</v>
      </c>
      <c r="G531" s="164">
        <v>211</v>
      </c>
      <c r="H531" s="163">
        <v>35.534999999999997</v>
      </c>
      <c r="I531" s="165">
        <v>16.841232227488149</v>
      </c>
      <c r="J531" s="164">
        <v>175.465</v>
      </c>
      <c r="K531" s="163">
        <v>3.1789999999999985</v>
      </c>
      <c r="L531" s="163">
        <v>3.4339999999999975</v>
      </c>
      <c r="M531" s="163">
        <v>1.3790000000000049</v>
      </c>
      <c r="N531" s="163">
        <v>1.4109999999999943</v>
      </c>
      <c r="O531" s="163">
        <v>0.66872037914691673</v>
      </c>
      <c r="P531" s="163">
        <v>2.3507499999999988</v>
      </c>
      <c r="Q531" s="146" t="s">
        <v>186</v>
      </c>
      <c r="T531" s="130"/>
    </row>
    <row r="532" spans="1:20" ht="10.7" customHeight="1" x14ac:dyDescent="0.2">
      <c r="A532" s="122"/>
      <c r="B532" s="161" t="s">
        <v>84</v>
      </c>
      <c r="C532" s="162">
        <v>11.6</v>
      </c>
      <c r="D532" s="163">
        <v>11.6</v>
      </c>
      <c r="E532" s="163">
        <v>0</v>
      </c>
      <c r="F532" s="163">
        <v>0</v>
      </c>
      <c r="G532" s="164">
        <v>11.6</v>
      </c>
      <c r="H532" s="163">
        <v>0.8677999999999999</v>
      </c>
      <c r="I532" s="165">
        <v>7.4810344827586199</v>
      </c>
      <c r="J532" s="164">
        <v>10.732199999999999</v>
      </c>
      <c r="K532" s="163">
        <v>0.13679999999999992</v>
      </c>
      <c r="L532" s="163">
        <v>0</v>
      </c>
      <c r="M532" s="163">
        <v>0</v>
      </c>
      <c r="N532" s="163">
        <v>3.2200000000000006E-2</v>
      </c>
      <c r="O532" s="163">
        <v>0.27758620689655178</v>
      </c>
      <c r="P532" s="163">
        <v>4.2249999999999982E-2</v>
      </c>
      <c r="Q532" s="146" t="s">
        <v>186</v>
      </c>
      <c r="T532" s="130"/>
    </row>
    <row r="533" spans="1:20" ht="10.7" customHeight="1" x14ac:dyDescent="0.2">
      <c r="A533" s="122"/>
      <c r="B533" s="161" t="s">
        <v>85</v>
      </c>
      <c r="C533" s="162">
        <v>11.1</v>
      </c>
      <c r="D533" s="163">
        <v>12.6</v>
      </c>
      <c r="E533" s="163">
        <v>0</v>
      </c>
      <c r="F533" s="163">
        <v>1.5</v>
      </c>
      <c r="G533" s="164">
        <v>12.6</v>
      </c>
      <c r="H533" s="163">
        <v>0.36420000000000002</v>
      </c>
      <c r="I533" s="165">
        <v>2.8904761904761909</v>
      </c>
      <c r="J533" s="164">
        <v>12.235799999999999</v>
      </c>
      <c r="K533" s="163">
        <v>0</v>
      </c>
      <c r="L533" s="163">
        <v>0</v>
      </c>
      <c r="M533" s="163">
        <v>4.5200000000000018E-2</v>
      </c>
      <c r="N533" s="163">
        <v>0</v>
      </c>
      <c r="O533" s="163">
        <v>0</v>
      </c>
      <c r="P533" s="163">
        <v>1.1300000000000004E-2</v>
      </c>
      <c r="Q533" s="146" t="s">
        <v>186</v>
      </c>
      <c r="T533" s="130"/>
    </row>
    <row r="534" spans="1:20" ht="10.7" customHeight="1" x14ac:dyDescent="0.2">
      <c r="A534" s="122"/>
      <c r="B534" s="161" t="s">
        <v>86</v>
      </c>
      <c r="C534" s="162">
        <v>17.100000000000001</v>
      </c>
      <c r="D534" s="163">
        <v>17.100000000000001</v>
      </c>
      <c r="E534" s="163">
        <v>0</v>
      </c>
      <c r="F534" s="163">
        <v>0</v>
      </c>
      <c r="G534" s="164">
        <v>17.100000000000001</v>
      </c>
      <c r="H534" s="163">
        <v>3.5630000000000002</v>
      </c>
      <c r="I534" s="165">
        <v>20.836257309941519</v>
      </c>
      <c r="J534" s="164">
        <v>13.537000000000001</v>
      </c>
      <c r="K534" s="163">
        <v>0</v>
      </c>
      <c r="L534" s="163">
        <v>0</v>
      </c>
      <c r="M534" s="163">
        <v>7.9000000000000181E-2</v>
      </c>
      <c r="N534" s="163">
        <v>0</v>
      </c>
      <c r="O534" s="163">
        <v>0</v>
      </c>
      <c r="P534" s="163">
        <v>1.9750000000000045E-2</v>
      </c>
      <c r="Q534" s="146" t="s">
        <v>186</v>
      </c>
      <c r="T534" s="130"/>
    </row>
    <row r="535" spans="1:20" ht="10.7" customHeight="1" x14ac:dyDescent="0.2">
      <c r="A535" s="122"/>
      <c r="B535" s="161" t="s">
        <v>87</v>
      </c>
      <c r="C535" s="162">
        <v>9.4</v>
      </c>
      <c r="D535" s="163">
        <v>9.4</v>
      </c>
      <c r="E535" s="163">
        <v>0</v>
      </c>
      <c r="F535" s="163">
        <v>0</v>
      </c>
      <c r="G535" s="164">
        <v>9.4</v>
      </c>
      <c r="H535" s="163">
        <v>0.24509999999999998</v>
      </c>
      <c r="I535" s="165">
        <v>2.6074468085106379</v>
      </c>
      <c r="J535" s="164">
        <v>9.1548999999999996</v>
      </c>
      <c r="K535" s="163">
        <v>3.9000000000000007E-2</v>
      </c>
      <c r="L535" s="163">
        <v>0</v>
      </c>
      <c r="M535" s="163">
        <v>9.000000000000008E-3</v>
      </c>
      <c r="N535" s="163">
        <v>5.1099999999999979E-2</v>
      </c>
      <c r="O535" s="163">
        <v>0.5436170212765955</v>
      </c>
      <c r="P535" s="163">
        <v>2.4774999999999998E-2</v>
      </c>
      <c r="Q535" s="146" t="s">
        <v>186</v>
      </c>
      <c r="T535" s="130"/>
    </row>
    <row r="536" spans="1:20" ht="10.7" customHeight="1" x14ac:dyDescent="0.2">
      <c r="A536" s="122"/>
      <c r="B536" s="161" t="s">
        <v>88</v>
      </c>
      <c r="C536" s="162">
        <v>0.4</v>
      </c>
      <c r="D536" s="163">
        <v>0.4</v>
      </c>
      <c r="E536" s="163">
        <v>0</v>
      </c>
      <c r="F536" s="163">
        <v>0</v>
      </c>
      <c r="G536" s="164">
        <v>0.4</v>
      </c>
      <c r="H536" s="163">
        <v>0</v>
      </c>
      <c r="I536" s="165">
        <v>0</v>
      </c>
      <c r="J536" s="164">
        <v>0.4</v>
      </c>
      <c r="K536" s="163">
        <v>0</v>
      </c>
      <c r="L536" s="163">
        <v>0</v>
      </c>
      <c r="M536" s="163">
        <v>0</v>
      </c>
      <c r="N536" s="163">
        <v>0</v>
      </c>
      <c r="O536" s="163">
        <v>0</v>
      </c>
      <c r="P536" s="163">
        <v>0</v>
      </c>
      <c r="Q536" s="146" t="s">
        <v>186</v>
      </c>
      <c r="T536" s="130"/>
    </row>
    <row r="537" spans="1:20" ht="10.7" customHeight="1" x14ac:dyDescent="0.2">
      <c r="A537" s="122"/>
      <c r="B537" s="161" t="s">
        <v>89</v>
      </c>
      <c r="C537" s="162">
        <v>20.8</v>
      </c>
      <c r="D537" s="163">
        <v>9.9</v>
      </c>
      <c r="E537" s="163">
        <v>0</v>
      </c>
      <c r="F537" s="163">
        <v>-10.9</v>
      </c>
      <c r="G537" s="164">
        <v>9.9</v>
      </c>
      <c r="H537" s="163">
        <v>0</v>
      </c>
      <c r="I537" s="165">
        <v>0</v>
      </c>
      <c r="J537" s="164">
        <v>9.9</v>
      </c>
      <c r="K537" s="163">
        <v>0</v>
      </c>
      <c r="L537" s="163">
        <v>0</v>
      </c>
      <c r="M537" s="163">
        <v>0</v>
      </c>
      <c r="N537" s="163">
        <v>0</v>
      </c>
      <c r="O537" s="163">
        <v>0</v>
      </c>
      <c r="P537" s="163">
        <v>0</v>
      </c>
      <c r="Q537" s="146" t="s">
        <v>186</v>
      </c>
      <c r="T537" s="130"/>
    </row>
    <row r="538" spans="1:20" ht="10.7" customHeight="1" x14ac:dyDescent="0.2">
      <c r="A538" s="122"/>
      <c r="B538" s="168" t="s">
        <v>91</v>
      </c>
      <c r="C538" s="162">
        <v>552.79999999999995</v>
      </c>
      <c r="D538" s="163">
        <v>534.69999999999993</v>
      </c>
      <c r="E538" s="163">
        <v>-0.59999999999999432</v>
      </c>
      <c r="F538" s="163">
        <v>-18.100000000000001</v>
      </c>
      <c r="G538" s="164">
        <v>534.69999999999993</v>
      </c>
      <c r="H538" s="163">
        <v>82.046100000762934</v>
      </c>
      <c r="I538" s="165">
        <v>15.3443239200978</v>
      </c>
      <c r="J538" s="164">
        <v>452.6538999992369</v>
      </c>
      <c r="K538" s="163">
        <v>4.8681999999999972</v>
      </c>
      <c r="L538" s="163">
        <v>6.3697999999999997</v>
      </c>
      <c r="M538" s="163">
        <v>3.5025000000000031</v>
      </c>
      <c r="N538" s="163">
        <v>6.4317999999999937</v>
      </c>
      <c r="O538" s="163">
        <v>1.2028801196932848</v>
      </c>
      <c r="P538" s="169">
        <v>5.2930749999999991</v>
      </c>
      <c r="Q538" s="146" t="s">
        <v>186</v>
      </c>
      <c r="T538" s="130"/>
    </row>
    <row r="539" spans="1:20" ht="10.7" customHeight="1" x14ac:dyDescent="0.2">
      <c r="A539" s="122"/>
      <c r="B539" s="168"/>
      <c r="D539" s="163"/>
      <c r="E539" s="163"/>
      <c r="F539" s="163"/>
      <c r="G539" s="164"/>
      <c r="H539" s="163"/>
      <c r="I539" s="165"/>
      <c r="J539" s="164"/>
      <c r="K539" s="163"/>
      <c r="L539" s="163"/>
      <c r="M539" s="163"/>
      <c r="N539" s="163"/>
      <c r="O539" s="163"/>
      <c r="P539" s="163"/>
      <c r="Q539" s="146"/>
      <c r="T539" s="130"/>
    </row>
    <row r="540" spans="1:20" ht="10.7" customHeight="1" x14ac:dyDescent="0.2">
      <c r="A540" s="122"/>
      <c r="B540" s="161" t="s">
        <v>92</v>
      </c>
      <c r="C540" s="162">
        <v>23.4</v>
      </c>
      <c r="D540" s="163">
        <v>26.7</v>
      </c>
      <c r="E540" s="163">
        <v>0</v>
      </c>
      <c r="F540" s="163">
        <v>3.3000000000000007</v>
      </c>
      <c r="G540" s="164">
        <v>26.7</v>
      </c>
      <c r="H540" s="163">
        <v>0.77039999999999997</v>
      </c>
      <c r="I540" s="165">
        <v>2.8853932584269661</v>
      </c>
      <c r="J540" s="164">
        <v>25.929600000000001</v>
      </c>
      <c r="K540" s="163">
        <v>0.10379999999999989</v>
      </c>
      <c r="L540" s="163">
        <v>9.000000000000119E-3</v>
      </c>
      <c r="M540" s="163">
        <v>1.4499999999999957E-2</v>
      </c>
      <c r="N540" s="163">
        <v>2.4499999999999966E-2</v>
      </c>
      <c r="O540" s="163">
        <v>9.1760299625468042E-2</v>
      </c>
      <c r="P540" s="163">
        <v>3.7949999999999984E-2</v>
      </c>
      <c r="Q540" s="146" t="s">
        <v>186</v>
      </c>
      <c r="T540" s="130"/>
    </row>
    <row r="541" spans="1:20" ht="10.7" customHeight="1" x14ac:dyDescent="0.2">
      <c r="A541" s="122"/>
      <c r="B541" s="161" t="s">
        <v>93</v>
      </c>
      <c r="C541" s="162">
        <v>143.4</v>
      </c>
      <c r="D541" s="163">
        <v>125.7</v>
      </c>
      <c r="E541" s="163">
        <v>0</v>
      </c>
      <c r="F541" s="163">
        <v>-17.700000000000003</v>
      </c>
      <c r="G541" s="164">
        <v>125.7</v>
      </c>
      <c r="H541" s="163">
        <v>4.4066000000000001</v>
      </c>
      <c r="I541" s="165">
        <v>3.5056483691328562</v>
      </c>
      <c r="J541" s="164">
        <v>121.29340000000001</v>
      </c>
      <c r="K541" s="163">
        <v>0</v>
      </c>
      <c r="L541" s="163">
        <v>0.34299999999999997</v>
      </c>
      <c r="M541" s="163">
        <v>0.88700000000000001</v>
      </c>
      <c r="N541" s="163">
        <v>0.44090000000000007</v>
      </c>
      <c r="O541" s="163">
        <v>0.35075576770087513</v>
      </c>
      <c r="P541" s="163">
        <v>0.41772500000000001</v>
      </c>
      <c r="Q541" s="146" t="s">
        <v>186</v>
      </c>
      <c r="T541" s="130"/>
    </row>
    <row r="542" spans="1:20" ht="10.7" hidden="1" customHeight="1" x14ac:dyDescent="0.2">
      <c r="A542" s="122"/>
      <c r="B542" s="161" t="s">
        <v>94</v>
      </c>
      <c r="C542" s="162">
        <v>0</v>
      </c>
      <c r="D542" s="163">
        <v>0</v>
      </c>
      <c r="E542" s="163">
        <v>0</v>
      </c>
      <c r="F542" s="163">
        <v>0</v>
      </c>
      <c r="G542" s="164">
        <v>0</v>
      </c>
      <c r="H542" s="163">
        <v>0</v>
      </c>
      <c r="I542" s="165" t="s">
        <v>119</v>
      </c>
      <c r="J542" s="164">
        <v>0</v>
      </c>
      <c r="K542" s="163">
        <v>0</v>
      </c>
      <c r="L542" s="163">
        <v>0</v>
      </c>
      <c r="M542" s="163">
        <v>0</v>
      </c>
      <c r="N542" s="163">
        <v>0</v>
      </c>
      <c r="O542" s="163" t="s">
        <v>42</v>
      </c>
      <c r="P542" s="163">
        <v>0</v>
      </c>
      <c r="Q542" s="146">
        <v>0</v>
      </c>
      <c r="T542" s="130"/>
    </row>
    <row r="543" spans="1:20" ht="10.7" customHeight="1" x14ac:dyDescent="0.2">
      <c r="A543" s="122"/>
      <c r="B543" s="161" t="s">
        <v>95</v>
      </c>
      <c r="C543" s="162">
        <v>38.799999999999997</v>
      </c>
      <c r="D543" s="163">
        <v>38.799999999999997</v>
      </c>
      <c r="E543" s="163">
        <v>0</v>
      </c>
      <c r="F543" s="163">
        <v>0</v>
      </c>
      <c r="G543" s="164">
        <v>38.799999999999997</v>
      </c>
      <c r="H543" s="163">
        <v>0</v>
      </c>
      <c r="I543" s="165">
        <v>0</v>
      </c>
      <c r="J543" s="164">
        <v>38.799999999999997</v>
      </c>
      <c r="K543" s="163">
        <v>0</v>
      </c>
      <c r="L543" s="163">
        <v>0</v>
      </c>
      <c r="M543" s="163">
        <v>0</v>
      </c>
      <c r="N543" s="163">
        <v>0</v>
      </c>
      <c r="O543" s="163">
        <v>0</v>
      </c>
      <c r="P543" s="163">
        <v>0</v>
      </c>
      <c r="Q543" s="146" t="s">
        <v>186</v>
      </c>
      <c r="T543" s="130"/>
    </row>
    <row r="544" spans="1:20" ht="10.7" customHeight="1" x14ac:dyDescent="0.2">
      <c r="A544" s="122"/>
      <c r="B544" s="161" t="s">
        <v>96</v>
      </c>
      <c r="C544" s="162">
        <v>14.9</v>
      </c>
      <c r="D544" s="163">
        <v>7.1000000000000014</v>
      </c>
      <c r="E544" s="163">
        <v>-5.3999999999999986</v>
      </c>
      <c r="F544" s="163">
        <v>-7.7999999999999989</v>
      </c>
      <c r="G544" s="164">
        <v>7.1000000000000014</v>
      </c>
      <c r="H544" s="163">
        <v>1.2005000000000001</v>
      </c>
      <c r="I544" s="165">
        <v>16.908450704225352</v>
      </c>
      <c r="J544" s="164">
        <v>5.8995000000000015</v>
      </c>
      <c r="K544" s="163">
        <v>0</v>
      </c>
      <c r="L544" s="163">
        <v>5.6000000000000494E-3</v>
      </c>
      <c r="M544" s="163">
        <v>0.3276</v>
      </c>
      <c r="N544" s="163">
        <v>0.32960000000000012</v>
      </c>
      <c r="O544" s="163">
        <v>4.6422535211267615</v>
      </c>
      <c r="P544" s="163">
        <v>0.16570000000000004</v>
      </c>
      <c r="Q544" s="146">
        <v>33.603500301750152</v>
      </c>
      <c r="T544" s="130"/>
    </row>
    <row r="545" spans="1:21" ht="10.7" customHeight="1" x14ac:dyDescent="0.2">
      <c r="A545" s="122"/>
      <c r="B545" s="161" t="s">
        <v>97</v>
      </c>
      <c r="C545" s="162">
        <v>24.7</v>
      </c>
      <c r="D545" s="163">
        <v>24.7</v>
      </c>
      <c r="E545" s="163">
        <v>0</v>
      </c>
      <c r="F545" s="163">
        <v>0</v>
      </c>
      <c r="G545" s="164">
        <v>24.7</v>
      </c>
      <c r="H545" s="163">
        <v>0</v>
      </c>
      <c r="I545" s="165">
        <v>0</v>
      </c>
      <c r="J545" s="164">
        <v>24.7</v>
      </c>
      <c r="K545" s="163">
        <v>0</v>
      </c>
      <c r="L545" s="163">
        <v>0</v>
      </c>
      <c r="M545" s="163">
        <v>0</v>
      </c>
      <c r="N545" s="163">
        <v>0</v>
      </c>
      <c r="O545" s="163">
        <v>0</v>
      </c>
      <c r="P545" s="163">
        <v>0</v>
      </c>
      <c r="Q545" s="146" t="s">
        <v>186</v>
      </c>
      <c r="T545" s="130"/>
    </row>
    <row r="546" spans="1:21" ht="10.7" customHeight="1" x14ac:dyDescent="0.2">
      <c r="A546" s="122"/>
      <c r="B546" s="161" t="s">
        <v>98</v>
      </c>
      <c r="C546" s="162">
        <v>26.5</v>
      </c>
      <c r="D546" s="163">
        <v>6.6999999999999993</v>
      </c>
      <c r="E546" s="163">
        <v>0</v>
      </c>
      <c r="F546" s="163">
        <v>-19.8</v>
      </c>
      <c r="G546" s="164">
        <v>6.6999999999999993</v>
      </c>
      <c r="H546" s="163">
        <v>0.62670000000000003</v>
      </c>
      <c r="I546" s="165">
        <v>9.3537313432835827</v>
      </c>
      <c r="J546" s="164">
        <v>6.0732999999999997</v>
      </c>
      <c r="K546" s="163">
        <v>0</v>
      </c>
      <c r="L546" s="163">
        <v>0</v>
      </c>
      <c r="M546" s="163">
        <v>1.6100000000000003E-2</v>
      </c>
      <c r="N546" s="163">
        <v>0.32120000000000004</v>
      </c>
      <c r="O546" s="163">
        <v>4.79402985074627</v>
      </c>
      <c r="P546" s="163">
        <v>8.4325000000000011E-2</v>
      </c>
      <c r="Q546" s="146" t="s">
        <v>186</v>
      </c>
      <c r="T546" s="130"/>
    </row>
    <row r="547" spans="1:21" ht="10.7" customHeight="1" x14ac:dyDescent="0.2">
      <c r="A547" s="122"/>
      <c r="B547" s="161" t="s">
        <v>99</v>
      </c>
      <c r="C547" s="162">
        <v>40.4</v>
      </c>
      <c r="D547" s="163">
        <v>35.4</v>
      </c>
      <c r="E547" s="163">
        <v>0</v>
      </c>
      <c r="F547" s="163">
        <v>-5</v>
      </c>
      <c r="G547" s="164">
        <v>35.4</v>
      </c>
      <c r="H547" s="163">
        <v>0</v>
      </c>
      <c r="I547" s="165">
        <v>0</v>
      </c>
      <c r="J547" s="164">
        <v>35.4</v>
      </c>
      <c r="K547" s="163">
        <v>0</v>
      </c>
      <c r="L547" s="163">
        <v>0</v>
      </c>
      <c r="M547" s="163">
        <v>0</v>
      </c>
      <c r="N547" s="163">
        <v>0</v>
      </c>
      <c r="O547" s="163">
        <v>0</v>
      </c>
      <c r="P547" s="163">
        <v>0</v>
      </c>
      <c r="Q547" s="146" t="s">
        <v>186</v>
      </c>
      <c r="T547" s="130"/>
    </row>
    <row r="548" spans="1:21" ht="10.7" customHeight="1" x14ac:dyDescent="0.2">
      <c r="A548" s="122"/>
      <c r="B548" s="161" t="s">
        <v>100</v>
      </c>
      <c r="C548" s="162">
        <v>84.8</v>
      </c>
      <c r="D548" s="163">
        <v>74.3</v>
      </c>
      <c r="E548" s="163">
        <v>0</v>
      </c>
      <c r="F548" s="163">
        <v>-10.5</v>
      </c>
      <c r="G548" s="164">
        <v>74.3</v>
      </c>
      <c r="H548" s="163">
        <v>3.8468</v>
      </c>
      <c r="I548" s="165">
        <v>5.1773889636608343</v>
      </c>
      <c r="J548" s="164">
        <v>70.453199999999995</v>
      </c>
      <c r="K548" s="163">
        <v>9.7999999999999865E-2</v>
      </c>
      <c r="L548" s="163">
        <v>0.10690000000000044</v>
      </c>
      <c r="M548" s="163">
        <v>0</v>
      </c>
      <c r="N548" s="163">
        <v>0.24399999999999977</v>
      </c>
      <c r="O548" s="163">
        <v>0.32839838492597551</v>
      </c>
      <c r="P548" s="163">
        <v>0.11222500000000002</v>
      </c>
      <c r="Q548" s="146" t="s">
        <v>186</v>
      </c>
      <c r="T548" s="130"/>
    </row>
    <row r="549" spans="1:21" ht="10.7" customHeight="1" x14ac:dyDescent="0.2">
      <c r="A549" s="122"/>
      <c r="B549" s="161" t="s">
        <v>101</v>
      </c>
      <c r="C549" s="162">
        <v>22.1</v>
      </c>
      <c r="D549" s="163">
        <v>24.5</v>
      </c>
      <c r="E549" s="163">
        <v>6</v>
      </c>
      <c r="F549" s="163">
        <v>2.3999999999999986</v>
      </c>
      <c r="G549" s="164">
        <v>24.5</v>
      </c>
      <c r="H549" s="163">
        <v>2.2645</v>
      </c>
      <c r="I549" s="165">
        <v>9.242857142857142</v>
      </c>
      <c r="J549" s="164">
        <v>22.235500000000002</v>
      </c>
      <c r="K549" s="163">
        <v>0.8589</v>
      </c>
      <c r="L549" s="163">
        <v>0.18989999999999996</v>
      </c>
      <c r="M549" s="163">
        <v>3.819999999999979E-2</v>
      </c>
      <c r="N549" s="163">
        <v>7.140000000000013E-2</v>
      </c>
      <c r="O549" s="163">
        <v>0.29142857142857193</v>
      </c>
      <c r="P549" s="163">
        <v>0.28959999999999997</v>
      </c>
      <c r="Q549" s="146" t="s">
        <v>186</v>
      </c>
      <c r="T549" s="130"/>
    </row>
    <row r="550" spans="1:21" ht="10.7" customHeight="1" x14ac:dyDescent="0.2">
      <c r="A550" s="122"/>
      <c r="B550" s="161" t="s">
        <v>102</v>
      </c>
      <c r="C550" s="162">
        <v>0</v>
      </c>
      <c r="D550" s="163">
        <v>0</v>
      </c>
      <c r="E550" s="163">
        <v>0</v>
      </c>
      <c r="F550" s="163">
        <v>0</v>
      </c>
      <c r="G550" s="164">
        <v>0</v>
      </c>
      <c r="H550" s="163">
        <v>0</v>
      </c>
      <c r="I550" s="165" t="s">
        <v>119</v>
      </c>
      <c r="J550" s="164">
        <v>0</v>
      </c>
      <c r="K550" s="163">
        <v>0</v>
      </c>
      <c r="L550" s="163">
        <v>0</v>
      </c>
      <c r="M550" s="163">
        <v>0</v>
      </c>
      <c r="N550" s="163">
        <v>0</v>
      </c>
      <c r="O550" s="163" t="s">
        <v>42</v>
      </c>
      <c r="P550" s="163">
        <v>0</v>
      </c>
      <c r="Q550" s="146">
        <v>0</v>
      </c>
      <c r="T550" s="130"/>
    </row>
    <row r="551" spans="1:21" ht="10.7" customHeight="1" x14ac:dyDescent="0.2">
      <c r="A551" s="122"/>
      <c r="B551" s="161" t="s">
        <v>103</v>
      </c>
      <c r="C551" s="162">
        <v>2.5</v>
      </c>
      <c r="D551" s="163">
        <v>2.5</v>
      </c>
      <c r="E551" s="163">
        <v>0</v>
      </c>
      <c r="F551" s="163">
        <v>0</v>
      </c>
      <c r="G551" s="164">
        <v>2.5</v>
      </c>
      <c r="H551" s="163">
        <v>0</v>
      </c>
      <c r="I551" s="165">
        <v>0</v>
      </c>
      <c r="J551" s="164">
        <v>2.5</v>
      </c>
      <c r="K551" s="163">
        <v>0</v>
      </c>
      <c r="L551" s="163">
        <v>0</v>
      </c>
      <c r="M551" s="163">
        <v>0</v>
      </c>
      <c r="N551" s="163">
        <v>0</v>
      </c>
      <c r="O551" s="163">
        <v>0</v>
      </c>
      <c r="P551" s="163">
        <v>0</v>
      </c>
      <c r="Q551" s="146" t="s">
        <v>186</v>
      </c>
      <c r="T551" s="130"/>
    </row>
    <row r="552" spans="1:21" ht="10.7" customHeight="1" x14ac:dyDescent="0.2">
      <c r="A552" s="122"/>
      <c r="B552" s="1" t="s">
        <v>104</v>
      </c>
      <c r="C552" s="162">
        <v>3.8</v>
      </c>
      <c r="D552" s="163">
        <v>3.8</v>
      </c>
      <c r="E552" s="163">
        <v>0</v>
      </c>
      <c r="F552" s="163">
        <v>0</v>
      </c>
      <c r="G552" s="164">
        <v>3.8</v>
      </c>
      <c r="H552" s="163">
        <v>1.7645</v>
      </c>
      <c r="I552" s="165">
        <v>46.434210526315788</v>
      </c>
      <c r="J552" s="164">
        <v>2.0354999999999999</v>
      </c>
      <c r="K552" s="163">
        <v>1.0799999999999921E-2</v>
      </c>
      <c r="L552" s="163">
        <v>0</v>
      </c>
      <c r="M552" s="163">
        <v>0</v>
      </c>
      <c r="N552" s="163">
        <v>0</v>
      </c>
      <c r="O552" s="163">
        <v>0</v>
      </c>
      <c r="P552" s="163">
        <v>2.6999999999999802E-3</v>
      </c>
      <c r="Q552" s="146" t="s">
        <v>186</v>
      </c>
      <c r="T552" s="130"/>
    </row>
    <row r="553" spans="1:21" ht="10.7" customHeight="1" x14ac:dyDescent="0.2">
      <c r="A553" s="122"/>
      <c r="B553" s="168" t="s">
        <v>106</v>
      </c>
      <c r="C553" s="172">
        <v>978.1</v>
      </c>
      <c r="D553" s="163">
        <v>904.9</v>
      </c>
      <c r="E553" s="163">
        <v>0</v>
      </c>
      <c r="F553" s="163">
        <v>-73.2</v>
      </c>
      <c r="G553" s="164">
        <v>904.89999999999986</v>
      </c>
      <c r="H553" s="163">
        <v>96.926100000762929</v>
      </c>
      <c r="I553" s="165">
        <v>10.711249861947502</v>
      </c>
      <c r="J553" s="164">
        <v>807.97389999923689</v>
      </c>
      <c r="K553" s="163">
        <v>5.9397000000000304</v>
      </c>
      <c r="L553" s="163">
        <v>7.0241999999999649</v>
      </c>
      <c r="M553" s="163">
        <v>4.785899999999998</v>
      </c>
      <c r="N553" s="163">
        <v>7.8634000000000128</v>
      </c>
      <c r="O553" s="163">
        <v>0.8689799977898125</v>
      </c>
      <c r="P553" s="163">
        <v>6.4033000000000015</v>
      </c>
      <c r="Q553" s="146" t="s">
        <v>186</v>
      </c>
      <c r="T553" s="130"/>
    </row>
    <row r="554" spans="1:21" ht="10.7" customHeight="1" x14ac:dyDescent="0.2">
      <c r="A554" s="122"/>
      <c r="B554" s="168"/>
      <c r="C554" s="162"/>
      <c r="D554" s="163"/>
      <c r="E554" s="163"/>
      <c r="F554" s="163"/>
      <c r="G554" s="164"/>
      <c r="H554" s="163"/>
      <c r="I554" s="165"/>
      <c r="J554" s="164"/>
      <c r="K554" s="163"/>
      <c r="L554" s="163"/>
      <c r="M554" s="163"/>
      <c r="N554" s="163"/>
      <c r="O554" s="163"/>
      <c r="P554" s="163"/>
      <c r="Q554" s="146"/>
      <c r="T554" s="130"/>
    </row>
    <row r="555" spans="1:21" ht="10.7" customHeight="1" x14ac:dyDescent="0.2">
      <c r="A555" s="122"/>
      <c r="B555" s="161" t="s">
        <v>107</v>
      </c>
      <c r="C555" s="162">
        <v>0.1</v>
      </c>
      <c r="D555" s="163">
        <v>0.1</v>
      </c>
      <c r="E555" s="163">
        <v>0</v>
      </c>
      <c r="F555" s="163">
        <v>0</v>
      </c>
      <c r="G555" s="164">
        <v>0.1</v>
      </c>
      <c r="H555" s="163">
        <v>0</v>
      </c>
      <c r="I555" s="165">
        <v>0</v>
      </c>
      <c r="J555" s="164">
        <v>0.1</v>
      </c>
      <c r="K555" s="163">
        <v>0</v>
      </c>
      <c r="L555" s="163">
        <v>0</v>
      </c>
      <c r="M555" s="163">
        <v>0</v>
      </c>
      <c r="N555" s="163">
        <v>0</v>
      </c>
      <c r="O555" s="163">
        <v>0</v>
      </c>
      <c r="P555" s="163">
        <v>0</v>
      </c>
      <c r="Q555" s="146" t="s">
        <v>186</v>
      </c>
      <c r="T555" s="130"/>
    </row>
    <row r="556" spans="1:21" ht="10.7" customHeight="1" x14ac:dyDescent="0.2">
      <c r="A556" s="122"/>
      <c r="B556" s="161" t="s">
        <v>108</v>
      </c>
      <c r="C556" s="162">
        <v>14.2</v>
      </c>
      <c r="D556" s="162">
        <v>19.2</v>
      </c>
      <c r="E556" s="173">
        <v>0</v>
      </c>
      <c r="F556" s="163">
        <v>0</v>
      </c>
      <c r="G556" s="164">
        <v>14.2</v>
      </c>
      <c r="H556" s="163">
        <v>6.1028000000000002</v>
      </c>
      <c r="I556" s="165">
        <v>42.977464788732398</v>
      </c>
      <c r="J556" s="164">
        <v>8.0971999999999991</v>
      </c>
      <c r="K556" s="163">
        <v>2.5907</v>
      </c>
      <c r="L556" s="163">
        <v>1.0400000000000631E-2</v>
      </c>
      <c r="M556" s="163">
        <v>1.9615999999999998</v>
      </c>
      <c r="N556" s="163">
        <v>0</v>
      </c>
      <c r="O556" s="163">
        <v>0</v>
      </c>
      <c r="P556" s="163">
        <v>1.1406750000000001</v>
      </c>
      <c r="Q556" s="146">
        <v>5.0986038968154803</v>
      </c>
      <c r="T556" s="130"/>
    </row>
    <row r="557" spans="1:21" ht="10.7" customHeight="1" x14ac:dyDescent="0.2">
      <c r="A557" s="122"/>
      <c r="B557" s="174" t="s">
        <v>109</v>
      </c>
      <c r="C557" s="162">
        <v>77.7</v>
      </c>
      <c r="D557" s="162">
        <v>130.9</v>
      </c>
      <c r="E557" s="173">
        <v>0</v>
      </c>
      <c r="F557" s="163">
        <v>48</v>
      </c>
      <c r="G557" s="164">
        <v>125.7</v>
      </c>
      <c r="H557" s="163">
        <v>47.312400000000004</v>
      </c>
      <c r="I557" s="165">
        <v>37.639140811455853</v>
      </c>
      <c r="J557" s="164">
        <v>78.387599999999992</v>
      </c>
      <c r="K557" s="163">
        <v>3.6080000000000041</v>
      </c>
      <c r="L557" s="163">
        <v>1.6802999999999981</v>
      </c>
      <c r="M557" s="163">
        <v>6.0055000000000005</v>
      </c>
      <c r="N557" s="163">
        <v>4.8210000000000024</v>
      </c>
      <c r="O557" s="163">
        <v>3.8353221957040593</v>
      </c>
      <c r="P557" s="163">
        <v>4.0287000000000015</v>
      </c>
      <c r="Q557" s="146">
        <v>17.457293916151603</v>
      </c>
      <c r="T557" s="130"/>
    </row>
    <row r="558" spans="1:21" ht="10.7" customHeight="1" x14ac:dyDescent="0.2">
      <c r="A558" s="122"/>
      <c r="B558" s="174" t="s">
        <v>110</v>
      </c>
      <c r="C558" s="162"/>
      <c r="D558" s="163">
        <v>5.2</v>
      </c>
      <c r="E558" s="163"/>
      <c r="F558" s="163">
        <v>5.2</v>
      </c>
      <c r="G558" s="164">
        <v>5.2</v>
      </c>
      <c r="H558" s="163">
        <v>2.8</v>
      </c>
      <c r="I558" s="165">
        <v>53.846153846153847</v>
      </c>
      <c r="J558" s="164">
        <v>2.4000000000000004</v>
      </c>
      <c r="K558" s="163"/>
      <c r="L558" s="163"/>
      <c r="M558" s="163"/>
      <c r="N558" s="163"/>
      <c r="O558" s="163"/>
      <c r="P558" s="163"/>
      <c r="Q558" s="146">
        <v>0</v>
      </c>
      <c r="T558" s="130"/>
      <c r="U558" s="170"/>
    </row>
    <row r="559" spans="1:21" ht="10.7" customHeight="1" x14ac:dyDescent="0.2">
      <c r="A559" s="122"/>
      <c r="B559" s="161" t="s">
        <v>136</v>
      </c>
      <c r="C559" s="162"/>
      <c r="D559" s="163"/>
      <c r="E559" s="163"/>
      <c r="F559" s="163">
        <v>5</v>
      </c>
      <c r="G559" s="164">
        <v>5</v>
      </c>
      <c r="H559" s="163">
        <v>0</v>
      </c>
      <c r="I559" s="165">
        <v>0</v>
      </c>
      <c r="J559" s="164">
        <v>5</v>
      </c>
      <c r="K559" s="163"/>
      <c r="L559" s="163"/>
      <c r="M559" s="163"/>
      <c r="N559" s="163"/>
      <c r="O559" s="163"/>
      <c r="P559" s="163"/>
      <c r="Q559" s="146"/>
      <c r="T559" s="130"/>
    </row>
    <row r="560" spans="1:21" ht="10.7" customHeight="1" x14ac:dyDescent="0.2">
      <c r="A560" s="122"/>
      <c r="B560" s="175" t="s">
        <v>112</v>
      </c>
      <c r="C560" s="176">
        <v>1070.0999999999999</v>
      </c>
      <c r="D560" s="176">
        <v>1060.3</v>
      </c>
      <c r="E560" s="177">
        <v>0</v>
      </c>
      <c r="F560" s="180">
        <v>-15</v>
      </c>
      <c r="G560" s="189">
        <v>1055.0999999999999</v>
      </c>
      <c r="H560" s="180">
        <v>153.14130000076293</v>
      </c>
      <c r="I560" s="179">
        <v>14.514387261943224</v>
      </c>
      <c r="J560" s="189">
        <v>901.95869999923696</v>
      </c>
      <c r="K560" s="180">
        <v>12.138400000000033</v>
      </c>
      <c r="L560" s="180">
        <v>8.7148999999999575</v>
      </c>
      <c r="M560" s="180">
        <v>12.752999999999986</v>
      </c>
      <c r="N560" s="180">
        <v>12.684400000000068</v>
      </c>
      <c r="O560" s="180">
        <v>1.1963029331321389</v>
      </c>
      <c r="P560" s="190">
        <v>11.572675000000011</v>
      </c>
      <c r="Q560" s="153" t="s">
        <v>186</v>
      </c>
      <c r="T560" s="130"/>
    </row>
    <row r="561" spans="1:20" ht="10.7" customHeight="1" x14ac:dyDescent="0.2">
      <c r="A561" s="122"/>
      <c r="B561" s="181"/>
      <c r="C561" s="198"/>
      <c r="D561" s="163"/>
      <c r="E561" s="163"/>
      <c r="F561" s="163"/>
      <c r="G561" s="164"/>
      <c r="H561" s="163"/>
      <c r="I561" s="3"/>
      <c r="J561" s="164"/>
      <c r="K561" s="163"/>
      <c r="L561" s="163"/>
      <c r="M561" s="163"/>
      <c r="N561" s="163"/>
      <c r="O561" s="163"/>
      <c r="P561" s="163"/>
      <c r="Q561" s="182"/>
      <c r="T561" s="130"/>
    </row>
    <row r="562" spans="1:20" ht="10.7" hidden="1" customHeight="1" x14ac:dyDescent="0.2">
      <c r="A562" s="122"/>
      <c r="B562" s="181"/>
      <c r="C562" s="181"/>
      <c r="D562" s="135"/>
      <c r="E562" s="183"/>
      <c r="F562" s="183"/>
      <c r="G562" s="184"/>
      <c r="H562" s="183"/>
      <c r="I562" s="163"/>
      <c r="J562" s="184"/>
      <c r="K562" s="185"/>
      <c r="L562" s="185"/>
      <c r="M562" s="185"/>
      <c r="N562" s="185"/>
      <c r="O562" s="173"/>
      <c r="P562" s="183"/>
      <c r="Q562" s="182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43166</v>
      </c>
      <c r="L565" s="151">
        <v>43173</v>
      </c>
      <c r="M565" s="151">
        <v>43180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6"/>
      <c r="C567" s="193" t="s">
        <v>122</v>
      </c>
      <c r="D567" s="193"/>
      <c r="E567" s="193"/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4"/>
      <c r="Q567" s="145"/>
      <c r="T567" s="130"/>
    </row>
    <row r="568" spans="1:20" ht="10.7" hidden="1" customHeight="1" x14ac:dyDescent="0.2">
      <c r="A568" s="122"/>
      <c r="B568" s="161" t="s">
        <v>80</v>
      </c>
      <c r="C568" s="162">
        <v>0</v>
      </c>
      <c r="D568" s="163">
        <v>0</v>
      </c>
      <c r="E568" s="163">
        <v>0</v>
      </c>
      <c r="F568" s="163">
        <v>0</v>
      </c>
      <c r="G568" s="164">
        <v>0</v>
      </c>
      <c r="H568" s="163">
        <v>2.419</v>
      </c>
      <c r="I568" s="165" t="s">
        <v>119</v>
      </c>
      <c r="J568" s="164">
        <v>-2.419</v>
      </c>
      <c r="K568" s="163">
        <v>0</v>
      </c>
      <c r="L568" s="163">
        <v>0</v>
      </c>
      <c r="M568" s="163">
        <v>5.9999999999997833E-3</v>
      </c>
      <c r="N568" s="163">
        <v>2.2000000000000242E-2</v>
      </c>
      <c r="O568" s="163" t="s">
        <v>42</v>
      </c>
      <c r="P568" s="163">
        <v>7.0000000000000062E-3</v>
      </c>
      <c r="Q568" s="146">
        <v>0</v>
      </c>
      <c r="T568" s="130"/>
    </row>
    <row r="569" spans="1:20" ht="10.7" hidden="1" customHeight="1" x14ac:dyDescent="0.2">
      <c r="A569" s="122"/>
      <c r="B569" s="161" t="s">
        <v>81</v>
      </c>
      <c r="C569" s="162">
        <v>0</v>
      </c>
      <c r="D569" s="163">
        <v>-0.3</v>
      </c>
      <c r="E569" s="163">
        <v>0</v>
      </c>
      <c r="F569" s="163">
        <v>-0.3</v>
      </c>
      <c r="G569" s="164">
        <v>-0.3</v>
      </c>
      <c r="H569" s="163">
        <v>0</v>
      </c>
      <c r="I569" s="165" t="s">
        <v>119</v>
      </c>
      <c r="J569" s="164">
        <v>-0.3</v>
      </c>
      <c r="K569" s="163">
        <v>0</v>
      </c>
      <c r="L569" s="163">
        <v>0</v>
      </c>
      <c r="M569" s="163">
        <v>0</v>
      </c>
      <c r="N569" s="163">
        <v>0</v>
      </c>
      <c r="O569" s="163" t="s">
        <v>42</v>
      </c>
      <c r="P569" s="163">
        <v>0</v>
      </c>
      <c r="Q569" s="146">
        <v>0</v>
      </c>
      <c r="T569" s="130"/>
    </row>
    <row r="570" spans="1:20" ht="10.7" hidden="1" customHeight="1" x14ac:dyDescent="0.2">
      <c r="A570" s="122"/>
      <c r="B570" s="161" t="s">
        <v>82</v>
      </c>
      <c r="C570" s="162">
        <v>0</v>
      </c>
      <c r="D570" s="163">
        <v>0</v>
      </c>
      <c r="E570" s="163">
        <v>0</v>
      </c>
      <c r="F570" s="163">
        <v>0</v>
      </c>
      <c r="G570" s="164">
        <v>0</v>
      </c>
      <c r="H570" s="163">
        <v>0</v>
      </c>
      <c r="I570" s="165" t="s">
        <v>119</v>
      </c>
      <c r="J570" s="164">
        <v>0</v>
      </c>
      <c r="K570" s="163">
        <v>0</v>
      </c>
      <c r="L570" s="163">
        <v>0</v>
      </c>
      <c r="M570" s="163">
        <v>0</v>
      </c>
      <c r="N570" s="163">
        <v>0</v>
      </c>
      <c r="O570" s="163" t="s">
        <v>42</v>
      </c>
      <c r="P570" s="163">
        <v>0</v>
      </c>
      <c r="Q570" s="146">
        <v>0</v>
      </c>
      <c r="T570" s="130"/>
    </row>
    <row r="571" spans="1:20" ht="10.7" hidden="1" customHeight="1" x14ac:dyDescent="0.2">
      <c r="A571" s="122"/>
      <c r="B571" s="161" t="s">
        <v>83</v>
      </c>
      <c r="C571" s="162">
        <v>0</v>
      </c>
      <c r="D571" s="163">
        <v>0</v>
      </c>
      <c r="E571" s="163">
        <v>0</v>
      </c>
      <c r="F571" s="163">
        <v>0</v>
      </c>
      <c r="G571" s="164">
        <v>0</v>
      </c>
      <c r="H571" s="163">
        <v>1.0999999999999999E-2</v>
      </c>
      <c r="I571" s="165" t="s">
        <v>119</v>
      </c>
      <c r="J571" s="164">
        <v>-1.0999999999999999E-2</v>
      </c>
      <c r="K571" s="163">
        <v>0</v>
      </c>
      <c r="L571" s="163">
        <v>0</v>
      </c>
      <c r="M571" s="163">
        <v>0</v>
      </c>
      <c r="N571" s="163">
        <v>0</v>
      </c>
      <c r="O571" s="163" t="s">
        <v>42</v>
      </c>
      <c r="P571" s="163">
        <v>0</v>
      </c>
      <c r="Q571" s="146">
        <v>0</v>
      </c>
      <c r="T571" s="130"/>
    </row>
    <row r="572" spans="1:20" ht="10.7" hidden="1" customHeight="1" x14ac:dyDescent="0.2">
      <c r="A572" s="122"/>
      <c r="B572" s="161" t="s">
        <v>84</v>
      </c>
      <c r="C572" s="162">
        <v>0</v>
      </c>
      <c r="D572" s="163">
        <v>0</v>
      </c>
      <c r="E572" s="163">
        <v>0</v>
      </c>
      <c r="F572" s="163">
        <v>0</v>
      </c>
      <c r="G572" s="164">
        <v>0</v>
      </c>
      <c r="H572" s="163">
        <v>0.115</v>
      </c>
      <c r="I572" s="165" t="s">
        <v>119</v>
      </c>
      <c r="J572" s="164">
        <v>-0.115</v>
      </c>
      <c r="K572" s="163">
        <v>0</v>
      </c>
      <c r="L572" s="163">
        <v>0</v>
      </c>
      <c r="M572" s="163">
        <v>0</v>
      </c>
      <c r="N572" s="163">
        <v>0</v>
      </c>
      <c r="O572" s="163" t="s">
        <v>42</v>
      </c>
      <c r="P572" s="163">
        <v>0</v>
      </c>
      <c r="Q572" s="146">
        <v>0</v>
      </c>
      <c r="T572" s="130"/>
    </row>
    <row r="573" spans="1:20" ht="10.7" hidden="1" customHeight="1" x14ac:dyDescent="0.2">
      <c r="A573" s="122"/>
      <c r="B573" s="161" t="s">
        <v>85</v>
      </c>
      <c r="C573" s="162">
        <v>0</v>
      </c>
      <c r="D573" s="163">
        <v>0.3</v>
      </c>
      <c r="E573" s="163">
        <v>0</v>
      </c>
      <c r="F573" s="163">
        <v>0.3</v>
      </c>
      <c r="G573" s="164">
        <v>0.3</v>
      </c>
      <c r="H573" s="163">
        <v>0.06</v>
      </c>
      <c r="I573" s="165">
        <v>20</v>
      </c>
      <c r="J573" s="164">
        <v>0.24</v>
      </c>
      <c r="K573" s="163">
        <v>0</v>
      </c>
      <c r="L573" s="163">
        <v>3.9999999999999994E-2</v>
      </c>
      <c r="M573" s="163">
        <v>0</v>
      </c>
      <c r="N573" s="163">
        <v>0</v>
      </c>
      <c r="O573" s="163">
        <v>0</v>
      </c>
      <c r="P573" s="163">
        <v>9.9999999999999985E-3</v>
      </c>
      <c r="Q573" s="146">
        <v>22.000000000000004</v>
      </c>
      <c r="T573" s="130"/>
    </row>
    <row r="574" spans="1:20" ht="10.7" hidden="1" customHeight="1" x14ac:dyDescent="0.2">
      <c r="A574" s="122"/>
      <c r="B574" s="161" t="s">
        <v>86</v>
      </c>
      <c r="C574" s="162">
        <v>0</v>
      </c>
      <c r="D574" s="163">
        <v>0</v>
      </c>
      <c r="E574" s="163">
        <v>0</v>
      </c>
      <c r="F574" s="163">
        <v>0</v>
      </c>
      <c r="G574" s="164">
        <v>0</v>
      </c>
      <c r="H574" s="163">
        <v>0</v>
      </c>
      <c r="I574" s="165" t="s">
        <v>119</v>
      </c>
      <c r="J574" s="164">
        <v>0</v>
      </c>
      <c r="K574" s="163">
        <v>0</v>
      </c>
      <c r="L574" s="163">
        <v>0</v>
      </c>
      <c r="M574" s="163">
        <v>0</v>
      </c>
      <c r="N574" s="163">
        <v>0</v>
      </c>
      <c r="O574" s="163" t="s">
        <v>42</v>
      </c>
      <c r="P574" s="163">
        <v>0</v>
      </c>
      <c r="Q574" s="146">
        <v>0</v>
      </c>
      <c r="T574" s="130"/>
    </row>
    <row r="575" spans="1:20" ht="10.7" hidden="1" customHeight="1" x14ac:dyDescent="0.2">
      <c r="A575" s="122"/>
      <c r="B575" s="161" t="s">
        <v>87</v>
      </c>
      <c r="C575" s="162">
        <v>0</v>
      </c>
      <c r="D575" s="163">
        <v>0</v>
      </c>
      <c r="E575" s="163">
        <v>0</v>
      </c>
      <c r="F575" s="163">
        <v>0</v>
      </c>
      <c r="G575" s="164">
        <v>0</v>
      </c>
      <c r="H575" s="163">
        <v>0</v>
      </c>
      <c r="I575" s="165" t="s">
        <v>119</v>
      </c>
      <c r="J575" s="164">
        <v>0</v>
      </c>
      <c r="K575" s="163">
        <v>0</v>
      </c>
      <c r="L575" s="163">
        <v>0</v>
      </c>
      <c r="M575" s="163">
        <v>0</v>
      </c>
      <c r="N575" s="163">
        <v>0</v>
      </c>
      <c r="O575" s="163" t="s">
        <v>42</v>
      </c>
      <c r="P575" s="163">
        <v>0</v>
      </c>
      <c r="Q575" s="146">
        <v>0</v>
      </c>
      <c r="T575" s="130"/>
    </row>
    <row r="576" spans="1:20" ht="10.7" hidden="1" customHeight="1" x14ac:dyDescent="0.2">
      <c r="A576" s="122"/>
      <c r="B576" s="161" t="s">
        <v>88</v>
      </c>
      <c r="C576" s="162">
        <v>0</v>
      </c>
      <c r="D576" s="163">
        <v>0</v>
      </c>
      <c r="E576" s="163">
        <v>0</v>
      </c>
      <c r="F576" s="163">
        <v>0</v>
      </c>
      <c r="G576" s="164">
        <v>0</v>
      </c>
      <c r="H576" s="163">
        <v>0</v>
      </c>
      <c r="I576" s="165" t="s">
        <v>119</v>
      </c>
      <c r="J576" s="164">
        <v>0</v>
      </c>
      <c r="K576" s="163">
        <v>0</v>
      </c>
      <c r="L576" s="163">
        <v>0</v>
      </c>
      <c r="M576" s="163">
        <v>0</v>
      </c>
      <c r="N576" s="163">
        <v>0</v>
      </c>
      <c r="O576" s="163" t="s">
        <v>42</v>
      </c>
      <c r="P576" s="163">
        <v>0</v>
      </c>
      <c r="Q576" s="146" t="s">
        <v>162</v>
      </c>
      <c r="T576" s="130"/>
    </row>
    <row r="577" spans="1:20" ht="10.7" hidden="1" customHeight="1" x14ac:dyDescent="0.2">
      <c r="A577" s="122"/>
      <c r="B577" s="161" t="s">
        <v>89</v>
      </c>
      <c r="C577" s="162">
        <v>0</v>
      </c>
      <c r="D577" s="163">
        <v>0</v>
      </c>
      <c r="E577" s="163">
        <v>0</v>
      </c>
      <c r="F577" s="163">
        <v>0</v>
      </c>
      <c r="G577" s="164">
        <v>0</v>
      </c>
      <c r="H577" s="163">
        <v>0</v>
      </c>
      <c r="I577" s="165" t="s">
        <v>119</v>
      </c>
      <c r="J577" s="164">
        <v>0</v>
      </c>
      <c r="K577" s="163">
        <v>0</v>
      </c>
      <c r="L577" s="163">
        <v>0</v>
      </c>
      <c r="M577" s="163">
        <v>0</v>
      </c>
      <c r="N577" s="163">
        <v>0</v>
      </c>
      <c r="O577" s="163" t="s">
        <v>42</v>
      </c>
      <c r="P577" s="163">
        <v>0</v>
      </c>
      <c r="Q577" s="146">
        <v>0</v>
      </c>
      <c r="T577" s="130"/>
    </row>
    <row r="578" spans="1:20" ht="10.7" hidden="1" customHeight="1" x14ac:dyDescent="0.2">
      <c r="A578" s="122"/>
      <c r="B578" s="168" t="s">
        <v>91</v>
      </c>
      <c r="C578" s="162">
        <v>0</v>
      </c>
      <c r="D578" s="163">
        <v>0</v>
      </c>
      <c r="E578" s="163">
        <v>0</v>
      </c>
      <c r="F578" s="163">
        <v>0</v>
      </c>
      <c r="G578" s="164">
        <v>0</v>
      </c>
      <c r="H578" s="163">
        <v>2.6050000000000004</v>
      </c>
      <c r="I578" s="165" t="s">
        <v>119</v>
      </c>
      <c r="J578" s="164">
        <v>-2.6050000000000004</v>
      </c>
      <c r="K578" s="163">
        <v>0</v>
      </c>
      <c r="L578" s="163">
        <v>3.9999999999999994E-2</v>
      </c>
      <c r="M578" s="163">
        <v>5.9999999999997833E-3</v>
      </c>
      <c r="N578" s="163">
        <v>2.2000000000000242E-2</v>
      </c>
      <c r="O578" s="163" t="s">
        <v>42</v>
      </c>
      <c r="P578" s="169">
        <v>1.7000000000000005E-2</v>
      </c>
      <c r="Q578" s="146">
        <v>0</v>
      </c>
      <c r="T578" s="130"/>
    </row>
    <row r="579" spans="1:20" ht="10.7" hidden="1" customHeight="1" x14ac:dyDescent="0.2">
      <c r="A579" s="122"/>
      <c r="B579" s="168"/>
      <c r="D579" s="163"/>
      <c r="E579" s="163"/>
      <c r="F579" s="163"/>
      <c r="G579" s="164"/>
      <c r="H579" s="163"/>
      <c r="I579" s="165"/>
      <c r="J579" s="164"/>
      <c r="K579" s="163"/>
      <c r="L579" s="163"/>
      <c r="M579" s="163"/>
      <c r="N579" s="163"/>
      <c r="O579" s="163"/>
      <c r="P579" s="163"/>
      <c r="Q579" s="146"/>
      <c r="T579" s="130"/>
    </row>
    <row r="580" spans="1:20" ht="10.7" hidden="1" customHeight="1" x14ac:dyDescent="0.2">
      <c r="A580" s="122"/>
      <c r="B580" s="161" t="s">
        <v>92</v>
      </c>
      <c r="C580" s="162">
        <v>0</v>
      </c>
      <c r="D580" s="163">
        <v>0</v>
      </c>
      <c r="E580" s="163">
        <v>0</v>
      </c>
      <c r="F580" s="163">
        <v>0</v>
      </c>
      <c r="G580" s="164">
        <v>0</v>
      </c>
      <c r="H580" s="163">
        <v>0</v>
      </c>
      <c r="I580" s="165" t="s">
        <v>119</v>
      </c>
      <c r="J580" s="164">
        <v>0</v>
      </c>
      <c r="K580" s="163">
        <v>0</v>
      </c>
      <c r="L580" s="163">
        <v>0</v>
      </c>
      <c r="M580" s="163">
        <v>0</v>
      </c>
      <c r="N580" s="163">
        <v>0</v>
      </c>
      <c r="O580" s="163" t="s">
        <v>42</v>
      </c>
      <c r="P580" s="163">
        <v>0</v>
      </c>
      <c r="Q580" s="146">
        <v>0</v>
      </c>
      <c r="T580" s="130"/>
    </row>
    <row r="581" spans="1:20" ht="10.7" hidden="1" customHeight="1" x14ac:dyDescent="0.2">
      <c r="A581" s="122"/>
      <c r="B581" s="161" t="s">
        <v>93</v>
      </c>
      <c r="C581" s="162">
        <v>0</v>
      </c>
      <c r="D581" s="163">
        <v>0</v>
      </c>
      <c r="E581" s="163">
        <v>0</v>
      </c>
      <c r="F581" s="163">
        <v>0</v>
      </c>
      <c r="G581" s="164">
        <v>0</v>
      </c>
      <c r="H581" s="163">
        <v>0</v>
      </c>
      <c r="I581" s="165" t="s">
        <v>119</v>
      </c>
      <c r="J581" s="164">
        <v>0</v>
      </c>
      <c r="K581" s="163">
        <v>0</v>
      </c>
      <c r="L581" s="163">
        <v>0</v>
      </c>
      <c r="M581" s="163">
        <v>0</v>
      </c>
      <c r="N581" s="163">
        <v>0</v>
      </c>
      <c r="O581" s="163" t="s">
        <v>42</v>
      </c>
      <c r="P581" s="163">
        <v>0</v>
      </c>
      <c r="Q581" s="146">
        <v>0</v>
      </c>
      <c r="T581" s="130"/>
    </row>
    <row r="582" spans="1:20" ht="10.7" hidden="1" customHeight="1" x14ac:dyDescent="0.2">
      <c r="A582" s="122"/>
      <c r="B582" s="161" t="s">
        <v>94</v>
      </c>
      <c r="C582" s="162">
        <v>0</v>
      </c>
      <c r="D582" s="163">
        <v>0</v>
      </c>
      <c r="E582" s="163">
        <v>0</v>
      </c>
      <c r="F582" s="163">
        <v>0</v>
      </c>
      <c r="G582" s="164">
        <v>0</v>
      </c>
      <c r="H582" s="163">
        <v>0</v>
      </c>
      <c r="I582" s="165" t="s">
        <v>119</v>
      </c>
      <c r="J582" s="164">
        <v>0</v>
      </c>
      <c r="K582" s="163">
        <v>0</v>
      </c>
      <c r="L582" s="163">
        <v>0</v>
      </c>
      <c r="M582" s="163">
        <v>0</v>
      </c>
      <c r="N582" s="163">
        <v>0</v>
      </c>
      <c r="O582" s="163" t="s">
        <v>42</v>
      </c>
      <c r="P582" s="163">
        <v>0</v>
      </c>
      <c r="Q582" s="146">
        <v>0</v>
      </c>
      <c r="T582" s="130"/>
    </row>
    <row r="583" spans="1:20" ht="10.7" hidden="1" customHeight="1" x14ac:dyDescent="0.2">
      <c r="A583" s="122"/>
      <c r="B583" s="161" t="s">
        <v>95</v>
      </c>
      <c r="C583" s="162">
        <v>0</v>
      </c>
      <c r="D583" s="163">
        <v>0</v>
      </c>
      <c r="E583" s="163">
        <v>0</v>
      </c>
      <c r="F583" s="163">
        <v>0</v>
      </c>
      <c r="G583" s="164">
        <v>0</v>
      </c>
      <c r="H583" s="163">
        <v>0</v>
      </c>
      <c r="I583" s="165" t="s">
        <v>119</v>
      </c>
      <c r="J583" s="164">
        <v>0</v>
      </c>
      <c r="K583" s="163">
        <v>0</v>
      </c>
      <c r="L583" s="163">
        <v>0</v>
      </c>
      <c r="M583" s="163">
        <v>0</v>
      </c>
      <c r="N583" s="163">
        <v>0</v>
      </c>
      <c r="O583" s="163" t="s">
        <v>42</v>
      </c>
      <c r="P583" s="163">
        <v>0</v>
      </c>
      <c r="Q583" s="146">
        <v>0</v>
      </c>
      <c r="T583" s="130"/>
    </row>
    <row r="584" spans="1:20" ht="10.7" hidden="1" customHeight="1" x14ac:dyDescent="0.2">
      <c r="A584" s="122"/>
      <c r="B584" s="161" t="s">
        <v>96</v>
      </c>
      <c r="C584" s="162">
        <v>0</v>
      </c>
      <c r="D584" s="163">
        <v>0</v>
      </c>
      <c r="E584" s="163">
        <v>0</v>
      </c>
      <c r="F584" s="163">
        <v>0</v>
      </c>
      <c r="G584" s="164">
        <v>0</v>
      </c>
      <c r="H584" s="163">
        <v>0</v>
      </c>
      <c r="I584" s="165" t="s">
        <v>119</v>
      </c>
      <c r="J584" s="164">
        <v>0</v>
      </c>
      <c r="K584" s="163">
        <v>0</v>
      </c>
      <c r="L584" s="163">
        <v>0</v>
      </c>
      <c r="M584" s="163">
        <v>0</v>
      </c>
      <c r="N584" s="163">
        <v>0</v>
      </c>
      <c r="O584" s="163" t="s">
        <v>42</v>
      </c>
      <c r="P584" s="163">
        <v>0</v>
      </c>
      <c r="Q584" s="146">
        <v>0</v>
      </c>
      <c r="T584" s="130"/>
    </row>
    <row r="585" spans="1:20" ht="10.7" hidden="1" customHeight="1" x14ac:dyDescent="0.2">
      <c r="A585" s="122"/>
      <c r="B585" s="161" t="s">
        <v>97</v>
      </c>
      <c r="C585" s="162">
        <v>0</v>
      </c>
      <c r="D585" s="163">
        <v>0</v>
      </c>
      <c r="E585" s="163">
        <v>0</v>
      </c>
      <c r="F585" s="163">
        <v>0</v>
      </c>
      <c r="G585" s="164">
        <v>0</v>
      </c>
      <c r="H585" s="163">
        <v>0</v>
      </c>
      <c r="I585" s="165" t="s">
        <v>119</v>
      </c>
      <c r="J585" s="164">
        <v>0</v>
      </c>
      <c r="K585" s="163">
        <v>0</v>
      </c>
      <c r="L585" s="163">
        <v>0</v>
      </c>
      <c r="M585" s="163">
        <v>0</v>
      </c>
      <c r="N585" s="163">
        <v>0</v>
      </c>
      <c r="O585" s="163" t="s">
        <v>42</v>
      </c>
      <c r="P585" s="163">
        <v>0</v>
      </c>
      <c r="Q585" s="146">
        <v>0</v>
      </c>
      <c r="T585" s="130"/>
    </row>
    <row r="586" spans="1:20" ht="10.7" hidden="1" customHeight="1" x14ac:dyDescent="0.2">
      <c r="A586" s="122"/>
      <c r="B586" s="161" t="s">
        <v>98</v>
      </c>
      <c r="C586" s="162">
        <v>0</v>
      </c>
      <c r="D586" s="163">
        <v>0</v>
      </c>
      <c r="E586" s="163">
        <v>0</v>
      </c>
      <c r="F586" s="163">
        <v>0</v>
      </c>
      <c r="G586" s="164">
        <v>0</v>
      </c>
      <c r="H586" s="163">
        <v>0</v>
      </c>
      <c r="I586" s="165" t="s">
        <v>119</v>
      </c>
      <c r="J586" s="164">
        <v>0</v>
      </c>
      <c r="K586" s="163">
        <v>0</v>
      </c>
      <c r="L586" s="163">
        <v>0</v>
      </c>
      <c r="M586" s="163">
        <v>0</v>
      </c>
      <c r="N586" s="163">
        <v>0</v>
      </c>
      <c r="O586" s="163" t="s">
        <v>42</v>
      </c>
      <c r="P586" s="163">
        <v>0</v>
      </c>
      <c r="Q586" s="146">
        <v>0</v>
      </c>
      <c r="T586" s="130"/>
    </row>
    <row r="587" spans="1:20" ht="10.7" hidden="1" customHeight="1" x14ac:dyDescent="0.2">
      <c r="A587" s="122"/>
      <c r="B587" s="161" t="s">
        <v>99</v>
      </c>
      <c r="C587" s="162">
        <v>0</v>
      </c>
      <c r="D587" s="163">
        <v>0</v>
      </c>
      <c r="E587" s="163">
        <v>0</v>
      </c>
      <c r="F587" s="163">
        <v>0</v>
      </c>
      <c r="G587" s="164">
        <v>0</v>
      </c>
      <c r="H587" s="163">
        <v>0</v>
      </c>
      <c r="I587" s="165" t="s">
        <v>119</v>
      </c>
      <c r="J587" s="164">
        <v>0</v>
      </c>
      <c r="K587" s="163">
        <v>0</v>
      </c>
      <c r="L587" s="163">
        <v>0</v>
      </c>
      <c r="M587" s="163">
        <v>0</v>
      </c>
      <c r="N587" s="163">
        <v>0</v>
      </c>
      <c r="O587" s="163" t="s">
        <v>42</v>
      </c>
      <c r="P587" s="163">
        <v>0</v>
      </c>
      <c r="Q587" s="146">
        <v>0</v>
      </c>
      <c r="T587" s="130"/>
    </row>
    <row r="588" spans="1:20" ht="10.7" hidden="1" customHeight="1" x14ac:dyDescent="0.2">
      <c r="A588" s="122"/>
      <c r="B588" s="161" t="s">
        <v>100</v>
      </c>
      <c r="C588" s="162">
        <v>0</v>
      </c>
      <c r="D588" s="163">
        <v>0</v>
      </c>
      <c r="E588" s="163">
        <v>0</v>
      </c>
      <c r="F588" s="163">
        <v>0</v>
      </c>
      <c r="G588" s="164">
        <v>0</v>
      </c>
      <c r="H588" s="163">
        <v>20.481000000000002</v>
      </c>
      <c r="I588" s="165" t="s">
        <v>119</v>
      </c>
      <c r="J588" s="164">
        <v>-20.481000000000002</v>
      </c>
      <c r="K588" s="163">
        <v>1.2039999999999988</v>
      </c>
      <c r="L588" s="163">
        <v>2.3780000000000001</v>
      </c>
      <c r="M588" s="163">
        <v>1.8609999999999989</v>
      </c>
      <c r="N588" s="163">
        <v>5.3470000000000022</v>
      </c>
      <c r="O588" s="163" t="s">
        <v>42</v>
      </c>
      <c r="P588" s="163">
        <v>2.6974999999999998</v>
      </c>
      <c r="Q588" s="146">
        <v>0</v>
      </c>
      <c r="T588" s="130"/>
    </row>
    <row r="589" spans="1:20" ht="10.7" hidden="1" customHeight="1" x14ac:dyDescent="0.2">
      <c r="A589" s="122"/>
      <c r="B589" s="161" t="s">
        <v>101</v>
      </c>
      <c r="C589" s="162">
        <v>0</v>
      </c>
      <c r="D589" s="163">
        <v>0</v>
      </c>
      <c r="E589" s="163">
        <v>0</v>
      </c>
      <c r="F589" s="163">
        <v>0</v>
      </c>
      <c r="G589" s="164">
        <v>0</v>
      </c>
      <c r="H589" s="163">
        <v>0</v>
      </c>
      <c r="I589" s="165" t="s">
        <v>119</v>
      </c>
      <c r="J589" s="164">
        <v>0</v>
      </c>
      <c r="K589" s="163">
        <v>0</v>
      </c>
      <c r="L589" s="163">
        <v>0</v>
      </c>
      <c r="M589" s="163">
        <v>0</v>
      </c>
      <c r="N589" s="163">
        <v>0</v>
      </c>
      <c r="O589" s="163" t="s">
        <v>42</v>
      </c>
      <c r="P589" s="163">
        <v>0</v>
      </c>
      <c r="Q589" s="146">
        <v>0</v>
      </c>
      <c r="T589" s="130"/>
    </row>
    <row r="590" spans="1:20" ht="10.7" hidden="1" customHeight="1" x14ac:dyDescent="0.2">
      <c r="A590" s="122"/>
      <c r="B590" s="161" t="s">
        <v>102</v>
      </c>
      <c r="C590" s="162">
        <v>0</v>
      </c>
      <c r="D590" s="163">
        <v>0</v>
      </c>
      <c r="E590" s="163">
        <v>0</v>
      </c>
      <c r="F590" s="163">
        <v>0</v>
      </c>
      <c r="G590" s="164">
        <v>0</v>
      </c>
      <c r="H590" s="163">
        <v>0</v>
      </c>
      <c r="I590" s="165" t="s">
        <v>119</v>
      </c>
      <c r="J590" s="164">
        <v>0</v>
      </c>
      <c r="K590" s="163">
        <v>0</v>
      </c>
      <c r="L590" s="163">
        <v>0</v>
      </c>
      <c r="M590" s="163">
        <v>0</v>
      </c>
      <c r="N590" s="163">
        <v>0</v>
      </c>
      <c r="O590" s="163" t="s">
        <v>42</v>
      </c>
      <c r="P590" s="163">
        <v>0</v>
      </c>
      <c r="Q590" s="146" t="s">
        <v>162</v>
      </c>
      <c r="T590" s="130"/>
    </row>
    <row r="591" spans="1:20" ht="10.7" hidden="1" customHeight="1" x14ac:dyDescent="0.2">
      <c r="A591" s="122"/>
      <c r="B591" s="161" t="s">
        <v>103</v>
      </c>
      <c r="C591" s="162">
        <v>0</v>
      </c>
      <c r="D591" s="163">
        <v>0</v>
      </c>
      <c r="E591" s="163">
        <v>0</v>
      </c>
      <c r="F591" s="163">
        <v>0</v>
      </c>
      <c r="G591" s="164">
        <v>0</v>
      </c>
      <c r="H591" s="163">
        <v>0</v>
      </c>
      <c r="I591" s="165" t="s">
        <v>119</v>
      </c>
      <c r="J591" s="164">
        <v>0</v>
      </c>
      <c r="K591" s="163">
        <v>0</v>
      </c>
      <c r="L591" s="163">
        <v>0</v>
      </c>
      <c r="M591" s="163">
        <v>0</v>
      </c>
      <c r="N591" s="163">
        <v>0</v>
      </c>
      <c r="O591" s="163" t="s">
        <v>42</v>
      </c>
      <c r="P591" s="163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104</v>
      </c>
      <c r="C592" s="162">
        <v>0</v>
      </c>
      <c r="D592" s="163">
        <v>0</v>
      </c>
      <c r="E592" s="163">
        <v>0</v>
      </c>
      <c r="F592" s="163">
        <v>0</v>
      </c>
      <c r="G592" s="164">
        <v>0</v>
      </c>
      <c r="H592" s="163">
        <v>0</v>
      </c>
      <c r="I592" s="165" t="s">
        <v>119</v>
      </c>
      <c r="J592" s="164">
        <v>0</v>
      </c>
      <c r="K592" s="163">
        <v>0</v>
      </c>
      <c r="L592" s="163">
        <v>0</v>
      </c>
      <c r="M592" s="163">
        <v>0</v>
      </c>
      <c r="N592" s="163">
        <v>0</v>
      </c>
      <c r="O592" s="163" t="s">
        <v>42</v>
      </c>
      <c r="P592" s="163">
        <v>0</v>
      </c>
      <c r="Q592" s="146">
        <v>0</v>
      </c>
      <c r="T592" s="130"/>
    </row>
    <row r="593" spans="1:20" ht="10.7" hidden="1" customHeight="1" x14ac:dyDescent="0.2">
      <c r="A593" s="122"/>
      <c r="B593" s="168" t="s">
        <v>106</v>
      </c>
      <c r="C593" s="172">
        <v>0</v>
      </c>
      <c r="D593" s="163">
        <v>0</v>
      </c>
      <c r="E593" s="163">
        <v>0</v>
      </c>
      <c r="F593" s="163">
        <v>0</v>
      </c>
      <c r="G593" s="164">
        <v>0</v>
      </c>
      <c r="H593" s="163">
        <v>23.086000000000002</v>
      </c>
      <c r="I593" s="165" t="s">
        <v>119</v>
      </c>
      <c r="J593" s="164">
        <v>-23.086000000000002</v>
      </c>
      <c r="K593" s="163">
        <v>1.2039999999999988</v>
      </c>
      <c r="L593" s="163">
        <v>2.4179999999999993</v>
      </c>
      <c r="M593" s="163">
        <v>1.8669999999999991</v>
      </c>
      <c r="N593" s="163">
        <v>5.3690000000000042</v>
      </c>
      <c r="O593" s="163" t="s">
        <v>42</v>
      </c>
      <c r="P593" s="163">
        <v>2.7145000000000001</v>
      </c>
      <c r="Q593" s="146">
        <v>0</v>
      </c>
      <c r="T593" s="130"/>
    </row>
    <row r="594" spans="1:20" ht="10.7" hidden="1" customHeight="1" x14ac:dyDescent="0.2">
      <c r="A594" s="122"/>
      <c r="B594" s="168"/>
      <c r="C594" s="162"/>
      <c r="D594" s="163"/>
      <c r="E594" s="163"/>
      <c r="F594" s="163"/>
      <c r="G594" s="164"/>
      <c r="H594" s="163"/>
      <c r="I594" s="165"/>
      <c r="J594" s="164"/>
      <c r="K594" s="163"/>
      <c r="L594" s="163"/>
      <c r="M594" s="163"/>
      <c r="N594" s="163"/>
      <c r="O594" s="163"/>
      <c r="P594" s="163"/>
      <c r="Q594" s="146"/>
      <c r="T594" s="130"/>
    </row>
    <row r="595" spans="1:20" ht="10.7" hidden="1" customHeight="1" x14ac:dyDescent="0.2">
      <c r="A595" s="122"/>
      <c r="B595" s="161" t="s">
        <v>107</v>
      </c>
      <c r="C595" s="162">
        <v>0</v>
      </c>
      <c r="D595" s="163">
        <v>0</v>
      </c>
      <c r="E595" s="163">
        <v>0</v>
      </c>
      <c r="F595" s="163">
        <v>0</v>
      </c>
      <c r="G595" s="164">
        <v>0</v>
      </c>
      <c r="H595" s="163">
        <v>0</v>
      </c>
      <c r="I595" s="165" t="s">
        <v>119</v>
      </c>
      <c r="J595" s="164">
        <v>0</v>
      </c>
      <c r="K595" s="163">
        <v>0</v>
      </c>
      <c r="L595" s="163">
        <v>0</v>
      </c>
      <c r="M595" s="163">
        <v>0</v>
      </c>
      <c r="N595" s="163">
        <v>0</v>
      </c>
      <c r="O595" s="163" t="s">
        <v>42</v>
      </c>
      <c r="P595" s="163">
        <v>0</v>
      </c>
      <c r="Q595" s="146">
        <v>0</v>
      </c>
      <c r="T595" s="130"/>
    </row>
    <row r="596" spans="1:20" ht="10.7" hidden="1" customHeight="1" x14ac:dyDescent="0.2">
      <c r="A596" s="122"/>
      <c r="B596" s="161" t="s">
        <v>108</v>
      </c>
      <c r="C596" s="162">
        <v>0</v>
      </c>
      <c r="D596" s="162">
        <v>0</v>
      </c>
      <c r="E596" s="173">
        <v>0</v>
      </c>
      <c r="F596" s="163">
        <v>0</v>
      </c>
      <c r="G596" s="164">
        <v>0</v>
      </c>
      <c r="H596" s="163">
        <v>0</v>
      </c>
      <c r="I596" s="165" t="s">
        <v>119</v>
      </c>
      <c r="J596" s="164">
        <v>0</v>
      </c>
      <c r="K596" s="163">
        <v>0</v>
      </c>
      <c r="L596" s="163">
        <v>0</v>
      </c>
      <c r="M596" s="163">
        <v>0</v>
      </c>
      <c r="N596" s="163">
        <v>0</v>
      </c>
      <c r="O596" s="163" t="s">
        <v>42</v>
      </c>
      <c r="P596" s="163">
        <v>0</v>
      </c>
      <c r="Q596" s="146">
        <v>0</v>
      </c>
      <c r="T596" s="130"/>
    </row>
    <row r="597" spans="1:20" ht="10.7" hidden="1" customHeight="1" x14ac:dyDescent="0.2">
      <c r="A597" s="122"/>
      <c r="B597" s="174" t="s">
        <v>109</v>
      </c>
      <c r="C597" s="162">
        <v>0</v>
      </c>
      <c r="D597" s="162">
        <v>0</v>
      </c>
      <c r="E597" s="173">
        <v>0</v>
      </c>
      <c r="F597" s="163">
        <v>0</v>
      </c>
      <c r="G597" s="164">
        <v>0</v>
      </c>
      <c r="H597" s="163">
        <v>0</v>
      </c>
      <c r="I597" s="165" t="s">
        <v>119</v>
      </c>
      <c r="J597" s="164">
        <v>0</v>
      </c>
      <c r="K597" s="163">
        <v>0</v>
      </c>
      <c r="L597" s="163">
        <v>0</v>
      </c>
      <c r="M597" s="163">
        <v>0</v>
      </c>
      <c r="N597" s="163">
        <v>0</v>
      </c>
      <c r="O597" s="163" t="s">
        <v>42</v>
      </c>
      <c r="P597" s="163">
        <v>0</v>
      </c>
      <c r="Q597" s="146">
        <v>0</v>
      </c>
      <c r="T597" s="130"/>
    </row>
    <row r="598" spans="1:20" ht="10.7" hidden="1" customHeight="1" x14ac:dyDescent="0.2">
      <c r="A598" s="122"/>
      <c r="B598" s="174" t="s">
        <v>110</v>
      </c>
      <c r="C598" s="162"/>
      <c r="D598" s="163">
        <v>0</v>
      </c>
      <c r="E598" s="163"/>
      <c r="F598" s="163">
        <v>0</v>
      </c>
      <c r="G598" s="164">
        <v>0</v>
      </c>
      <c r="H598" s="163">
        <v>0</v>
      </c>
      <c r="I598" s="165" t="s">
        <v>119</v>
      </c>
      <c r="J598" s="164">
        <v>0</v>
      </c>
      <c r="K598" s="163"/>
      <c r="L598" s="163"/>
      <c r="M598" s="163"/>
      <c r="N598" s="163"/>
      <c r="O598" s="163"/>
      <c r="P598" s="163"/>
      <c r="Q598" s="146">
        <v>0</v>
      </c>
      <c r="T598" s="130"/>
    </row>
    <row r="599" spans="1:20" ht="10.7" hidden="1" customHeight="1" x14ac:dyDescent="0.2">
      <c r="A599" s="122"/>
      <c r="B599" s="174" t="s">
        <v>111</v>
      </c>
      <c r="C599" s="162"/>
      <c r="D599" s="163"/>
      <c r="E599" s="163"/>
      <c r="F599" s="163"/>
      <c r="G599" s="164">
        <v>0</v>
      </c>
      <c r="H599" s="163"/>
      <c r="I599" s="165"/>
      <c r="J599" s="164"/>
      <c r="K599" s="163"/>
      <c r="L599" s="163"/>
      <c r="M599" s="163"/>
      <c r="N599" s="163"/>
      <c r="O599" s="163"/>
      <c r="P599" s="163"/>
      <c r="Q599" s="146"/>
      <c r="T599" s="130"/>
    </row>
    <row r="600" spans="1:20" ht="10.7" hidden="1" customHeight="1" x14ac:dyDescent="0.2">
      <c r="A600" s="122"/>
      <c r="B600" s="175" t="s">
        <v>112</v>
      </c>
      <c r="C600" s="176">
        <v>0</v>
      </c>
      <c r="D600" s="176">
        <v>0</v>
      </c>
      <c r="E600" s="177">
        <v>0</v>
      </c>
      <c r="F600" s="180">
        <v>0</v>
      </c>
      <c r="G600" s="189">
        <v>0</v>
      </c>
      <c r="H600" s="180">
        <v>23.086000000000002</v>
      </c>
      <c r="I600" s="179" t="e">
        <v>#DIV/0!</v>
      </c>
      <c r="J600" s="189">
        <v>-23.086000000000002</v>
      </c>
      <c r="K600" s="180">
        <v>1.2039999999999988</v>
      </c>
      <c r="L600" s="180">
        <v>2.4179999999999993</v>
      </c>
      <c r="M600" s="180">
        <v>1.8669999999999991</v>
      </c>
      <c r="N600" s="180">
        <v>5.3690000000000042</v>
      </c>
      <c r="O600" s="180" t="s">
        <v>42</v>
      </c>
      <c r="P600" s="190">
        <v>2.7145000000000001</v>
      </c>
      <c r="Q600" s="153">
        <v>0</v>
      </c>
      <c r="T600" s="130"/>
    </row>
    <row r="601" spans="1:20" ht="10.7" customHeight="1" x14ac:dyDescent="0.2">
      <c r="A601" s="122"/>
      <c r="B601" s="191" t="s">
        <v>241</v>
      </c>
      <c r="C601" s="191"/>
      <c r="D601" s="183"/>
      <c r="E601" s="183"/>
      <c r="F601" s="183"/>
      <c r="G601" s="184"/>
      <c r="H601" s="183"/>
      <c r="I601" s="163"/>
      <c r="J601" s="184"/>
      <c r="K601" s="185"/>
      <c r="L601" s="185"/>
      <c r="M601" s="185"/>
      <c r="N601" s="185"/>
      <c r="O601" s="173"/>
      <c r="P601" s="183"/>
      <c r="Q601" s="182"/>
      <c r="T601" s="130"/>
    </row>
    <row r="602" spans="1:20" ht="10.7" customHeight="1" x14ac:dyDescent="0.2">
      <c r="A602" s="122"/>
      <c r="B602" s="123" t="s">
        <v>114</v>
      </c>
      <c r="C602" s="123"/>
      <c r="J602" s="192"/>
      <c r="T602" s="130"/>
    </row>
    <row r="606" spans="1:20" ht="10.7" customHeight="1" x14ac:dyDescent="0.2">
      <c r="A606" s="122"/>
      <c r="B606" s="123" t="s">
        <v>185</v>
      </c>
      <c r="C606" s="123"/>
      <c r="P606" s="128"/>
      <c r="T606" s="130"/>
    </row>
    <row r="607" spans="1:20" ht="10.7" customHeight="1" x14ac:dyDescent="0.2">
      <c r="A607" s="122"/>
      <c r="B607" s="131" t="s">
        <v>240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43166</v>
      </c>
      <c r="L611" s="151">
        <v>43173</v>
      </c>
      <c r="M611" s="151">
        <v>43180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6"/>
      <c r="C613" s="199" t="s">
        <v>123</v>
      </c>
      <c r="D613" s="199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200"/>
      <c r="Q613" s="145"/>
      <c r="T613" s="130"/>
    </row>
    <row r="614" spans="1:20" ht="10.7" customHeight="1" x14ac:dyDescent="0.2">
      <c r="A614" s="122"/>
      <c r="B614" s="161" t="s">
        <v>80</v>
      </c>
      <c r="C614" s="162">
        <v>62.2</v>
      </c>
      <c r="D614" s="163">
        <v>66.2</v>
      </c>
      <c r="E614" s="163">
        <v>4</v>
      </c>
      <c r="F614" s="163">
        <v>4</v>
      </c>
      <c r="G614" s="164">
        <v>66.2</v>
      </c>
      <c r="H614" s="163">
        <v>2.602499997711182</v>
      </c>
      <c r="I614" s="165">
        <v>3.9312688787177974</v>
      </c>
      <c r="J614" s="164">
        <v>63.597500002288818</v>
      </c>
      <c r="K614" s="163">
        <v>0.15360000000000018</v>
      </c>
      <c r="L614" s="163">
        <v>5.3999999999999881E-2</v>
      </c>
      <c r="M614" s="163">
        <v>0.16189999999999977</v>
      </c>
      <c r="N614" s="163">
        <v>0.3394000000000002</v>
      </c>
      <c r="O614" s="163">
        <v>0.51268882175226616</v>
      </c>
      <c r="P614" s="163">
        <v>0.17722500000000002</v>
      </c>
      <c r="Q614" s="146" t="s">
        <v>186</v>
      </c>
      <c r="T614" s="130"/>
    </row>
    <row r="615" spans="1:20" ht="10.7" customHeight="1" x14ac:dyDescent="0.2">
      <c r="A615" s="122"/>
      <c r="B615" s="161" t="s">
        <v>81</v>
      </c>
      <c r="C615" s="162">
        <v>9.8000000000000007</v>
      </c>
      <c r="D615" s="163">
        <v>9.8000000000000007</v>
      </c>
      <c r="E615" s="163">
        <v>0</v>
      </c>
      <c r="F615" s="163">
        <v>0</v>
      </c>
      <c r="G615" s="164">
        <v>9.8000000000000007</v>
      </c>
      <c r="H615" s="163">
        <v>0.3246</v>
      </c>
      <c r="I615" s="165">
        <v>3.3122448979591836</v>
      </c>
      <c r="J615" s="164">
        <v>9.4754000000000005</v>
      </c>
      <c r="K615" s="163">
        <v>-7.8062556418956319E-18</v>
      </c>
      <c r="L615" s="163">
        <v>5.0599999999999971E-2</v>
      </c>
      <c r="M615" s="163">
        <v>4.1399999999999985E-2</v>
      </c>
      <c r="N615" s="163">
        <v>2.6900000000000028E-2</v>
      </c>
      <c r="O615" s="163">
        <v>0.27448979591836759</v>
      </c>
      <c r="P615" s="163">
        <v>2.9724999999999994E-2</v>
      </c>
      <c r="Q615" s="146" t="s">
        <v>186</v>
      </c>
      <c r="T615" s="130"/>
    </row>
    <row r="616" spans="1:20" ht="10.7" customHeight="1" x14ac:dyDescent="0.2">
      <c r="A616" s="122"/>
      <c r="B616" s="161" t="s">
        <v>82</v>
      </c>
      <c r="C616" s="162">
        <v>13.3</v>
      </c>
      <c r="D616" s="163">
        <v>13.3</v>
      </c>
      <c r="E616" s="163">
        <v>0</v>
      </c>
      <c r="F616" s="163">
        <v>0</v>
      </c>
      <c r="G616" s="164">
        <v>13.3</v>
      </c>
      <c r="H616" s="163">
        <v>0.44399999999999995</v>
      </c>
      <c r="I616" s="165">
        <v>3.3383458646616533</v>
      </c>
      <c r="J616" s="164">
        <v>12.856000000000002</v>
      </c>
      <c r="K616" s="163">
        <v>3.2000000000000001E-2</v>
      </c>
      <c r="L616" s="163">
        <v>2.1999999999999992E-2</v>
      </c>
      <c r="M616" s="163">
        <v>2.6000000000000051E-2</v>
      </c>
      <c r="N616" s="163">
        <v>3.3999999999999947E-2</v>
      </c>
      <c r="O616" s="163">
        <v>0.2556390977443605</v>
      </c>
      <c r="P616" s="163">
        <v>2.8499999999999998E-2</v>
      </c>
      <c r="Q616" s="146" t="s">
        <v>186</v>
      </c>
      <c r="T616" s="130"/>
    </row>
    <row r="617" spans="1:20" ht="10.7" customHeight="1" x14ac:dyDescent="0.2">
      <c r="A617" s="122"/>
      <c r="B617" s="161" t="s">
        <v>83</v>
      </c>
      <c r="C617" s="162">
        <v>30.5</v>
      </c>
      <c r="D617" s="163">
        <v>30.5</v>
      </c>
      <c r="E617" s="163">
        <v>0</v>
      </c>
      <c r="F617" s="163">
        <v>0</v>
      </c>
      <c r="G617" s="164">
        <v>30.5</v>
      </c>
      <c r="H617" s="163">
        <v>1.5049999999999999</v>
      </c>
      <c r="I617" s="165">
        <v>4.9344262295081966</v>
      </c>
      <c r="J617" s="164">
        <v>28.995000000000001</v>
      </c>
      <c r="K617" s="163">
        <v>9.5000000000000057E-2</v>
      </c>
      <c r="L617" s="163">
        <v>0.16600000000000012</v>
      </c>
      <c r="M617" s="163">
        <v>0.13399999999999998</v>
      </c>
      <c r="N617" s="163">
        <v>0.1729999999999999</v>
      </c>
      <c r="O617" s="163">
        <v>0.56721311475409808</v>
      </c>
      <c r="P617" s="163">
        <v>0.14200000000000002</v>
      </c>
      <c r="Q617" s="146" t="s">
        <v>186</v>
      </c>
      <c r="T617" s="130"/>
    </row>
    <row r="618" spans="1:20" ht="10.7" customHeight="1" x14ac:dyDescent="0.2">
      <c r="A618" s="122"/>
      <c r="B618" s="161" t="s">
        <v>84</v>
      </c>
      <c r="C618" s="162">
        <v>140</v>
      </c>
      <c r="D618" s="163">
        <v>132</v>
      </c>
      <c r="E618" s="163">
        <v>0</v>
      </c>
      <c r="F618" s="163">
        <v>-8</v>
      </c>
      <c r="G618" s="164">
        <v>132</v>
      </c>
      <c r="H618" s="163">
        <v>5.6436999999999999</v>
      </c>
      <c r="I618" s="165">
        <v>4.2755303030303029</v>
      </c>
      <c r="J618" s="164">
        <v>126.3563</v>
      </c>
      <c r="K618" s="163">
        <v>2.7364999999999995</v>
      </c>
      <c r="L618" s="163">
        <v>6.2999999999999723E-3</v>
      </c>
      <c r="M618" s="163">
        <v>1.4099999999999779E-2</v>
      </c>
      <c r="N618" s="163">
        <v>0.65739999999999976</v>
      </c>
      <c r="O618" s="163">
        <v>0.49803030303030282</v>
      </c>
      <c r="P618" s="163">
        <v>0.85357499999999975</v>
      </c>
      <c r="Q618" s="146" t="s">
        <v>186</v>
      </c>
      <c r="T618" s="130"/>
    </row>
    <row r="619" spans="1:20" ht="10.7" customHeight="1" x14ac:dyDescent="0.2">
      <c r="A619" s="122"/>
      <c r="B619" s="161" t="s">
        <v>85</v>
      </c>
      <c r="C619" s="162">
        <v>3.4</v>
      </c>
      <c r="D619" s="163">
        <v>1.7999999999999998</v>
      </c>
      <c r="E619" s="163">
        <v>0</v>
      </c>
      <c r="F619" s="163">
        <v>-1.6</v>
      </c>
      <c r="G619" s="164">
        <v>1.7999999999999998</v>
      </c>
      <c r="H619" s="163">
        <v>4.1999999999999996E-2</v>
      </c>
      <c r="I619" s="165">
        <v>2.333333333333333</v>
      </c>
      <c r="J619" s="164">
        <v>1.7579999999999998</v>
      </c>
      <c r="K619" s="163">
        <v>0</v>
      </c>
      <c r="L619" s="163">
        <v>0</v>
      </c>
      <c r="M619" s="163">
        <v>1.4999999999999996E-2</v>
      </c>
      <c r="N619" s="163">
        <v>0</v>
      </c>
      <c r="O619" s="163">
        <v>0</v>
      </c>
      <c r="P619" s="163">
        <v>3.749999999999999E-3</v>
      </c>
      <c r="Q619" s="146" t="s">
        <v>186</v>
      </c>
      <c r="T619" s="130"/>
    </row>
    <row r="620" spans="1:20" ht="10.7" customHeight="1" x14ac:dyDescent="0.2">
      <c r="A620" s="122"/>
      <c r="B620" s="161" t="s">
        <v>86</v>
      </c>
      <c r="C620" s="162">
        <v>1.9</v>
      </c>
      <c r="D620" s="163">
        <v>1.9</v>
      </c>
      <c r="E620" s="163">
        <v>0</v>
      </c>
      <c r="F620" s="163">
        <v>0</v>
      </c>
      <c r="G620" s="164">
        <v>1.9</v>
      </c>
      <c r="H620" s="163">
        <v>0.25800000000000001</v>
      </c>
      <c r="I620" s="165">
        <v>13.578947368421053</v>
      </c>
      <c r="J620" s="164">
        <v>1.6419999999999999</v>
      </c>
      <c r="K620" s="163">
        <v>0</v>
      </c>
      <c r="L620" s="163">
        <v>0</v>
      </c>
      <c r="M620" s="163">
        <v>0</v>
      </c>
      <c r="N620" s="163">
        <v>3.7000000000000019E-2</v>
      </c>
      <c r="O620" s="163">
        <v>1.9473684210526327</v>
      </c>
      <c r="P620" s="163">
        <v>9.2500000000000047E-3</v>
      </c>
      <c r="Q620" s="146" t="s">
        <v>186</v>
      </c>
      <c r="T620" s="130"/>
    </row>
    <row r="621" spans="1:20" ht="10.7" customHeight="1" x14ac:dyDescent="0.2">
      <c r="A621" s="122"/>
      <c r="B621" s="161" t="s">
        <v>87</v>
      </c>
      <c r="C621" s="162">
        <v>2.2999999999999998</v>
      </c>
      <c r="D621" s="163">
        <v>2.2999999999999998</v>
      </c>
      <c r="E621" s="163">
        <v>0</v>
      </c>
      <c r="F621" s="163">
        <v>0</v>
      </c>
      <c r="G621" s="164">
        <v>2.2999999999999998</v>
      </c>
      <c r="H621" s="163">
        <v>5.8799999999999998E-2</v>
      </c>
      <c r="I621" s="165">
        <v>2.5565217391304351</v>
      </c>
      <c r="J621" s="164">
        <v>2.2411999999999996</v>
      </c>
      <c r="K621" s="163">
        <v>2.4999999999999994E-2</v>
      </c>
      <c r="L621" s="163">
        <v>0</v>
      </c>
      <c r="M621" s="163">
        <v>0</v>
      </c>
      <c r="N621" s="163">
        <v>7.9999999999999863E-4</v>
      </c>
      <c r="O621" s="163">
        <v>3.4782608695652119E-2</v>
      </c>
      <c r="P621" s="163">
        <v>6.4499999999999983E-3</v>
      </c>
      <c r="Q621" s="146" t="s">
        <v>186</v>
      </c>
      <c r="T621" s="130"/>
    </row>
    <row r="622" spans="1:20" ht="10.7" customHeight="1" x14ac:dyDescent="0.2">
      <c r="A622" s="122"/>
      <c r="B622" s="161" t="s">
        <v>88</v>
      </c>
      <c r="C622" s="162">
        <v>0</v>
      </c>
      <c r="D622" s="163">
        <v>0</v>
      </c>
      <c r="E622" s="163">
        <v>0</v>
      </c>
      <c r="F622" s="163">
        <v>0</v>
      </c>
      <c r="G622" s="164">
        <v>0</v>
      </c>
      <c r="H622" s="163">
        <v>0</v>
      </c>
      <c r="I622" s="165" t="s">
        <v>119</v>
      </c>
      <c r="J622" s="164">
        <v>0</v>
      </c>
      <c r="K622" s="163">
        <v>0</v>
      </c>
      <c r="L622" s="163">
        <v>0</v>
      </c>
      <c r="M622" s="163">
        <v>0</v>
      </c>
      <c r="N622" s="163">
        <v>0</v>
      </c>
      <c r="O622" s="163" t="s">
        <v>42</v>
      </c>
      <c r="P622" s="163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61" t="s">
        <v>89</v>
      </c>
      <c r="C623" s="162">
        <v>2.8</v>
      </c>
      <c r="D623" s="163">
        <v>2.2999999999999998</v>
      </c>
      <c r="E623" s="163">
        <v>0</v>
      </c>
      <c r="F623" s="163">
        <v>-0.5</v>
      </c>
      <c r="G623" s="164">
        <v>2.2999999999999998</v>
      </c>
      <c r="H623" s="163">
        <v>7.5999999999999998E-2</v>
      </c>
      <c r="I623" s="165">
        <v>3.3043478260869565</v>
      </c>
      <c r="J623" s="164">
        <v>2.2239999999999998</v>
      </c>
      <c r="K623" s="163">
        <v>0</v>
      </c>
      <c r="L623" s="163">
        <v>0</v>
      </c>
      <c r="M623" s="163">
        <v>0</v>
      </c>
      <c r="N623" s="163">
        <v>0</v>
      </c>
      <c r="O623" s="163">
        <v>0</v>
      </c>
      <c r="P623" s="163">
        <v>0</v>
      </c>
      <c r="Q623" s="146" t="s">
        <v>186</v>
      </c>
      <c r="T623" s="130"/>
    </row>
    <row r="624" spans="1:20" ht="10.7" customHeight="1" x14ac:dyDescent="0.2">
      <c r="A624" s="122"/>
      <c r="B624" s="168" t="s">
        <v>91</v>
      </c>
      <c r="C624" s="162">
        <v>266.2</v>
      </c>
      <c r="D624" s="163">
        <v>260.10000000000002</v>
      </c>
      <c r="E624" s="163">
        <v>4</v>
      </c>
      <c r="F624" s="163">
        <v>-6.0999999999999659</v>
      </c>
      <c r="G624" s="164">
        <v>260.10000000000002</v>
      </c>
      <c r="H624" s="163">
        <v>10.954599997711183</v>
      </c>
      <c r="I624" s="165">
        <v>4.2116878114998775</v>
      </c>
      <c r="J624" s="164">
        <v>249.14540000228882</v>
      </c>
      <c r="K624" s="163">
        <v>3.0420999999999996</v>
      </c>
      <c r="L624" s="163">
        <v>0.29889999999999994</v>
      </c>
      <c r="M624" s="163">
        <v>0.39239999999999958</v>
      </c>
      <c r="N624" s="163">
        <v>1.2684999999999997</v>
      </c>
      <c r="O624" s="163">
        <v>0.48769703960015365</v>
      </c>
      <c r="P624" s="169">
        <v>1.2504749999999998</v>
      </c>
      <c r="Q624" s="146" t="s">
        <v>186</v>
      </c>
      <c r="T624" s="130"/>
    </row>
    <row r="625" spans="1:20" ht="10.7" customHeight="1" x14ac:dyDescent="0.2">
      <c r="A625" s="122"/>
      <c r="B625" s="168"/>
      <c r="D625" s="163"/>
      <c r="E625" s="163"/>
      <c r="F625" s="163"/>
      <c r="G625" s="164"/>
      <c r="H625" s="163"/>
      <c r="I625" s="165"/>
      <c r="J625" s="164"/>
      <c r="K625" s="163"/>
      <c r="L625" s="163"/>
      <c r="M625" s="163"/>
      <c r="N625" s="163"/>
      <c r="O625" s="163"/>
      <c r="P625" s="163"/>
      <c r="Q625" s="146"/>
      <c r="T625" s="130"/>
    </row>
    <row r="626" spans="1:20" ht="10.7" customHeight="1" x14ac:dyDescent="0.2">
      <c r="A626" s="122"/>
      <c r="B626" s="161" t="s">
        <v>92</v>
      </c>
      <c r="C626" s="162">
        <v>30.4</v>
      </c>
      <c r="D626" s="163">
        <v>33.199999999999996</v>
      </c>
      <c r="E626" s="163">
        <v>0</v>
      </c>
      <c r="F626" s="163">
        <v>2.7999999999999972</v>
      </c>
      <c r="G626" s="164">
        <v>33.199999999999996</v>
      </c>
      <c r="H626" s="163">
        <v>0.98457999994754797</v>
      </c>
      <c r="I626" s="165">
        <v>2.9656024094805669</v>
      </c>
      <c r="J626" s="164">
        <v>32.215420000052447</v>
      </c>
      <c r="K626" s="163">
        <v>5.2300000000000041E-2</v>
      </c>
      <c r="L626" s="163">
        <v>9.5039999985694901E-2</v>
      </c>
      <c r="M626" s="163">
        <v>9.2600000000000127E-2</v>
      </c>
      <c r="N626" s="163">
        <v>7.1599999999999886E-2</v>
      </c>
      <c r="O626" s="163">
        <v>0.21566265060240933</v>
      </c>
      <c r="P626" s="163">
        <v>7.7884999996423732E-2</v>
      </c>
      <c r="Q626" s="146" t="s">
        <v>186</v>
      </c>
      <c r="T626" s="130"/>
    </row>
    <row r="627" spans="1:20" ht="10.7" customHeight="1" x14ac:dyDescent="0.2">
      <c r="A627" s="122"/>
      <c r="B627" s="161" t="s">
        <v>93</v>
      </c>
      <c r="C627" s="162">
        <v>70</v>
      </c>
      <c r="D627" s="163">
        <v>52.6</v>
      </c>
      <c r="E627" s="163">
        <v>0</v>
      </c>
      <c r="F627" s="163">
        <v>-17.399999999999999</v>
      </c>
      <c r="G627" s="164">
        <v>52.6</v>
      </c>
      <c r="H627" s="163">
        <v>0.98980000000000001</v>
      </c>
      <c r="I627" s="165">
        <v>1.8817490494296578</v>
      </c>
      <c r="J627" s="164">
        <v>51.610199999999999</v>
      </c>
      <c r="K627" s="163">
        <v>3.8000000000000117E-3</v>
      </c>
      <c r="L627" s="163">
        <v>5.6799999999999948E-2</v>
      </c>
      <c r="M627" s="163">
        <v>0.13950000000000007</v>
      </c>
      <c r="N627" s="163">
        <v>5.3799999999999959E-2</v>
      </c>
      <c r="O627" s="163">
        <v>0.1022813688212927</v>
      </c>
      <c r="P627" s="163">
        <v>6.3475000000000004E-2</v>
      </c>
      <c r="Q627" s="146" t="s">
        <v>186</v>
      </c>
      <c r="T627" s="130"/>
    </row>
    <row r="628" spans="1:20" ht="10.7" hidden="1" customHeight="1" x14ac:dyDescent="0.2">
      <c r="A628" s="122"/>
      <c r="B628" s="161" t="s">
        <v>94</v>
      </c>
      <c r="C628" s="162">
        <v>0</v>
      </c>
      <c r="D628" s="163">
        <v>0</v>
      </c>
      <c r="E628" s="163">
        <v>0</v>
      </c>
      <c r="F628" s="163">
        <v>0</v>
      </c>
      <c r="G628" s="164">
        <v>0</v>
      </c>
      <c r="H628" s="163">
        <v>0</v>
      </c>
      <c r="I628" s="165" t="s">
        <v>119</v>
      </c>
      <c r="J628" s="164">
        <v>0</v>
      </c>
      <c r="K628" s="163">
        <v>0</v>
      </c>
      <c r="L628" s="163">
        <v>0</v>
      </c>
      <c r="M628" s="163">
        <v>0</v>
      </c>
      <c r="N628" s="163">
        <v>0</v>
      </c>
      <c r="O628" s="163" t="s">
        <v>42</v>
      </c>
      <c r="P628" s="163">
        <v>0</v>
      </c>
      <c r="Q628" s="146">
        <v>0</v>
      </c>
      <c r="T628" s="130"/>
    </row>
    <row r="629" spans="1:20" ht="10.7" customHeight="1" x14ac:dyDescent="0.2">
      <c r="A629" s="122"/>
      <c r="B629" s="161" t="s">
        <v>95</v>
      </c>
      <c r="C629" s="162">
        <v>0.5</v>
      </c>
      <c r="D629" s="163">
        <v>0.5</v>
      </c>
      <c r="E629" s="163">
        <v>0</v>
      </c>
      <c r="F629" s="163">
        <v>0</v>
      </c>
      <c r="G629" s="164">
        <v>0.5</v>
      </c>
      <c r="H629" s="163">
        <v>0</v>
      </c>
      <c r="I629" s="165">
        <v>0</v>
      </c>
      <c r="J629" s="164">
        <v>0.5</v>
      </c>
      <c r="K629" s="163">
        <v>0</v>
      </c>
      <c r="L629" s="163">
        <v>0</v>
      </c>
      <c r="M629" s="163">
        <v>0</v>
      </c>
      <c r="N629" s="163">
        <v>0</v>
      </c>
      <c r="O629" s="163">
        <v>0</v>
      </c>
      <c r="P629" s="163">
        <v>0</v>
      </c>
      <c r="Q629" s="146" t="s">
        <v>186</v>
      </c>
      <c r="T629" s="130"/>
    </row>
    <row r="630" spans="1:20" ht="10.7" customHeight="1" x14ac:dyDescent="0.2">
      <c r="A630" s="122"/>
      <c r="B630" s="161" t="s">
        <v>96</v>
      </c>
      <c r="C630" s="162">
        <v>13.7</v>
      </c>
      <c r="D630" s="163">
        <v>5.3999999999999986</v>
      </c>
      <c r="E630" s="163">
        <v>-4</v>
      </c>
      <c r="F630" s="163">
        <v>-8.3000000000000007</v>
      </c>
      <c r="G630" s="164">
        <v>5.3999999999999986</v>
      </c>
      <c r="H630" s="163">
        <v>0.15379999999999999</v>
      </c>
      <c r="I630" s="165">
        <v>2.8481481481481485</v>
      </c>
      <c r="J630" s="164">
        <v>5.2461999999999982</v>
      </c>
      <c r="K630" s="163">
        <v>0</v>
      </c>
      <c r="L630" s="163">
        <v>4.179999999999999E-2</v>
      </c>
      <c r="M630" s="163">
        <v>8.5999999999999861E-3</v>
      </c>
      <c r="N630" s="163">
        <v>0</v>
      </c>
      <c r="O630" s="163">
        <v>0</v>
      </c>
      <c r="P630" s="163">
        <v>1.2599999999999993E-2</v>
      </c>
      <c r="Q630" s="146" t="s">
        <v>186</v>
      </c>
      <c r="T630" s="130"/>
    </row>
    <row r="631" spans="1:20" ht="10.7" customHeight="1" x14ac:dyDescent="0.2">
      <c r="A631" s="122"/>
      <c r="B631" s="161" t="s">
        <v>97</v>
      </c>
      <c r="C631" s="162">
        <v>6.7</v>
      </c>
      <c r="D631" s="163">
        <v>6.7</v>
      </c>
      <c r="E631" s="163">
        <v>0</v>
      </c>
      <c r="F631" s="163">
        <v>0</v>
      </c>
      <c r="G631" s="164">
        <v>6.7</v>
      </c>
      <c r="H631" s="163">
        <v>0</v>
      </c>
      <c r="I631" s="165">
        <v>0</v>
      </c>
      <c r="J631" s="164">
        <v>6.7</v>
      </c>
      <c r="K631" s="163">
        <v>0</v>
      </c>
      <c r="L631" s="163">
        <v>0</v>
      </c>
      <c r="M631" s="163">
        <v>0</v>
      </c>
      <c r="N631" s="163">
        <v>0</v>
      </c>
      <c r="O631" s="163">
        <v>0</v>
      </c>
      <c r="P631" s="163">
        <v>0</v>
      </c>
      <c r="Q631" s="146" t="s">
        <v>186</v>
      </c>
      <c r="T631" s="130"/>
    </row>
    <row r="632" spans="1:20" ht="10.7" customHeight="1" x14ac:dyDescent="0.2">
      <c r="A632" s="122"/>
      <c r="B632" s="161" t="s">
        <v>98</v>
      </c>
      <c r="C632" s="162">
        <v>112.7</v>
      </c>
      <c r="D632" s="163">
        <v>13.200000000000003</v>
      </c>
      <c r="E632" s="163">
        <v>0</v>
      </c>
      <c r="F632" s="163">
        <v>-99.5</v>
      </c>
      <c r="G632" s="164">
        <v>13.200000000000003</v>
      </c>
      <c r="H632" s="163">
        <v>2.47E-2</v>
      </c>
      <c r="I632" s="165">
        <v>0.18712121212121205</v>
      </c>
      <c r="J632" s="164">
        <v>13.175300000000004</v>
      </c>
      <c r="K632" s="163">
        <v>0</v>
      </c>
      <c r="L632" s="163">
        <v>0</v>
      </c>
      <c r="M632" s="163">
        <v>0</v>
      </c>
      <c r="N632" s="163">
        <v>1.3899999999999999E-2</v>
      </c>
      <c r="O632" s="163">
        <v>0.10530303030303029</v>
      </c>
      <c r="P632" s="163">
        <v>3.4749999999999998E-3</v>
      </c>
      <c r="Q632" s="146" t="s">
        <v>186</v>
      </c>
      <c r="T632" s="130"/>
    </row>
    <row r="633" spans="1:20" ht="10.7" customHeight="1" x14ac:dyDescent="0.2">
      <c r="A633" s="122"/>
      <c r="B633" s="161" t="s">
        <v>99</v>
      </c>
      <c r="C633" s="162">
        <v>36.6</v>
      </c>
      <c r="D633" s="163">
        <v>36.6</v>
      </c>
      <c r="E633" s="163">
        <v>0</v>
      </c>
      <c r="F633" s="163">
        <v>0</v>
      </c>
      <c r="G633" s="164">
        <v>36.6</v>
      </c>
      <c r="H633" s="163">
        <v>0</v>
      </c>
      <c r="I633" s="165">
        <v>0</v>
      </c>
      <c r="J633" s="164">
        <v>36.6</v>
      </c>
      <c r="K633" s="163">
        <v>0</v>
      </c>
      <c r="L633" s="163">
        <v>0</v>
      </c>
      <c r="M633" s="163">
        <v>0</v>
      </c>
      <c r="N633" s="163">
        <v>0</v>
      </c>
      <c r="O633" s="163">
        <v>0</v>
      </c>
      <c r="P633" s="163">
        <v>0</v>
      </c>
      <c r="Q633" s="146" t="s">
        <v>186</v>
      </c>
      <c r="T633" s="130"/>
    </row>
    <row r="634" spans="1:20" ht="10.7" customHeight="1" x14ac:dyDescent="0.2">
      <c r="A634" s="122"/>
      <c r="B634" s="161" t="s">
        <v>100</v>
      </c>
      <c r="C634" s="162">
        <v>321.5</v>
      </c>
      <c r="D634" s="163">
        <v>317.5</v>
      </c>
      <c r="E634" s="163">
        <v>0</v>
      </c>
      <c r="F634" s="163">
        <v>-4</v>
      </c>
      <c r="G634" s="164">
        <v>317.5</v>
      </c>
      <c r="H634" s="163">
        <v>27.014599999999998</v>
      </c>
      <c r="I634" s="165">
        <v>8.5085354330708647</v>
      </c>
      <c r="J634" s="164">
        <v>290.48540000000003</v>
      </c>
      <c r="K634" s="163">
        <v>1.9871999999999996</v>
      </c>
      <c r="L634" s="163">
        <v>2.7466000000000008</v>
      </c>
      <c r="M634" s="163">
        <v>0.9679000000000002</v>
      </c>
      <c r="N634" s="163">
        <v>2.9723999999999986</v>
      </c>
      <c r="O634" s="163">
        <v>0.9361889763779524</v>
      </c>
      <c r="P634" s="163">
        <v>2.1685249999999998</v>
      </c>
      <c r="Q634" s="146" t="s">
        <v>186</v>
      </c>
      <c r="T634" s="130"/>
    </row>
    <row r="635" spans="1:20" ht="10.7" customHeight="1" x14ac:dyDescent="0.2">
      <c r="A635" s="122"/>
      <c r="B635" s="161" t="s">
        <v>101</v>
      </c>
      <c r="C635" s="162">
        <v>137.69999999999999</v>
      </c>
      <c r="D635" s="163">
        <v>142.69999999999999</v>
      </c>
      <c r="E635" s="163">
        <v>0</v>
      </c>
      <c r="F635" s="163">
        <v>5</v>
      </c>
      <c r="G635" s="164">
        <v>142.69999999999999</v>
      </c>
      <c r="H635" s="163">
        <v>19.901599999999998</v>
      </c>
      <c r="I635" s="165">
        <v>13.946461107217941</v>
      </c>
      <c r="J635" s="164">
        <v>122.79839999999999</v>
      </c>
      <c r="K635" s="163">
        <v>6.2789000000000019</v>
      </c>
      <c r="L635" s="163">
        <v>2.491900000000002</v>
      </c>
      <c r="M635" s="163">
        <v>1.6942000000000004</v>
      </c>
      <c r="N635" s="163">
        <v>1.0681999999999983</v>
      </c>
      <c r="O635" s="163">
        <v>0.74856341976173679</v>
      </c>
      <c r="P635" s="163">
        <v>2.8833000000000011</v>
      </c>
      <c r="Q635" s="146">
        <v>40.589532826969076</v>
      </c>
      <c r="T635" s="130"/>
    </row>
    <row r="636" spans="1:20" ht="10.7" customHeight="1" x14ac:dyDescent="0.2">
      <c r="A636" s="122"/>
      <c r="B636" s="161" t="s">
        <v>102</v>
      </c>
      <c r="C636" s="162">
        <v>0</v>
      </c>
      <c r="D636" s="163">
        <v>0</v>
      </c>
      <c r="E636" s="163">
        <v>0</v>
      </c>
      <c r="F636" s="163">
        <v>0</v>
      </c>
      <c r="G636" s="164">
        <v>0</v>
      </c>
      <c r="H636" s="163">
        <v>0</v>
      </c>
      <c r="I636" s="165" t="s">
        <v>119</v>
      </c>
      <c r="J636" s="164">
        <v>0</v>
      </c>
      <c r="K636" s="163">
        <v>0</v>
      </c>
      <c r="L636" s="163">
        <v>0</v>
      </c>
      <c r="M636" s="163">
        <v>0</v>
      </c>
      <c r="N636" s="163">
        <v>0</v>
      </c>
      <c r="O636" s="163" t="s">
        <v>42</v>
      </c>
      <c r="P636" s="163">
        <v>0</v>
      </c>
      <c r="Q636" s="146" t="s">
        <v>162</v>
      </c>
      <c r="T636" s="130"/>
    </row>
    <row r="637" spans="1:20" ht="10.7" customHeight="1" x14ac:dyDescent="0.2">
      <c r="A637" s="122"/>
      <c r="B637" s="161" t="s">
        <v>103</v>
      </c>
      <c r="C637" s="162">
        <v>25.8</v>
      </c>
      <c r="D637" s="163">
        <v>25.8</v>
      </c>
      <c r="E637" s="163">
        <v>0</v>
      </c>
      <c r="F637" s="163">
        <v>0</v>
      </c>
      <c r="G637" s="164">
        <v>25.8</v>
      </c>
      <c r="H637" s="163">
        <v>0</v>
      </c>
      <c r="I637" s="165">
        <v>0</v>
      </c>
      <c r="J637" s="164">
        <v>25.8</v>
      </c>
      <c r="K637" s="163">
        <v>0</v>
      </c>
      <c r="L637" s="163">
        <v>0</v>
      </c>
      <c r="M637" s="163">
        <v>0</v>
      </c>
      <c r="N637" s="163">
        <v>0</v>
      </c>
      <c r="O637" s="163">
        <v>0</v>
      </c>
      <c r="P637" s="163">
        <v>0</v>
      </c>
      <c r="Q637" s="146" t="s">
        <v>186</v>
      </c>
      <c r="T637" s="130"/>
    </row>
    <row r="638" spans="1:20" ht="10.7" customHeight="1" x14ac:dyDescent="0.2">
      <c r="A638" s="122"/>
      <c r="B638" s="1" t="s">
        <v>104</v>
      </c>
      <c r="C638" s="162">
        <v>55.8</v>
      </c>
      <c r="D638" s="163">
        <v>55.8</v>
      </c>
      <c r="E638" s="163">
        <v>0</v>
      </c>
      <c r="F638" s="163">
        <v>0</v>
      </c>
      <c r="G638" s="164">
        <v>55.8</v>
      </c>
      <c r="H638" s="163">
        <v>5.8909000000000002</v>
      </c>
      <c r="I638" s="165">
        <v>10.557168458781364</v>
      </c>
      <c r="J638" s="164">
        <v>49.909099999999995</v>
      </c>
      <c r="K638" s="163">
        <v>1.2263999999999995</v>
      </c>
      <c r="L638" s="163">
        <v>0</v>
      </c>
      <c r="M638" s="163">
        <v>0.18279999999999985</v>
      </c>
      <c r="N638" s="163">
        <v>0</v>
      </c>
      <c r="O638" s="163">
        <v>0</v>
      </c>
      <c r="P638" s="163">
        <v>0.35229999999999984</v>
      </c>
      <c r="Q638" s="146" t="s">
        <v>186</v>
      </c>
      <c r="T638" s="130"/>
    </row>
    <row r="639" spans="1:20" ht="10.7" customHeight="1" x14ac:dyDescent="0.2">
      <c r="A639" s="122"/>
      <c r="B639" s="168" t="s">
        <v>106</v>
      </c>
      <c r="C639" s="172">
        <v>1077.5999999999999</v>
      </c>
      <c r="D639" s="163">
        <v>950.09999999999991</v>
      </c>
      <c r="E639" s="163">
        <v>0</v>
      </c>
      <c r="F639" s="163">
        <v>-127.5</v>
      </c>
      <c r="G639" s="164">
        <v>950.09999999999991</v>
      </c>
      <c r="H639" s="163">
        <v>65.914579997658734</v>
      </c>
      <c r="I639" s="165">
        <v>6.9376465632732067</v>
      </c>
      <c r="J639" s="164">
        <v>884.18542000234117</v>
      </c>
      <c r="K639" s="163">
        <v>12.590699999999998</v>
      </c>
      <c r="L639" s="163">
        <v>5.7310399999856934</v>
      </c>
      <c r="M639" s="163">
        <v>3.4780000000000015</v>
      </c>
      <c r="N639" s="163">
        <v>5.448400000000003</v>
      </c>
      <c r="O639" s="163">
        <v>0.57345542574465891</v>
      </c>
      <c r="P639" s="163">
        <v>6.812034999996424</v>
      </c>
      <c r="Q639" s="146" t="s">
        <v>186</v>
      </c>
      <c r="T639" s="130"/>
    </row>
    <row r="640" spans="1:20" ht="10.7" customHeight="1" x14ac:dyDescent="0.2">
      <c r="A640" s="122"/>
      <c r="B640" s="168"/>
      <c r="C640" s="162"/>
      <c r="D640" s="163"/>
      <c r="E640" s="163"/>
      <c r="F640" s="163"/>
      <c r="G640" s="164"/>
      <c r="H640" s="163"/>
      <c r="I640" s="165"/>
      <c r="J640" s="164"/>
      <c r="K640" s="163"/>
      <c r="L640" s="163"/>
      <c r="M640" s="163"/>
      <c r="N640" s="163"/>
      <c r="O640" s="163"/>
      <c r="P640" s="163"/>
      <c r="Q640" s="146"/>
      <c r="T640" s="130"/>
    </row>
    <row r="641" spans="1:20" ht="10.7" customHeight="1" x14ac:dyDescent="0.2">
      <c r="A641" s="122"/>
      <c r="B641" s="161" t="s">
        <v>107</v>
      </c>
      <c r="C641" s="162">
        <v>0</v>
      </c>
      <c r="D641" s="163">
        <v>0</v>
      </c>
      <c r="E641" s="163">
        <v>0</v>
      </c>
      <c r="F641" s="163">
        <v>0</v>
      </c>
      <c r="G641" s="164">
        <v>0</v>
      </c>
      <c r="H641" s="163">
        <v>0</v>
      </c>
      <c r="I641" s="165" t="s">
        <v>119</v>
      </c>
      <c r="J641" s="164">
        <v>0</v>
      </c>
      <c r="K641" s="163">
        <v>0</v>
      </c>
      <c r="L641" s="163">
        <v>0</v>
      </c>
      <c r="M641" s="163">
        <v>0</v>
      </c>
      <c r="N641" s="163">
        <v>0</v>
      </c>
      <c r="O641" s="163" t="s">
        <v>42</v>
      </c>
      <c r="P641" s="163">
        <v>0</v>
      </c>
      <c r="Q641" s="146">
        <v>0</v>
      </c>
      <c r="T641" s="130"/>
    </row>
    <row r="642" spans="1:20" ht="10.7" customHeight="1" x14ac:dyDescent="0.2">
      <c r="A642" s="122"/>
      <c r="B642" s="161" t="s">
        <v>108</v>
      </c>
      <c r="C642" s="162">
        <v>0.89999999999999991</v>
      </c>
      <c r="D642" s="162">
        <v>0.6</v>
      </c>
      <c r="E642" s="173">
        <v>0</v>
      </c>
      <c r="F642" s="163">
        <v>-0.29999999999999993</v>
      </c>
      <c r="G642" s="164">
        <v>0.6</v>
      </c>
      <c r="H642" s="163">
        <v>0.2329</v>
      </c>
      <c r="I642" s="165">
        <v>38.81666666666667</v>
      </c>
      <c r="J642" s="164">
        <v>0.36709999999999998</v>
      </c>
      <c r="K642" s="163">
        <v>1.8999999999999989E-2</v>
      </c>
      <c r="L642" s="163">
        <v>3.1700000000000006E-2</v>
      </c>
      <c r="M642" s="163">
        <v>4.5999999999999982E-3</v>
      </c>
      <c r="N642" s="163">
        <v>3.5300000000000005E-2</v>
      </c>
      <c r="O642" s="163">
        <v>5.8833333333333337</v>
      </c>
      <c r="P642" s="163">
        <v>2.265E-2</v>
      </c>
      <c r="Q642" s="146">
        <v>14.207505518763796</v>
      </c>
      <c r="T642" s="130"/>
    </row>
    <row r="643" spans="1:20" ht="10.7" customHeight="1" x14ac:dyDescent="0.2">
      <c r="A643" s="122"/>
      <c r="B643" s="174" t="s">
        <v>109</v>
      </c>
      <c r="C643" s="162">
        <v>18.400000000000002</v>
      </c>
      <c r="D643" s="162">
        <v>41.7</v>
      </c>
      <c r="E643" s="173">
        <v>0</v>
      </c>
      <c r="F643" s="163">
        <v>23.3</v>
      </c>
      <c r="G643" s="164">
        <v>41.7</v>
      </c>
      <c r="H643" s="163">
        <v>1.3547</v>
      </c>
      <c r="I643" s="165">
        <v>3.2486810551558749</v>
      </c>
      <c r="J643" s="164">
        <v>40.345300000000002</v>
      </c>
      <c r="K643" s="163">
        <v>2.6700000000000057E-2</v>
      </c>
      <c r="L643" s="163">
        <v>1.8000000000000793E-3</v>
      </c>
      <c r="M643" s="163">
        <v>0.41499999999999987</v>
      </c>
      <c r="N643" s="163">
        <v>6.5700000000000092E-2</v>
      </c>
      <c r="O643" s="163">
        <v>0.15755395683453258</v>
      </c>
      <c r="P643" s="163">
        <v>0.12730000000000002</v>
      </c>
      <c r="Q643" s="146" t="s">
        <v>186</v>
      </c>
      <c r="T643" s="130"/>
    </row>
    <row r="644" spans="1:20" ht="10.7" customHeight="1" x14ac:dyDescent="0.2">
      <c r="A644" s="122"/>
      <c r="B644" s="174" t="s">
        <v>110</v>
      </c>
      <c r="C644" s="162"/>
      <c r="D644" s="163">
        <v>0</v>
      </c>
      <c r="E644" s="163"/>
      <c r="F644" s="163">
        <v>0</v>
      </c>
      <c r="G644" s="164">
        <v>0</v>
      </c>
      <c r="H644" s="163">
        <v>0</v>
      </c>
      <c r="I644" s="165" t="s">
        <v>119</v>
      </c>
      <c r="J644" s="164">
        <v>0</v>
      </c>
      <c r="K644" s="163"/>
      <c r="L644" s="163"/>
      <c r="M644" s="163"/>
      <c r="N644" s="163"/>
      <c r="O644" s="163"/>
      <c r="P644" s="163"/>
      <c r="Q644" s="146">
        <v>0</v>
      </c>
      <c r="T644" s="130"/>
    </row>
    <row r="645" spans="1:20" ht="10.7" customHeight="1" x14ac:dyDescent="0.2">
      <c r="A645" s="122"/>
      <c r="B645" s="174" t="s">
        <v>111</v>
      </c>
      <c r="C645" s="162"/>
      <c r="D645" s="163"/>
      <c r="E645" s="163"/>
      <c r="F645" s="163"/>
      <c r="G645" s="164">
        <v>0</v>
      </c>
      <c r="H645" s="163"/>
      <c r="I645" s="165"/>
      <c r="J645" s="164"/>
      <c r="K645" s="163"/>
      <c r="L645" s="163"/>
      <c r="M645" s="163"/>
      <c r="N645" s="163"/>
      <c r="O645" s="163"/>
      <c r="P645" s="163"/>
      <c r="Q645" s="146"/>
      <c r="T645" s="130"/>
    </row>
    <row r="646" spans="1:20" ht="10.7" customHeight="1" x14ac:dyDescent="0.2">
      <c r="A646" s="122"/>
      <c r="B646" s="175" t="s">
        <v>112</v>
      </c>
      <c r="C646" s="176">
        <v>1096.8999999999999</v>
      </c>
      <c r="D646" s="176">
        <v>992.39999999999986</v>
      </c>
      <c r="E646" s="177">
        <v>0</v>
      </c>
      <c r="F646" s="180">
        <v>-104.5</v>
      </c>
      <c r="G646" s="189">
        <v>992.39999999999986</v>
      </c>
      <c r="H646" s="180">
        <v>67.502179997658729</v>
      </c>
      <c r="I646" s="179">
        <v>6.8019125350321179</v>
      </c>
      <c r="J646" s="189">
        <v>924.89782000234118</v>
      </c>
      <c r="K646" s="180">
        <v>12.636400000000005</v>
      </c>
      <c r="L646" s="180">
        <v>5.7645399999856899</v>
      </c>
      <c r="M646" s="180">
        <v>3.8976000000000006</v>
      </c>
      <c r="N646" s="180">
        <v>5.5493999999999986</v>
      </c>
      <c r="O646" s="180">
        <v>0.55918984280532036</v>
      </c>
      <c r="P646" s="190">
        <v>6.9619849999964236</v>
      </c>
      <c r="Q646" s="153" t="s">
        <v>186</v>
      </c>
      <c r="T646" s="130"/>
    </row>
    <row r="647" spans="1:20" ht="10.7" customHeight="1" x14ac:dyDescent="0.2">
      <c r="A647" s="122"/>
      <c r="B647" s="181"/>
      <c r="C647" s="181"/>
      <c r="D647" s="163"/>
      <c r="E647" s="163"/>
      <c r="F647" s="163"/>
      <c r="G647" s="164"/>
      <c r="H647" s="163"/>
      <c r="I647" s="2"/>
      <c r="J647" s="164"/>
      <c r="K647" s="163"/>
      <c r="L647" s="163"/>
      <c r="M647" s="163"/>
      <c r="N647" s="163"/>
      <c r="O647" s="163"/>
      <c r="P647" s="163"/>
      <c r="Q647" s="182"/>
      <c r="T647" s="130"/>
    </row>
    <row r="648" spans="1:20" ht="10.7" customHeight="1" x14ac:dyDescent="0.2">
      <c r="A648" s="122"/>
      <c r="B648" s="181"/>
      <c r="C648" s="181"/>
      <c r="D648" s="135"/>
      <c r="E648" s="183"/>
      <c r="F648" s="183"/>
      <c r="G648" s="184"/>
      <c r="H648" s="183"/>
      <c r="I648" s="163"/>
      <c r="J648" s="184"/>
      <c r="K648" s="185"/>
      <c r="L648" s="185"/>
      <c r="M648" s="185"/>
      <c r="N648" s="185"/>
      <c r="O648" s="173"/>
      <c r="P648" s="183"/>
      <c r="Q648" s="182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43166</v>
      </c>
      <c r="L651" s="151">
        <v>43173</v>
      </c>
      <c r="M651" s="151">
        <v>43180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6"/>
      <c r="C653" s="193" t="s">
        <v>116</v>
      </c>
      <c r="D653" s="193"/>
      <c r="E653" s="193"/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4"/>
      <c r="Q653" s="145"/>
      <c r="T653" s="130"/>
    </row>
    <row r="654" spans="1:20" ht="10.7" customHeight="1" x14ac:dyDescent="0.2">
      <c r="A654" s="122"/>
      <c r="B654" s="161" t="s">
        <v>80</v>
      </c>
      <c r="C654" s="162">
        <v>0</v>
      </c>
      <c r="D654" s="163">
        <v>0</v>
      </c>
      <c r="E654" s="163">
        <v>0</v>
      </c>
      <c r="F654" s="163">
        <v>0</v>
      </c>
      <c r="G654" s="164">
        <v>0</v>
      </c>
      <c r="H654" s="163">
        <v>0</v>
      </c>
      <c r="I654" s="165" t="s">
        <v>119</v>
      </c>
      <c r="J654" s="164">
        <v>0</v>
      </c>
      <c r="K654" s="163">
        <v>0</v>
      </c>
      <c r="L654" s="163">
        <v>0</v>
      </c>
      <c r="M654" s="163">
        <v>0</v>
      </c>
      <c r="N654" s="163">
        <v>0</v>
      </c>
      <c r="O654" s="163" t="s">
        <v>42</v>
      </c>
      <c r="P654" s="163">
        <v>0</v>
      </c>
      <c r="Q654" s="146" t="s">
        <v>162</v>
      </c>
      <c r="T654" s="130"/>
    </row>
    <row r="655" spans="1:20" ht="10.7" customHeight="1" x14ac:dyDescent="0.2">
      <c r="A655" s="122"/>
      <c r="B655" s="161" t="s">
        <v>81</v>
      </c>
      <c r="C655" s="162">
        <v>0</v>
      </c>
      <c r="D655" s="163">
        <v>0</v>
      </c>
      <c r="E655" s="163">
        <v>0</v>
      </c>
      <c r="F655" s="163">
        <v>0</v>
      </c>
      <c r="G655" s="164">
        <v>0</v>
      </c>
      <c r="H655" s="163">
        <v>0</v>
      </c>
      <c r="I655" s="165" t="s">
        <v>119</v>
      </c>
      <c r="J655" s="164">
        <v>0</v>
      </c>
      <c r="K655" s="163">
        <v>0</v>
      </c>
      <c r="L655" s="163">
        <v>0</v>
      </c>
      <c r="M655" s="163">
        <v>0</v>
      </c>
      <c r="N655" s="163">
        <v>0</v>
      </c>
      <c r="O655" s="163" t="s">
        <v>42</v>
      </c>
      <c r="P655" s="163">
        <v>0</v>
      </c>
      <c r="Q655" s="146" t="s">
        <v>162</v>
      </c>
      <c r="T655" s="130"/>
    </row>
    <row r="656" spans="1:20" ht="10.7" customHeight="1" x14ac:dyDescent="0.2">
      <c r="A656" s="122"/>
      <c r="B656" s="161" t="s">
        <v>82</v>
      </c>
      <c r="C656" s="162">
        <v>0</v>
      </c>
      <c r="D656" s="163">
        <v>0</v>
      </c>
      <c r="E656" s="163">
        <v>0</v>
      </c>
      <c r="F656" s="163">
        <v>0</v>
      </c>
      <c r="G656" s="164">
        <v>0</v>
      </c>
      <c r="H656" s="163">
        <v>0</v>
      </c>
      <c r="I656" s="165" t="s">
        <v>119</v>
      </c>
      <c r="J656" s="164">
        <v>0</v>
      </c>
      <c r="K656" s="163">
        <v>0</v>
      </c>
      <c r="L656" s="163">
        <v>0</v>
      </c>
      <c r="M656" s="163">
        <v>0</v>
      </c>
      <c r="N656" s="163">
        <v>0</v>
      </c>
      <c r="O656" s="163" t="s">
        <v>42</v>
      </c>
      <c r="P656" s="163">
        <v>0</v>
      </c>
      <c r="Q656" s="146" t="s">
        <v>162</v>
      </c>
      <c r="T656" s="130"/>
    </row>
    <row r="657" spans="1:20" ht="10.7" customHeight="1" x14ac:dyDescent="0.2">
      <c r="A657" s="122"/>
      <c r="B657" s="161" t="s">
        <v>83</v>
      </c>
      <c r="C657" s="162">
        <v>0</v>
      </c>
      <c r="D657" s="163">
        <v>0</v>
      </c>
      <c r="E657" s="163">
        <v>0</v>
      </c>
      <c r="F657" s="163">
        <v>0</v>
      </c>
      <c r="G657" s="164">
        <v>0</v>
      </c>
      <c r="H657" s="163">
        <v>0</v>
      </c>
      <c r="I657" s="165" t="s">
        <v>119</v>
      </c>
      <c r="J657" s="164">
        <v>0</v>
      </c>
      <c r="K657" s="163">
        <v>0</v>
      </c>
      <c r="L657" s="163">
        <v>0</v>
      </c>
      <c r="M657" s="163">
        <v>0</v>
      </c>
      <c r="N657" s="163">
        <v>0</v>
      </c>
      <c r="O657" s="163" t="s">
        <v>42</v>
      </c>
      <c r="P657" s="163">
        <v>0</v>
      </c>
      <c r="Q657" s="146" t="s">
        <v>162</v>
      </c>
      <c r="T657" s="130"/>
    </row>
    <row r="658" spans="1:20" ht="10.7" customHeight="1" x14ac:dyDescent="0.2">
      <c r="A658" s="122"/>
      <c r="B658" s="161" t="s">
        <v>84</v>
      </c>
      <c r="C658" s="162">
        <v>0</v>
      </c>
      <c r="D658" s="163">
        <v>0</v>
      </c>
      <c r="E658" s="163">
        <v>0</v>
      </c>
      <c r="F658" s="163">
        <v>0</v>
      </c>
      <c r="G658" s="164">
        <v>0</v>
      </c>
      <c r="H658" s="163">
        <v>0</v>
      </c>
      <c r="I658" s="165" t="s">
        <v>119</v>
      </c>
      <c r="J658" s="164">
        <v>0</v>
      </c>
      <c r="K658" s="163">
        <v>0</v>
      </c>
      <c r="L658" s="163">
        <v>0</v>
      </c>
      <c r="M658" s="163">
        <v>0</v>
      </c>
      <c r="N658" s="163">
        <v>0</v>
      </c>
      <c r="O658" s="163" t="s">
        <v>42</v>
      </c>
      <c r="P658" s="163">
        <v>0</v>
      </c>
      <c r="Q658" s="146" t="s">
        <v>162</v>
      </c>
      <c r="T658" s="130"/>
    </row>
    <row r="659" spans="1:20" ht="10.7" customHeight="1" x14ac:dyDescent="0.2">
      <c r="A659" s="122"/>
      <c r="B659" s="161" t="s">
        <v>85</v>
      </c>
      <c r="C659" s="162">
        <v>0</v>
      </c>
      <c r="D659" s="163">
        <v>0</v>
      </c>
      <c r="E659" s="163">
        <v>0</v>
      </c>
      <c r="F659" s="163">
        <v>0</v>
      </c>
      <c r="G659" s="164">
        <v>0</v>
      </c>
      <c r="H659" s="163">
        <v>0</v>
      </c>
      <c r="I659" s="165" t="s">
        <v>119</v>
      </c>
      <c r="J659" s="164">
        <v>0</v>
      </c>
      <c r="K659" s="163">
        <v>0</v>
      </c>
      <c r="L659" s="163">
        <v>0</v>
      </c>
      <c r="M659" s="163">
        <v>0</v>
      </c>
      <c r="N659" s="163">
        <v>0</v>
      </c>
      <c r="O659" s="163" t="s">
        <v>42</v>
      </c>
      <c r="P659" s="163">
        <v>0</v>
      </c>
      <c r="Q659" s="146" t="s">
        <v>162</v>
      </c>
      <c r="T659" s="130"/>
    </row>
    <row r="660" spans="1:20" ht="10.7" customHeight="1" x14ac:dyDescent="0.2">
      <c r="A660" s="122"/>
      <c r="B660" s="161" t="s">
        <v>86</v>
      </c>
      <c r="C660" s="162">
        <v>0</v>
      </c>
      <c r="D660" s="163">
        <v>0</v>
      </c>
      <c r="E660" s="163">
        <v>0</v>
      </c>
      <c r="F660" s="163">
        <v>0</v>
      </c>
      <c r="G660" s="164">
        <v>0</v>
      </c>
      <c r="H660" s="163">
        <v>0</v>
      </c>
      <c r="I660" s="165" t="s">
        <v>119</v>
      </c>
      <c r="J660" s="164">
        <v>0</v>
      </c>
      <c r="K660" s="163">
        <v>0</v>
      </c>
      <c r="L660" s="163">
        <v>0</v>
      </c>
      <c r="M660" s="163">
        <v>0</v>
      </c>
      <c r="N660" s="163">
        <v>0</v>
      </c>
      <c r="O660" s="163" t="s">
        <v>42</v>
      </c>
      <c r="P660" s="163">
        <v>0</v>
      </c>
      <c r="Q660" s="146" t="s">
        <v>162</v>
      </c>
      <c r="T660" s="130"/>
    </row>
    <row r="661" spans="1:20" ht="10.7" customHeight="1" x14ac:dyDescent="0.2">
      <c r="A661" s="122"/>
      <c r="B661" s="161" t="s">
        <v>87</v>
      </c>
      <c r="C661" s="162">
        <v>0</v>
      </c>
      <c r="D661" s="163">
        <v>0</v>
      </c>
      <c r="E661" s="163">
        <v>0</v>
      </c>
      <c r="F661" s="163">
        <v>0</v>
      </c>
      <c r="G661" s="164">
        <v>0</v>
      </c>
      <c r="H661" s="163">
        <v>0</v>
      </c>
      <c r="I661" s="165" t="s">
        <v>119</v>
      </c>
      <c r="J661" s="164">
        <v>0</v>
      </c>
      <c r="K661" s="163">
        <v>0</v>
      </c>
      <c r="L661" s="163">
        <v>0</v>
      </c>
      <c r="M661" s="163">
        <v>0</v>
      </c>
      <c r="N661" s="163">
        <v>0</v>
      </c>
      <c r="O661" s="163" t="s">
        <v>42</v>
      </c>
      <c r="P661" s="163">
        <v>0</v>
      </c>
      <c r="Q661" s="146" t="s">
        <v>162</v>
      </c>
      <c r="T661" s="130"/>
    </row>
    <row r="662" spans="1:20" ht="10.7" customHeight="1" x14ac:dyDescent="0.2">
      <c r="A662" s="122"/>
      <c r="B662" s="161" t="s">
        <v>88</v>
      </c>
      <c r="C662" s="162">
        <v>0</v>
      </c>
      <c r="D662" s="163">
        <v>0</v>
      </c>
      <c r="E662" s="163">
        <v>0</v>
      </c>
      <c r="F662" s="163">
        <v>0</v>
      </c>
      <c r="G662" s="164">
        <v>0</v>
      </c>
      <c r="H662" s="163">
        <v>0</v>
      </c>
      <c r="I662" s="165" t="s">
        <v>119</v>
      </c>
      <c r="J662" s="164">
        <v>0</v>
      </c>
      <c r="K662" s="163">
        <v>0</v>
      </c>
      <c r="L662" s="163">
        <v>0</v>
      </c>
      <c r="M662" s="163">
        <v>0</v>
      </c>
      <c r="N662" s="163">
        <v>0</v>
      </c>
      <c r="O662" s="163" t="s">
        <v>42</v>
      </c>
      <c r="P662" s="163">
        <v>0</v>
      </c>
      <c r="Q662" s="146" t="s">
        <v>162</v>
      </c>
      <c r="T662" s="130"/>
    </row>
    <row r="663" spans="1:20" ht="10.7" customHeight="1" x14ac:dyDescent="0.2">
      <c r="A663" s="122"/>
      <c r="B663" s="161" t="s">
        <v>89</v>
      </c>
      <c r="C663" s="162">
        <v>0</v>
      </c>
      <c r="D663" s="163">
        <v>0</v>
      </c>
      <c r="E663" s="163">
        <v>0</v>
      </c>
      <c r="F663" s="163">
        <v>0</v>
      </c>
      <c r="G663" s="164">
        <v>0</v>
      </c>
      <c r="H663" s="163">
        <v>0</v>
      </c>
      <c r="I663" s="165" t="s">
        <v>119</v>
      </c>
      <c r="J663" s="164">
        <v>0</v>
      </c>
      <c r="K663" s="163">
        <v>0</v>
      </c>
      <c r="L663" s="163">
        <v>0</v>
      </c>
      <c r="M663" s="163">
        <v>0</v>
      </c>
      <c r="N663" s="163">
        <v>0</v>
      </c>
      <c r="O663" s="163" t="s">
        <v>42</v>
      </c>
      <c r="P663" s="163">
        <v>0</v>
      </c>
      <c r="Q663" s="146" t="s">
        <v>162</v>
      </c>
      <c r="T663" s="130"/>
    </row>
    <row r="664" spans="1:20" ht="10.7" customHeight="1" x14ac:dyDescent="0.2">
      <c r="A664" s="122"/>
      <c r="B664" s="168" t="s">
        <v>91</v>
      </c>
      <c r="C664" s="162">
        <v>0</v>
      </c>
      <c r="D664" s="163">
        <v>0</v>
      </c>
      <c r="E664" s="163">
        <v>0</v>
      </c>
      <c r="F664" s="163">
        <v>0</v>
      </c>
      <c r="G664" s="164">
        <v>0</v>
      </c>
      <c r="H664" s="163">
        <v>0</v>
      </c>
      <c r="I664" s="165" t="s">
        <v>119</v>
      </c>
      <c r="J664" s="164">
        <v>0</v>
      </c>
      <c r="K664" s="163">
        <v>0</v>
      </c>
      <c r="L664" s="163">
        <v>0</v>
      </c>
      <c r="M664" s="163">
        <v>0</v>
      </c>
      <c r="N664" s="163">
        <v>0</v>
      </c>
      <c r="O664" s="163" t="s">
        <v>42</v>
      </c>
      <c r="P664" s="169">
        <v>0</v>
      </c>
      <c r="Q664" s="146">
        <v>0</v>
      </c>
      <c r="T664" s="130"/>
    </row>
    <row r="665" spans="1:20" ht="10.7" customHeight="1" x14ac:dyDescent="0.2">
      <c r="A665" s="122"/>
      <c r="B665" s="168"/>
      <c r="D665" s="163"/>
      <c r="E665" s="163"/>
      <c r="F665" s="163"/>
      <c r="G665" s="164"/>
      <c r="H665" s="163"/>
      <c r="I665" s="165"/>
      <c r="J665" s="164"/>
      <c r="K665" s="163"/>
      <c r="L665" s="163"/>
      <c r="M665" s="163"/>
      <c r="N665" s="163"/>
      <c r="O665" s="163"/>
      <c r="P665" s="163"/>
      <c r="Q665" s="146"/>
      <c r="T665" s="130"/>
    </row>
    <row r="666" spans="1:20" ht="10.7" customHeight="1" x14ac:dyDescent="0.2">
      <c r="A666" s="122"/>
      <c r="B666" s="161" t="s">
        <v>92</v>
      </c>
      <c r="C666" s="162">
        <v>0</v>
      </c>
      <c r="D666" s="163">
        <v>0</v>
      </c>
      <c r="E666" s="163">
        <v>0</v>
      </c>
      <c r="F666" s="163">
        <v>0</v>
      </c>
      <c r="G666" s="164">
        <v>0</v>
      </c>
      <c r="H666" s="163">
        <v>0</v>
      </c>
      <c r="I666" s="165" t="s">
        <v>119</v>
      </c>
      <c r="J666" s="164">
        <v>0</v>
      </c>
      <c r="K666" s="163">
        <v>0</v>
      </c>
      <c r="L666" s="163">
        <v>0</v>
      </c>
      <c r="M666" s="163">
        <v>0</v>
      </c>
      <c r="N666" s="163">
        <v>0</v>
      </c>
      <c r="O666" s="163" t="s">
        <v>42</v>
      </c>
      <c r="P666" s="163">
        <v>0</v>
      </c>
      <c r="Q666" s="146" t="s">
        <v>162</v>
      </c>
      <c r="T666" s="130"/>
    </row>
    <row r="667" spans="1:20" ht="10.7" customHeight="1" x14ac:dyDescent="0.2">
      <c r="A667" s="122"/>
      <c r="B667" s="161" t="s">
        <v>93</v>
      </c>
      <c r="C667" s="162">
        <v>0</v>
      </c>
      <c r="D667" s="163">
        <v>0</v>
      </c>
      <c r="E667" s="163">
        <v>0</v>
      </c>
      <c r="F667" s="163">
        <v>0</v>
      </c>
      <c r="G667" s="164">
        <v>0</v>
      </c>
      <c r="H667" s="163">
        <v>0</v>
      </c>
      <c r="I667" s="165" t="s">
        <v>119</v>
      </c>
      <c r="J667" s="164">
        <v>0</v>
      </c>
      <c r="K667" s="163">
        <v>0</v>
      </c>
      <c r="L667" s="163">
        <v>0</v>
      </c>
      <c r="M667" s="163">
        <v>0</v>
      </c>
      <c r="N667" s="163">
        <v>0</v>
      </c>
      <c r="O667" s="163" t="s">
        <v>42</v>
      </c>
      <c r="P667" s="163">
        <v>0</v>
      </c>
      <c r="Q667" s="146" t="s">
        <v>162</v>
      </c>
      <c r="T667" s="130"/>
    </row>
    <row r="668" spans="1:20" ht="10.7" hidden="1" customHeight="1" x14ac:dyDescent="0.2">
      <c r="A668" s="122"/>
      <c r="B668" s="161" t="s">
        <v>94</v>
      </c>
      <c r="C668" s="162">
        <v>0</v>
      </c>
      <c r="D668" s="163">
        <v>0</v>
      </c>
      <c r="E668" s="163">
        <v>0</v>
      </c>
      <c r="F668" s="163">
        <v>0</v>
      </c>
      <c r="G668" s="164">
        <v>0</v>
      </c>
      <c r="H668" s="163">
        <v>0</v>
      </c>
      <c r="I668" s="165" t="s">
        <v>119</v>
      </c>
      <c r="J668" s="164">
        <v>0</v>
      </c>
      <c r="K668" s="163">
        <v>0</v>
      </c>
      <c r="L668" s="163">
        <v>0</v>
      </c>
      <c r="M668" s="163">
        <v>0</v>
      </c>
      <c r="N668" s="163">
        <v>0</v>
      </c>
      <c r="O668" s="163" t="s">
        <v>42</v>
      </c>
      <c r="P668" s="163">
        <v>0</v>
      </c>
      <c r="Q668" s="146" t="s">
        <v>162</v>
      </c>
      <c r="T668" s="130"/>
    </row>
    <row r="669" spans="1:20" ht="10.7" customHeight="1" x14ac:dyDescent="0.2">
      <c r="A669" s="122"/>
      <c r="B669" s="161" t="s">
        <v>95</v>
      </c>
      <c r="C669" s="162">
        <v>0</v>
      </c>
      <c r="D669" s="163">
        <v>0</v>
      </c>
      <c r="E669" s="163">
        <v>0</v>
      </c>
      <c r="F669" s="163">
        <v>0</v>
      </c>
      <c r="G669" s="164">
        <v>0</v>
      </c>
      <c r="H669" s="163">
        <v>0</v>
      </c>
      <c r="I669" s="165" t="s">
        <v>119</v>
      </c>
      <c r="J669" s="164">
        <v>0</v>
      </c>
      <c r="K669" s="163">
        <v>0</v>
      </c>
      <c r="L669" s="163">
        <v>0</v>
      </c>
      <c r="M669" s="163">
        <v>0</v>
      </c>
      <c r="N669" s="163">
        <v>0</v>
      </c>
      <c r="O669" s="163" t="s">
        <v>42</v>
      </c>
      <c r="P669" s="163">
        <v>0</v>
      </c>
      <c r="Q669" s="146" t="s">
        <v>162</v>
      </c>
      <c r="T669" s="130"/>
    </row>
    <row r="670" spans="1:20" ht="10.7" customHeight="1" x14ac:dyDescent="0.2">
      <c r="A670" s="122"/>
      <c r="B670" s="161" t="s">
        <v>96</v>
      </c>
      <c r="C670" s="162">
        <v>0</v>
      </c>
      <c r="D670" s="163">
        <v>0</v>
      </c>
      <c r="E670" s="163">
        <v>0</v>
      </c>
      <c r="F670" s="163">
        <v>0</v>
      </c>
      <c r="G670" s="164">
        <v>0</v>
      </c>
      <c r="H670" s="163">
        <v>0</v>
      </c>
      <c r="I670" s="165" t="s">
        <v>119</v>
      </c>
      <c r="J670" s="164">
        <v>0</v>
      </c>
      <c r="K670" s="163">
        <v>0</v>
      </c>
      <c r="L670" s="163">
        <v>0</v>
      </c>
      <c r="M670" s="163">
        <v>0</v>
      </c>
      <c r="N670" s="163">
        <v>0</v>
      </c>
      <c r="O670" s="163" t="s">
        <v>42</v>
      </c>
      <c r="P670" s="163">
        <v>0</v>
      </c>
      <c r="Q670" s="146" t="s">
        <v>162</v>
      </c>
      <c r="T670" s="130"/>
    </row>
    <row r="671" spans="1:20" ht="10.7" customHeight="1" x14ac:dyDescent="0.2">
      <c r="A671" s="122"/>
      <c r="B671" s="161" t="s">
        <v>97</v>
      </c>
      <c r="C671" s="162">
        <v>0</v>
      </c>
      <c r="D671" s="163">
        <v>0</v>
      </c>
      <c r="E671" s="163">
        <v>0</v>
      </c>
      <c r="F671" s="163">
        <v>0</v>
      </c>
      <c r="G671" s="164">
        <v>0</v>
      </c>
      <c r="H671" s="163">
        <v>0</v>
      </c>
      <c r="I671" s="165" t="s">
        <v>119</v>
      </c>
      <c r="J671" s="164">
        <v>0</v>
      </c>
      <c r="K671" s="163">
        <v>0</v>
      </c>
      <c r="L671" s="163">
        <v>0</v>
      </c>
      <c r="M671" s="163">
        <v>0</v>
      </c>
      <c r="N671" s="163">
        <v>0</v>
      </c>
      <c r="O671" s="163" t="s">
        <v>42</v>
      </c>
      <c r="P671" s="163">
        <v>0</v>
      </c>
      <c r="Q671" s="146" t="s">
        <v>162</v>
      </c>
      <c r="T671" s="130"/>
    </row>
    <row r="672" spans="1:20" ht="10.7" customHeight="1" x14ac:dyDescent="0.2">
      <c r="A672" s="122"/>
      <c r="B672" s="161" t="s">
        <v>98</v>
      </c>
      <c r="C672" s="162">
        <v>0</v>
      </c>
      <c r="D672" s="163">
        <v>0</v>
      </c>
      <c r="E672" s="163">
        <v>0</v>
      </c>
      <c r="F672" s="163">
        <v>0</v>
      </c>
      <c r="G672" s="164">
        <v>0</v>
      </c>
      <c r="H672" s="163">
        <v>0</v>
      </c>
      <c r="I672" s="165" t="s">
        <v>119</v>
      </c>
      <c r="J672" s="164">
        <v>0</v>
      </c>
      <c r="K672" s="163">
        <v>0</v>
      </c>
      <c r="L672" s="163">
        <v>0</v>
      </c>
      <c r="M672" s="163">
        <v>0</v>
      </c>
      <c r="N672" s="163">
        <v>0</v>
      </c>
      <c r="O672" s="163" t="s">
        <v>42</v>
      </c>
      <c r="P672" s="163">
        <v>0</v>
      </c>
      <c r="Q672" s="146" t="s">
        <v>162</v>
      </c>
      <c r="T672" s="130"/>
    </row>
    <row r="673" spans="1:20" ht="10.7" customHeight="1" x14ac:dyDescent="0.2">
      <c r="A673" s="122"/>
      <c r="B673" s="161" t="s">
        <v>99</v>
      </c>
      <c r="C673" s="162">
        <v>0</v>
      </c>
      <c r="D673" s="163">
        <v>0</v>
      </c>
      <c r="E673" s="163">
        <v>0</v>
      </c>
      <c r="F673" s="163">
        <v>0</v>
      </c>
      <c r="G673" s="164">
        <v>0</v>
      </c>
      <c r="H673" s="163">
        <v>0</v>
      </c>
      <c r="I673" s="165" t="s">
        <v>119</v>
      </c>
      <c r="J673" s="164">
        <v>0</v>
      </c>
      <c r="K673" s="163">
        <v>0</v>
      </c>
      <c r="L673" s="163">
        <v>0</v>
      </c>
      <c r="M673" s="163">
        <v>0</v>
      </c>
      <c r="N673" s="163">
        <v>0</v>
      </c>
      <c r="O673" s="163" t="s">
        <v>42</v>
      </c>
      <c r="P673" s="163">
        <v>0</v>
      </c>
      <c r="Q673" s="146" t="s">
        <v>162</v>
      </c>
      <c r="T673" s="130"/>
    </row>
    <row r="674" spans="1:20" ht="10.7" customHeight="1" x14ac:dyDescent="0.2">
      <c r="A674" s="122"/>
      <c r="B674" s="161" t="s">
        <v>100</v>
      </c>
      <c r="C674" s="162">
        <v>0</v>
      </c>
      <c r="D674" s="163">
        <v>0</v>
      </c>
      <c r="E674" s="163">
        <v>0</v>
      </c>
      <c r="F674" s="163">
        <v>0</v>
      </c>
      <c r="G674" s="164">
        <v>0</v>
      </c>
      <c r="H674" s="163">
        <v>0</v>
      </c>
      <c r="I674" s="165" t="s">
        <v>119</v>
      </c>
      <c r="J674" s="164">
        <v>0</v>
      </c>
      <c r="K674" s="163">
        <v>0</v>
      </c>
      <c r="L674" s="163">
        <v>0</v>
      </c>
      <c r="M674" s="163">
        <v>0</v>
      </c>
      <c r="N674" s="163">
        <v>0</v>
      </c>
      <c r="O674" s="163" t="s">
        <v>42</v>
      </c>
      <c r="P674" s="163">
        <v>0</v>
      </c>
      <c r="Q674" s="146" t="s">
        <v>162</v>
      </c>
      <c r="T674" s="130"/>
    </row>
    <row r="675" spans="1:20" ht="10.7" customHeight="1" x14ac:dyDescent="0.2">
      <c r="A675" s="122"/>
      <c r="B675" s="161" t="s">
        <v>101</v>
      </c>
      <c r="C675" s="162">
        <v>0</v>
      </c>
      <c r="D675" s="163">
        <v>0</v>
      </c>
      <c r="E675" s="163">
        <v>0</v>
      </c>
      <c r="F675" s="163">
        <v>0</v>
      </c>
      <c r="G675" s="164">
        <v>0</v>
      </c>
      <c r="H675" s="163">
        <v>0</v>
      </c>
      <c r="I675" s="165" t="s">
        <v>119</v>
      </c>
      <c r="J675" s="164">
        <v>0</v>
      </c>
      <c r="K675" s="163">
        <v>0</v>
      </c>
      <c r="L675" s="163">
        <v>0</v>
      </c>
      <c r="M675" s="163">
        <v>0</v>
      </c>
      <c r="N675" s="163">
        <v>0</v>
      </c>
      <c r="O675" s="163" t="s">
        <v>42</v>
      </c>
      <c r="P675" s="163">
        <v>0</v>
      </c>
      <c r="Q675" s="146" t="s">
        <v>162</v>
      </c>
      <c r="T675" s="130"/>
    </row>
    <row r="676" spans="1:20" ht="10.7" customHeight="1" x14ac:dyDescent="0.2">
      <c r="A676" s="122"/>
      <c r="B676" s="161" t="s">
        <v>102</v>
      </c>
      <c r="C676" s="162">
        <v>0</v>
      </c>
      <c r="D676" s="163">
        <v>0</v>
      </c>
      <c r="E676" s="163">
        <v>0</v>
      </c>
      <c r="F676" s="163">
        <v>0</v>
      </c>
      <c r="G676" s="164">
        <v>0</v>
      </c>
      <c r="H676" s="163">
        <v>0</v>
      </c>
      <c r="I676" s="165" t="s">
        <v>119</v>
      </c>
      <c r="J676" s="164">
        <v>0</v>
      </c>
      <c r="K676" s="163">
        <v>0</v>
      </c>
      <c r="L676" s="163">
        <v>0</v>
      </c>
      <c r="M676" s="163">
        <v>0</v>
      </c>
      <c r="N676" s="163">
        <v>0</v>
      </c>
      <c r="O676" s="163" t="s">
        <v>42</v>
      </c>
      <c r="P676" s="163">
        <v>0</v>
      </c>
      <c r="Q676" s="146" t="s">
        <v>162</v>
      </c>
      <c r="T676" s="130"/>
    </row>
    <row r="677" spans="1:20" ht="10.7" customHeight="1" x14ac:dyDescent="0.2">
      <c r="A677" s="122"/>
      <c r="B677" s="161" t="s">
        <v>103</v>
      </c>
      <c r="C677" s="162">
        <v>0</v>
      </c>
      <c r="D677" s="163">
        <v>0</v>
      </c>
      <c r="E677" s="163">
        <v>0</v>
      </c>
      <c r="F677" s="163">
        <v>0</v>
      </c>
      <c r="G677" s="164">
        <v>0</v>
      </c>
      <c r="H677" s="163">
        <v>0</v>
      </c>
      <c r="I677" s="165" t="s">
        <v>119</v>
      </c>
      <c r="J677" s="164">
        <v>0</v>
      </c>
      <c r="K677" s="163">
        <v>0</v>
      </c>
      <c r="L677" s="163">
        <v>0</v>
      </c>
      <c r="M677" s="163">
        <v>0</v>
      </c>
      <c r="N677" s="163">
        <v>0</v>
      </c>
      <c r="O677" s="163" t="s">
        <v>42</v>
      </c>
      <c r="P677" s="163">
        <v>0</v>
      </c>
      <c r="Q677" s="146" t="s">
        <v>162</v>
      </c>
      <c r="T677" s="130"/>
    </row>
    <row r="678" spans="1:20" ht="10.7" customHeight="1" x14ac:dyDescent="0.2">
      <c r="A678" s="122"/>
      <c r="B678" s="1" t="s">
        <v>104</v>
      </c>
      <c r="C678" s="162">
        <v>0</v>
      </c>
      <c r="D678" s="163">
        <v>0</v>
      </c>
      <c r="E678" s="163">
        <v>0</v>
      </c>
      <c r="F678" s="163">
        <v>0</v>
      </c>
      <c r="G678" s="164">
        <v>0</v>
      </c>
      <c r="H678" s="163">
        <v>0</v>
      </c>
      <c r="I678" s="165" t="s">
        <v>119</v>
      </c>
      <c r="J678" s="164">
        <v>0</v>
      </c>
      <c r="K678" s="163">
        <v>0</v>
      </c>
      <c r="L678" s="163">
        <v>0</v>
      </c>
      <c r="M678" s="163">
        <v>0</v>
      </c>
      <c r="N678" s="163">
        <v>0</v>
      </c>
      <c r="O678" s="163" t="s">
        <v>42</v>
      </c>
      <c r="P678" s="163">
        <v>0</v>
      </c>
      <c r="Q678" s="146" t="s">
        <v>162</v>
      </c>
      <c r="T678" s="130"/>
    </row>
    <row r="679" spans="1:20" ht="10.7" customHeight="1" x14ac:dyDescent="0.2">
      <c r="A679" s="122"/>
      <c r="B679" s="168" t="s">
        <v>106</v>
      </c>
      <c r="C679" s="172">
        <v>0</v>
      </c>
      <c r="D679" s="163">
        <v>0</v>
      </c>
      <c r="E679" s="163">
        <v>0</v>
      </c>
      <c r="F679" s="163">
        <v>0</v>
      </c>
      <c r="G679" s="164">
        <v>0</v>
      </c>
      <c r="H679" s="163">
        <v>0</v>
      </c>
      <c r="I679" s="165" t="s">
        <v>119</v>
      </c>
      <c r="J679" s="164">
        <v>0</v>
      </c>
      <c r="K679" s="163">
        <v>0</v>
      </c>
      <c r="L679" s="163">
        <v>0</v>
      </c>
      <c r="M679" s="163">
        <v>0</v>
      </c>
      <c r="N679" s="163">
        <v>0</v>
      </c>
      <c r="O679" s="163" t="s">
        <v>42</v>
      </c>
      <c r="P679" s="163">
        <v>0</v>
      </c>
      <c r="Q679" s="146" t="s">
        <v>162</v>
      </c>
      <c r="T679" s="130"/>
    </row>
    <row r="680" spans="1:20" ht="10.7" customHeight="1" x14ac:dyDescent="0.2">
      <c r="A680" s="122"/>
      <c r="B680" s="168"/>
      <c r="C680" s="162"/>
      <c r="D680" s="163"/>
      <c r="E680" s="163"/>
      <c r="F680" s="163"/>
      <c r="G680" s="164"/>
      <c r="H680" s="163"/>
      <c r="I680" s="165"/>
      <c r="J680" s="164"/>
      <c r="K680" s="163"/>
      <c r="L680" s="163"/>
      <c r="M680" s="163"/>
      <c r="N680" s="163"/>
      <c r="O680" s="163"/>
      <c r="P680" s="163"/>
      <c r="Q680" s="146"/>
      <c r="T680" s="130"/>
    </row>
    <row r="681" spans="1:20" ht="10.7" customHeight="1" x14ac:dyDescent="0.2">
      <c r="A681" s="122"/>
      <c r="B681" s="161" t="s">
        <v>107</v>
      </c>
      <c r="C681" s="162">
        <v>0</v>
      </c>
      <c r="D681" s="163">
        <v>0</v>
      </c>
      <c r="E681" s="163">
        <v>0</v>
      </c>
      <c r="F681" s="163">
        <v>0</v>
      </c>
      <c r="G681" s="164">
        <v>0</v>
      </c>
      <c r="H681" s="163">
        <v>0</v>
      </c>
      <c r="I681" s="165" t="s">
        <v>119</v>
      </c>
      <c r="J681" s="164">
        <v>0</v>
      </c>
      <c r="K681" s="163">
        <v>0</v>
      </c>
      <c r="L681" s="163">
        <v>0</v>
      </c>
      <c r="M681" s="163">
        <v>0</v>
      </c>
      <c r="N681" s="163">
        <v>0</v>
      </c>
      <c r="O681" s="163" t="s">
        <v>42</v>
      </c>
      <c r="P681" s="163">
        <v>0</v>
      </c>
      <c r="Q681" s="146" t="s">
        <v>162</v>
      </c>
      <c r="T681" s="130"/>
    </row>
    <row r="682" spans="1:20" ht="10.7" customHeight="1" x14ac:dyDescent="0.2">
      <c r="A682" s="122"/>
      <c r="B682" s="161" t="s">
        <v>108</v>
      </c>
      <c r="C682" s="162">
        <v>0</v>
      </c>
      <c r="D682" s="163">
        <v>0</v>
      </c>
      <c r="E682" s="163">
        <v>0</v>
      </c>
      <c r="F682" s="163">
        <v>0</v>
      </c>
      <c r="G682" s="163">
        <v>0</v>
      </c>
      <c r="H682" s="163">
        <v>0</v>
      </c>
      <c r="I682" s="163">
        <v>0</v>
      </c>
      <c r="J682" s="163">
        <v>0</v>
      </c>
      <c r="K682" s="163">
        <v>0</v>
      </c>
      <c r="L682" s="163">
        <v>0</v>
      </c>
      <c r="M682" s="163">
        <v>0</v>
      </c>
      <c r="N682" s="163">
        <v>0</v>
      </c>
      <c r="O682" s="163">
        <v>0</v>
      </c>
      <c r="P682" s="163">
        <v>0</v>
      </c>
      <c r="Q682" s="146" t="s">
        <v>162</v>
      </c>
      <c r="T682" s="130"/>
    </row>
    <row r="683" spans="1:20" ht="10.7" customHeight="1" x14ac:dyDescent="0.2">
      <c r="A683" s="122"/>
      <c r="B683" s="174" t="s">
        <v>109</v>
      </c>
      <c r="C683" s="162">
        <v>0</v>
      </c>
      <c r="D683" s="163">
        <v>0</v>
      </c>
      <c r="E683" s="163">
        <v>0</v>
      </c>
      <c r="F683" s="163">
        <v>0</v>
      </c>
      <c r="G683" s="163">
        <v>0</v>
      </c>
      <c r="H683" s="163">
        <v>0</v>
      </c>
      <c r="I683" s="163">
        <v>0</v>
      </c>
      <c r="J683" s="163">
        <v>0</v>
      </c>
      <c r="K683" s="163">
        <v>0</v>
      </c>
      <c r="L683" s="163">
        <v>0</v>
      </c>
      <c r="M683" s="163">
        <v>0</v>
      </c>
      <c r="N683" s="163">
        <v>0</v>
      </c>
      <c r="O683" s="163">
        <v>0</v>
      </c>
      <c r="P683" s="163">
        <v>0</v>
      </c>
      <c r="Q683" s="146" t="s">
        <v>162</v>
      </c>
      <c r="T683" s="130"/>
    </row>
    <row r="684" spans="1:20" ht="10.7" customHeight="1" x14ac:dyDescent="0.2">
      <c r="A684" s="122"/>
      <c r="B684" s="174"/>
      <c r="C684" s="162"/>
      <c r="D684" s="163"/>
      <c r="E684" s="163"/>
      <c r="F684" s="163"/>
      <c r="G684" s="164"/>
      <c r="H684" s="163"/>
      <c r="I684" s="165"/>
      <c r="J684" s="164"/>
      <c r="K684" s="163"/>
      <c r="L684" s="163"/>
      <c r="M684" s="163"/>
      <c r="N684" s="163"/>
      <c r="O684" s="163"/>
      <c r="P684" s="163"/>
      <c r="Q684" s="146"/>
      <c r="T684" s="130"/>
    </row>
    <row r="685" spans="1:20" ht="10.7" customHeight="1" x14ac:dyDescent="0.2">
      <c r="A685" s="122"/>
      <c r="B685" s="174" t="s">
        <v>111</v>
      </c>
      <c r="C685" s="162"/>
      <c r="D685" s="163"/>
      <c r="E685" s="163"/>
      <c r="F685" s="163"/>
      <c r="G685" s="164">
        <v>0</v>
      </c>
      <c r="H685" s="163"/>
      <c r="I685" s="165"/>
      <c r="J685" s="164"/>
      <c r="K685" s="163"/>
      <c r="L685" s="163"/>
      <c r="M685" s="163"/>
      <c r="N685" s="163"/>
      <c r="O685" s="163"/>
      <c r="P685" s="169"/>
      <c r="Q685" s="146"/>
      <c r="T685" s="130"/>
    </row>
    <row r="686" spans="1:20" ht="10.7" customHeight="1" x14ac:dyDescent="0.2">
      <c r="A686" s="122"/>
      <c r="B686" s="175" t="s">
        <v>112</v>
      </c>
      <c r="C686" s="176">
        <v>0</v>
      </c>
      <c r="D686" s="180"/>
      <c r="E686" s="180">
        <v>0</v>
      </c>
      <c r="F686" s="180">
        <v>0</v>
      </c>
      <c r="G686" s="189">
        <v>0</v>
      </c>
      <c r="H686" s="180">
        <v>0</v>
      </c>
      <c r="I686" s="179" t="s">
        <v>119</v>
      </c>
      <c r="J686" s="189">
        <v>0</v>
      </c>
      <c r="K686" s="180">
        <v>0</v>
      </c>
      <c r="L686" s="180">
        <v>0</v>
      </c>
      <c r="M686" s="180">
        <v>0</v>
      </c>
      <c r="N686" s="180">
        <v>0</v>
      </c>
      <c r="O686" s="180" t="s">
        <v>42</v>
      </c>
      <c r="P686" s="190">
        <v>0</v>
      </c>
      <c r="Q686" s="153" t="s">
        <v>162</v>
      </c>
      <c r="T686" s="130"/>
    </row>
    <row r="687" spans="1:20" ht="10.7" customHeight="1" x14ac:dyDescent="0.2">
      <c r="A687" s="122"/>
      <c r="B687" s="191" t="s">
        <v>241</v>
      </c>
      <c r="C687" s="191"/>
      <c r="D687" s="183"/>
      <c r="E687" s="183"/>
      <c r="F687" s="183"/>
      <c r="G687" s="184"/>
      <c r="H687" s="183"/>
      <c r="I687" s="163"/>
      <c r="J687" s="184"/>
      <c r="K687" s="185"/>
      <c r="L687" s="185"/>
      <c r="M687" s="185"/>
      <c r="N687" s="185"/>
      <c r="O687" s="173"/>
      <c r="P687" s="183"/>
      <c r="Q687" s="182"/>
      <c r="T687" s="130"/>
    </row>
    <row r="688" spans="1:20" ht="10.7" customHeight="1" x14ac:dyDescent="0.2">
      <c r="A688" s="122"/>
      <c r="B688" s="123" t="s">
        <v>114</v>
      </c>
      <c r="C688" s="123"/>
      <c r="J688" s="192"/>
      <c r="T688" s="130"/>
    </row>
    <row r="692" spans="1:20" ht="10.7" customHeight="1" x14ac:dyDescent="0.2">
      <c r="A692" s="122"/>
      <c r="B692" s="123" t="s">
        <v>185</v>
      </c>
      <c r="C692" s="123"/>
      <c r="P692" s="128"/>
      <c r="T692" s="130"/>
    </row>
    <row r="693" spans="1:20" ht="10.7" customHeight="1" x14ac:dyDescent="0.2">
      <c r="A693" s="122"/>
      <c r="B693" s="131" t="s">
        <v>240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43166</v>
      </c>
      <c r="L697" s="151">
        <v>43173</v>
      </c>
      <c r="M697" s="151">
        <v>43180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6"/>
      <c r="C699" s="193" t="s">
        <v>166</v>
      </c>
      <c r="D699" s="193"/>
      <c r="E699" s="193"/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4"/>
      <c r="Q699" s="145"/>
      <c r="T699" s="130"/>
    </row>
    <row r="700" spans="1:20" ht="10.7" customHeight="1" x14ac:dyDescent="0.2">
      <c r="A700" s="122"/>
      <c r="B700" s="161" t="s">
        <v>80</v>
      </c>
      <c r="C700" s="162">
        <v>204</v>
      </c>
      <c r="D700" s="163">
        <v>204</v>
      </c>
      <c r="E700" s="163">
        <v>0</v>
      </c>
      <c r="F700" s="163">
        <v>0</v>
      </c>
      <c r="G700" s="164">
        <v>204</v>
      </c>
      <c r="H700" s="163">
        <v>0</v>
      </c>
      <c r="I700" s="165">
        <v>0</v>
      </c>
      <c r="J700" s="164">
        <v>204</v>
      </c>
      <c r="K700" s="163">
        <v>0</v>
      </c>
      <c r="L700" s="163">
        <v>0</v>
      </c>
      <c r="M700" s="163">
        <v>0</v>
      </c>
      <c r="N700" s="163">
        <v>0</v>
      </c>
      <c r="O700" s="163">
        <v>0</v>
      </c>
      <c r="P700" s="163">
        <v>0</v>
      </c>
      <c r="Q700" s="146" t="s">
        <v>186</v>
      </c>
      <c r="T700" s="130"/>
    </row>
    <row r="701" spans="1:20" ht="10.7" customHeight="1" x14ac:dyDescent="0.2">
      <c r="A701" s="122"/>
      <c r="B701" s="161" t="s">
        <v>81</v>
      </c>
      <c r="C701" s="162">
        <v>2.1</v>
      </c>
      <c r="D701" s="163">
        <v>2.1</v>
      </c>
      <c r="E701" s="163">
        <v>0</v>
      </c>
      <c r="F701" s="163">
        <v>0</v>
      </c>
      <c r="G701" s="164">
        <v>2.1</v>
      </c>
      <c r="H701" s="163">
        <v>0</v>
      </c>
      <c r="I701" s="165">
        <v>0</v>
      </c>
      <c r="J701" s="164">
        <v>2.1</v>
      </c>
      <c r="K701" s="163">
        <v>0</v>
      </c>
      <c r="L701" s="163">
        <v>0</v>
      </c>
      <c r="M701" s="163">
        <v>0</v>
      </c>
      <c r="N701" s="163">
        <v>0</v>
      </c>
      <c r="O701" s="163">
        <v>0</v>
      </c>
      <c r="P701" s="163">
        <v>0</v>
      </c>
      <c r="Q701" s="146" t="s">
        <v>162</v>
      </c>
      <c r="T701" s="130"/>
    </row>
    <row r="702" spans="1:20" ht="10.7" customHeight="1" x14ac:dyDescent="0.2">
      <c r="A702" s="122"/>
      <c r="B702" s="161" t="s">
        <v>82</v>
      </c>
      <c r="C702" s="162">
        <v>26.8</v>
      </c>
      <c r="D702" s="163">
        <v>26.8</v>
      </c>
      <c r="E702" s="163">
        <v>0</v>
      </c>
      <c r="F702" s="163">
        <v>0</v>
      </c>
      <c r="G702" s="164">
        <v>26.8</v>
      </c>
      <c r="H702" s="163">
        <v>0</v>
      </c>
      <c r="I702" s="165">
        <v>0</v>
      </c>
      <c r="J702" s="164">
        <v>26.8</v>
      </c>
      <c r="K702" s="163">
        <v>0</v>
      </c>
      <c r="L702" s="163">
        <v>0</v>
      </c>
      <c r="M702" s="163">
        <v>0</v>
      </c>
      <c r="N702" s="163">
        <v>0</v>
      </c>
      <c r="O702" s="163">
        <v>0</v>
      </c>
      <c r="P702" s="163">
        <v>0</v>
      </c>
      <c r="Q702" s="146" t="s">
        <v>186</v>
      </c>
      <c r="T702" s="130"/>
    </row>
    <row r="703" spans="1:20" ht="10.7" customHeight="1" x14ac:dyDescent="0.2">
      <c r="A703" s="122"/>
      <c r="B703" s="161" t="s">
        <v>83</v>
      </c>
      <c r="C703" s="162">
        <v>23</v>
      </c>
      <c r="D703" s="163">
        <v>23</v>
      </c>
      <c r="E703" s="163">
        <v>0</v>
      </c>
      <c r="F703" s="163">
        <v>0</v>
      </c>
      <c r="G703" s="164">
        <v>23</v>
      </c>
      <c r="H703" s="163">
        <v>0</v>
      </c>
      <c r="I703" s="165">
        <v>0</v>
      </c>
      <c r="J703" s="164">
        <v>23</v>
      </c>
      <c r="K703" s="163">
        <v>0</v>
      </c>
      <c r="L703" s="163">
        <v>0</v>
      </c>
      <c r="M703" s="163">
        <v>0</v>
      </c>
      <c r="N703" s="163">
        <v>0</v>
      </c>
      <c r="O703" s="163">
        <v>0</v>
      </c>
      <c r="P703" s="163">
        <v>0</v>
      </c>
      <c r="Q703" s="146" t="s">
        <v>186</v>
      </c>
      <c r="T703" s="130"/>
    </row>
    <row r="704" spans="1:20" ht="10.7" customHeight="1" x14ac:dyDescent="0.2">
      <c r="A704" s="122"/>
      <c r="B704" s="161" t="s">
        <v>84</v>
      </c>
      <c r="C704" s="162">
        <v>6.7</v>
      </c>
      <c r="D704" s="163">
        <v>6.7</v>
      </c>
      <c r="E704" s="163">
        <v>0</v>
      </c>
      <c r="F704" s="163">
        <v>0</v>
      </c>
      <c r="G704" s="164">
        <v>6.7</v>
      </c>
      <c r="H704" s="163">
        <v>0</v>
      </c>
      <c r="I704" s="165">
        <v>0</v>
      </c>
      <c r="J704" s="164">
        <v>6.7</v>
      </c>
      <c r="K704" s="163">
        <v>0</v>
      </c>
      <c r="L704" s="163">
        <v>0</v>
      </c>
      <c r="M704" s="163">
        <v>0</v>
      </c>
      <c r="N704" s="163">
        <v>0</v>
      </c>
      <c r="O704" s="163">
        <v>0</v>
      </c>
      <c r="P704" s="163">
        <v>0</v>
      </c>
      <c r="Q704" s="146" t="s">
        <v>162</v>
      </c>
      <c r="T704" s="130"/>
    </row>
    <row r="705" spans="1:20" ht="10.7" customHeight="1" x14ac:dyDescent="0.2">
      <c r="A705" s="122"/>
      <c r="B705" s="161" t="s">
        <v>85</v>
      </c>
      <c r="C705" s="162">
        <v>0.3</v>
      </c>
      <c r="D705" s="163">
        <v>0.3</v>
      </c>
      <c r="E705" s="163">
        <v>0</v>
      </c>
      <c r="F705" s="163">
        <v>0</v>
      </c>
      <c r="G705" s="164">
        <v>0.3</v>
      </c>
      <c r="H705" s="163">
        <v>0</v>
      </c>
      <c r="I705" s="165">
        <v>0</v>
      </c>
      <c r="J705" s="164">
        <v>0.3</v>
      </c>
      <c r="K705" s="163">
        <v>0</v>
      </c>
      <c r="L705" s="163">
        <v>0</v>
      </c>
      <c r="M705" s="163">
        <v>0</v>
      </c>
      <c r="N705" s="163">
        <v>0</v>
      </c>
      <c r="O705" s="163">
        <v>0</v>
      </c>
      <c r="P705" s="163">
        <v>0</v>
      </c>
      <c r="Q705" s="146" t="s">
        <v>162</v>
      </c>
      <c r="T705" s="130"/>
    </row>
    <row r="706" spans="1:20" ht="10.7" customHeight="1" x14ac:dyDescent="0.2">
      <c r="A706" s="122"/>
      <c r="B706" s="161" t="s">
        <v>86</v>
      </c>
      <c r="C706" s="162">
        <v>0</v>
      </c>
      <c r="D706" s="163">
        <v>0</v>
      </c>
      <c r="E706" s="163">
        <v>0</v>
      </c>
      <c r="F706" s="163">
        <v>0</v>
      </c>
      <c r="G706" s="164">
        <v>0</v>
      </c>
      <c r="H706" s="163">
        <v>0</v>
      </c>
      <c r="I706" s="165" t="s">
        <v>119</v>
      </c>
      <c r="J706" s="164">
        <v>0</v>
      </c>
      <c r="K706" s="163">
        <v>0</v>
      </c>
      <c r="L706" s="163">
        <v>0</v>
      </c>
      <c r="M706" s="163">
        <v>0</v>
      </c>
      <c r="N706" s="163">
        <v>0</v>
      </c>
      <c r="O706" s="163" t="s">
        <v>42</v>
      </c>
      <c r="P706" s="163">
        <v>0</v>
      </c>
      <c r="Q706" s="146">
        <v>0</v>
      </c>
      <c r="T706" s="130"/>
    </row>
    <row r="707" spans="1:20" ht="10.7" customHeight="1" x14ac:dyDescent="0.2">
      <c r="A707" s="122"/>
      <c r="B707" s="161" t="s">
        <v>87</v>
      </c>
      <c r="C707" s="162">
        <v>15.3</v>
      </c>
      <c r="D707" s="163">
        <v>15.3</v>
      </c>
      <c r="E707" s="163">
        <v>0</v>
      </c>
      <c r="F707" s="163">
        <v>0</v>
      </c>
      <c r="G707" s="164">
        <v>15.3</v>
      </c>
      <c r="H707" s="163">
        <v>0</v>
      </c>
      <c r="I707" s="165">
        <v>0</v>
      </c>
      <c r="J707" s="164">
        <v>15.3</v>
      </c>
      <c r="K707" s="163">
        <v>0</v>
      </c>
      <c r="L707" s="163">
        <v>0</v>
      </c>
      <c r="M707" s="163">
        <v>0</v>
      </c>
      <c r="N707" s="163">
        <v>0</v>
      </c>
      <c r="O707" s="163">
        <v>0</v>
      </c>
      <c r="P707" s="163">
        <v>0</v>
      </c>
      <c r="Q707" s="146" t="s">
        <v>186</v>
      </c>
      <c r="T707" s="130"/>
    </row>
    <row r="708" spans="1:20" ht="10.7" customHeight="1" x14ac:dyDescent="0.2">
      <c r="A708" s="122"/>
      <c r="B708" s="161" t="s">
        <v>88</v>
      </c>
      <c r="C708" s="162">
        <v>0</v>
      </c>
      <c r="D708" s="163">
        <v>0</v>
      </c>
      <c r="E708" s="163">
        <v>0</v>
      </c>
      <c r="F708" s="163">
        <v>0</v>
      </c>
      <c r="G708" s="164">
        <v>0</v>
      </c>
      <c r="H708" s="163">
        <v>0</v>
      </c>
      <c r="I708" s="165" t="s">
        <v>119</v>
      </c>
      <c r="J708" s="164">
        <v>0</v>
      </c>
      <c r="K708" s="163">
        <v>0</v>
      </c>
      <c r="L708" s="163">
        <v>0</v>
      </c>
      <c r="M708" s="163">
        <v>0</v>
      </c>
      <c r="N708" s="163">
        <v>0</v>
      </c>
      <c r="O708" s="163" t="s">
        <v>42</v>
      </c>
      <c r="P708" s="163">
        <v>0</v>
      </c>
      <c r="Q708" s="146" t="s">
        <v>162</v>
      </c>
      <c r="T708" s="130"/>
    </row>
    <row r="709" spans="1:20" ht="10.7" customHeight="1" x14ac:dyDescent="0.2">
      <c r="A709" s="122"/>
      <c r="B709" s="161" t="s">
        <v>89</v>
      </c>
      <c r="C709" s="162">
        <v>0.5</v>
      </c>
      <c r="D709" s="163">
        <v>0.5</v>
      </c>
      <c r="E709" s="163">
        <v>0</v>
      </c>
      <c r="F709" s="163">
        <v>0</v>
      </c>
      <c r="G709" s="164">
        <v>0.5</v>
      </c>
      <c r="H709" s="163">
        <v>0</v>
      </c>
      <c r="I709" s="165">
        <v>0</v>
      </c>
      <c r="J709" s="164">
        <v>0.5</v>
      </c>
      <c r="K709" s="163">
        <v>0</v>
      </c>
      <c r="L709" s="163">
        <v>0</v>
      </c>
      <c r="M709" s="163">
        <v>0</v>
      </c>
      <c r="N709" s="163">
        <v>0</v>
      </c>
      <c r="O709" s="163">
        <v>0</v>
      </c>
      <c r="P709" s="163">
        <v>0</v>
      </c>
      <c r="Q709" s="146" t="s">
        <v>186</v>
      </c>
      <c r="T709" s="130"/>
    </row>
    <row r="710" spans="1:20" ht="10.7" customHeight="1" x14ac:dyDescent="0.2">
      <c r="A710" s="122"/>
      <c r="B710" s="168" t="s">
        <v>91</v>
      </c>
      <c r="C710" s="162">
        <v>278.70000000000005</v>
      </c>
      <c r="D710" s="163">
        <v>278.70000000000005</v>
      </c>
      <c r="E710" s="163">
        <v>0</v>
      </c>
      <c r="F710" s="163">
        <v>0</v>
      </c>
      <c r="G710" s="164">
        <v>278.70000000000005</v>
      </c>
      <c r="H710" s="163">
        <v>0</v>
      </c>
      <c r="I710" s="165">
        <v>0</v>
      </c>
      <c r="J710" s="164">
        <v>278.70000000000005</v>
      </c>
      <c r="K710" s="163">
        <v>0</v>
      </c>
      <c r="L710" s="163">
        <v>0</v>
      </c>
      <c r="M710" s="163">
        <v>0</v>
      </c>
      <c r="N710" s="163">
        <v>0</v>
      </c>
      <c r="O710" s="163">
        <v>0</v>
      </c>
      <c r="P710" s="169">
        <v>0</v>
      </c>
      <c r="Q710" s="146" t="s">
        <v>186</v>
      </c>
      <c r="T710" s="130"/>
    </row>
    <row r="711" spans="1:20" ht="10.7" customHeight="1" x14ac:dyDescent="0.2">
      <c r="A711" s="122"/>
      <c r="B711" s="168"/>
      <c r="D711" s="163"/>
      <c r="E711" s="163"/>
      <c r="F711" s="163"/>
      <c r="G711" s="164"/>
      <c r="H711" s="163"/>
      <c r="I711" s="165"/>
      <c r="J711" s="164"/>
      <c r="K711" s="163"/>
      <c r="L711" s="163"/>
      <c r="M711" s="163"/>
      <c r="N711" s="163"/>
      <c r="O711" s="163"/>
      <c r="P711" s="163"/>
      <c r="Q711" s="146"/>
      <c r="T711" s="130"/>
    </row>
    <row r="712" spans="1:20" ht="10.7" customHeight="1" x14ac:dyDescent="0.2">
      <c r="A712" s="122"/>
      <c r="B712" s="161" t="s">
        <v>92</v>
      </c>
      <c r="C712" s="162">
        <v>59</v>
      </c>
      <c r="D712" s="163">
        <v>4</v>
      </c>
      <c r="E712" s="163">
        <v>0</v>
      </c>
      <c r="F712" s="163">
        <v>-55</v>
      </c>
      <c r="G712" s="164">
        <v>4</v>
      </c>
      <c r="H712" s="163">
        <v>0</v>
      </c>
      <c r="I712" s="165">
        <v>0</v>
      </c>
      <c r="J712" s="164">
        <v>4</v>
      </c>
      <c r="K712" s="163">
        <v>0</v>
      </c>
      <c r="L712" s="163">
        <v>0</v>
      </c>
      <c r="M712" s="163">
        <v>0</v>
      </c>
      <c r="N712" s="163">
        <v>0</v>
      </c>
      <c r="O712" s="163">
        <v>0</v>
      </c>
      <c r="P712" s="163">
        <v>0</v>
      </c>
      <c r="Q712" s="146" t="s">
        <v>186</v>
      </c>
      <c r="T712" s="130"/>
    </row>
    <row r="713" spans="1:20" ht="10.7" customHeight="1" x14ac:dyDescent="0.2">
      <c r="A713" s="122"/>
      <c r="B713" s="161" t="s">
        <v>93</v>
      </c>
      <c r="C713" s="162">
        <v>57.6</v>
      </c>
      <c r="D713" s="163">
        <v>57.6</v>
      </c>
      <c r="E713" s="163">
        <v>0</v>
      </c>
      <c r="F713" s="163">
        <v>0</v>
      </c>
      <c r="G713" s="164">
        <v>57.6</v>
      </c>
      <c r="H713" s="163">
        <v>1.7399999999999999E-2</v>
      </c>
      <c r="I713" s="165">
        <v>3.020833333333333E-2</v>
      </c>
      <c r="J713" s="164">
        <v>57.582599999999999</v>
      </c>
      <c r="K713" s="163">
        <v>0</v>
      </c>
      <c r="L713" s="163">
        <v>0</v>
      </c>
      <c r="M713" s="163">
        <v>0</v>
      </c>
      <c r="N713" s="163">
        <v>0</v>
      </c>
      <c r="O713" s="163">
        <v>0</v>
      </c>
      <c r="P713" s="163">
        <v>0</v>
      </c>
      <c r="Q713" s="146" t="s">
        <v>186</v>
      </c>
      <c r="T713" s="130"/>
    </row>
    <row r="714" spans="1:20" ht="10.7" hidden="1" customHeight="1" x14ac:dyDescent="0.2">
      <c r="A714" s="122"/>
      <c r="B714" s="161" t="s">
        <v>94</v>
      </c>
      <c r="C714" s="162">
        <v>0</v>
      </c>
      <c r="D714" s="163">
        <v>0</v>
      </c>
      <c r="E714" s="163">
        <v>0</v>
      </c>
      <c r="F714" s="163">
        <v>0</v>
      </c>
      <c r="G714" s="164">
        <v>0</v>
      </c>
      <c r="H714" s="163">
        <v>0</v>
      </c>
      <c r="I714" s="165" t="s">
        <v>119</v>
      </c>
      <c r="J714" s="164">
        <v>0</v>
      </c>
      <c r="K714" s="163">
        <v>0</v>
      </c>
      <c r="L714" s="163">
        <v>0</v>
      </c>
      <c r="M714" s="163">
        <v>0</v>
      </c>
      <c r="N714" s="163">
        <v>0</v>
      </c>
      <c r="O714" s="163" t="s">
        <v>42</v>
      </c>
      <c r="P714" s="163">
        <v>0</v>
      </c>
      <c r="Q714" s="146" t="s">
        <v>162</v>
      </c>
      <c r="T714" s="130"/>
    </row>
    <row r="715" spans="1:20" ht="10.7" customHeight="1" x14ac:dyDescent="0.2">
      <c r="A715" s="122"/>
      <c r="B715" s="161" t="s">
        <v>95</v>
      </c>
      <c r="C715" s="162">
        <v>0</v>
      </c>
      <c r="D715" s="163">
        <v>0</v>
      </c>
      <c r="E715" s="163">
        <v>0</v>
      </c>
      <c r="F715" s="163">
        <v>0</v>
      </c>
      <c r="G715" s="164">
        <v>0</v>
      </c>
      <c r="H715" s="163">
        <v>0</v>
      </c>
      <c r="I715" s="165" t="s">
        <v>119</v>
      </c>
      <c r="J715" s="164">
        <v>0</v>
      </c>
      <c r="K715" s="163">
        <v>0</v>
      </c>
      <c r="L715" s="163">
        <v>0</v>
      </c>
      <c r="M715" s="163">
        <v>0</v>
      </c>
      <c r="N715" s="163">
        <v>0</v>
      </c>
      <c r="O715" s="163" t="s">
        <v>42</v>
      </c>
      <c r="P715" s="163">
        <v>0</v>
      </c>
      <c r="Q715" s="146">
        <v>0</v>
      </c>
      <c r="T715" s="130"/>
    </row>
    <row r="716" spans="1:20" ht="10.7" customHeight="1" x14ac:dyDescent="0.2">
      <c r="A716" s="122"/>
      <c r="B716" s="161" t="s">
        <v>96</v>
      </c>
      <c r="C716" s="162">
        <v>0.8</v>
      </c>
      <c r="D716" s="163">
        <v>0.8</v>
      </c>
      <c r="E716" s="163">
        <v>0</v>
      </c>
      <c r="F716" s="163">
        <v>0</v>
      </c>
      <c r="G716" s="164">
        <v>0.8</v>
      </c>
      <c r="H716" s="163">
        <v>0</v>
      </c>
      <c r="I716" s="165">
        <v>0</v>
      </c>
      <c r="J716" s="164">
        <v>0.8</v>
      </c>
      <c r="K716" s="163">
        <v>0</v>
      </c>
      <c r="L716" s="163">
        <v>0</v>
      </c>
      <c r="M716" s="163">
        <v>0</v>
      </c>
      <c r="N716" s="163">
        <v>0</v>
      </c>
      <c r="O716" s="163">
        <v>0</v>
      </c>
      <c r="P716" s="163">
        <v>0</v>
      </c>
      <c r="Q716" s="146" t="s">
        <v>186</v>
      </c>
      <c r="T716" s="130"/>
    </row>
    <row r="717" spans="1:20" ht="10.7" customHeight="1" x14ac:dyDescent="0.2">
      <c r="A717" s="122"/>
      <c r="B717" s="161" t="s">
        <v>97</v>
      </c>
      <c r="C717" s="162">
        <v>19.100000000000001</v>
      </c>
      <c r="D717" s="163">
        <v>19.100000000000001</v>
      </c>
      <c r="E717" s="163">
        <v>0</v>
      </c>
      <c r="F717" s="163">
        <v>0</v>
      </c>
      <c r="G717" s="164">
        <v>19.100000000000001</v>
      </c>
      <c r="H717" s="163">
        <v>0</v>
      </c>
      <c r="I717" s="165">
        <v>0</v>
      </c>
      <c r="J717" s="164">
        <v>19.100000000000001</v>
      </c>
      <c r="K717" s="163">
        <v>0</v>
      </c>
      <c r="L717" s="163">
        <v>0</v>
      </c>
      <c r="M717" s="163">
        <v>0</v>
      </c>
      <c r="N717" s="163">
        <v>0</v>
      </c>
      <c r="O717" s="163">
        <v>0</v>
      </c>
      <c r="P717" s="163">
        <v>0</v>
      </c>
      <c r="Q717" s="146" t="s">
        <v>162</v>
      </c>
      <c r="T717" s="130"/>
    </row>
    <row r="718" spans="1:20" ht="10.7" customHeight="1" x14ac:dyDescent="0.2">
      <c r="A718" s="122"/>
      <c r="B718" s="161" t="s">
        <v>98</v>
      </c>
      <c r="C718" s="162">
        <v>14.2</v>
      </c>
      <c r="D718" s="163">
        <v>14.2</v>
      </c>
      <c r="E718" s="163">
        <v>0</v>
      </c>
      <c r="F718" s="163">
        <v>0</v>
      </c>
      <c r="G718" s="164">
        <v>14.2</v>
      </c>
      <c r="H718" s="163">
        <v>0</v>
      </c>
      <c r="I718" s="165">
        <v>0</v>
      </c>
      <c r="J718" s="164">
        <v>14.2</v>
      </c>
      <c r="K718" s="163">
        <v>0</v>
      </c>
      <c r="L718" s="163">
        <v>0</v>
      </c>
      <c r="M718" s="163">
        <v>0</v>
      </c>
      <c r="N718" s="163">
        <v>0</v>
      </c>
      <c r="O718" s="163">
        <v>0</v>
      </c>
      <c r="P718" s="163">
        <v>0</v>
      </c>
      <c r="Q718" s="146" t="s">
        <v>186</v>
      </c>
      <c r="T718" s="130"/>
    </row>
    <row r="719" spans="1:20" ht="10.7" customHeight="1" x14ac:dyDescent="0.2">
      <c r="A719" s="122"/>
      <c r="B719" s="161" t="s">
        <v>99</v>
      </c>
      <c r="C719" s="162">
        <v>24.6</v>
      </c>
      <c r="D719" s="163">
        <v>24.6</v>
      </c>
      <c r="E719" s="163">
        <v>0</v>
      </c>
      <c r="F719" s="163">
        <v>0</v>
      </c>
      <c r="G719" s="164">
        <v>24.6</v>
      </c>
      <c r="H719" s="163">
        <v>0</v>
      </c>
      <c r="I719" s="165">
        <v>0</v>
      </c>
      <c r="J719" s="164">
        <v>24.6</v>
      </c>
      <c r="K719" s="163">
        <v>0</v>
      </c>
      <c r="L719" s="163">
        <v>0</v>
      </c>
      <c r="M719" s="163">
        <v>0</v>
      </c>
      <c r="N719" s="163">
        <v>0</v>
      </c>
      <c r="O719" s="163">
        <v>0</v>
      </c>
      <c r="P719" s="163">
        <v>0</v>
      </c>
      <c r="Q719" s="146" t="s">
        <v>186</v>
      </c>
      <c r="T719" s="130"/>
    </row>
    <row r="720" spans="1:20" ht="10.7" customHeight="1" x14ac:dyDescent="0.2">
      <c r="A720" s="122"/>
      <c r="B720" s="161" t="s">
        <v>100</v>
      </c>
      <c r="C720" s="162">
        <v>0</v>
      </c>
      <c r="D720" s="163">
        <v>0</v>
      </c>
      <c r="E720" s="163">
        <v>0</v>
      </c>
      <c r="F720" s="163">
        <v>0</v>
      </c>
      <c r="G720" s="164">
        <v>0</v>
      </c>
      <c r="H720" s="163">
        <v>0</v>
      </c>
      <c r="I720" s="165" t="s">
        <v>119</v>
      </c>
      <c r="J720" s="164">
        <v>0</v>
      </c>
      <c r="K720" s="163">
        <v>0</v>
      </c>
      <c r="L720" s="163">
        <v>0</v>
      </c>
      <c r="M720" s="163">
        <v>0</v>
      </c>
      <c r="N720" s="163">
        <v>0</v>
      </c>
      <c r="O720" s="163" t="s">
        <v>42</v>
      </c>
      <c r="P720" s="163">
        <v>0</v>
      </c>
      <c r="Q720" s="146">
        <v>0</v>
      </c>
      <c r="T720" s="130"/>
    </row>
    <row r="721" spans="1:20" ht="10.7" customHeight="1" x14ac:dyDescent="0.2">
      <c r="A721" s="122"/>
      <c r="B721" s="161" t="s">
        <v>101</v>
      </c>
      <c r="C721" s="162">
        <v>0</v>
      </c>
      <c r="D721" s="163">
        <v>0</v>
      </c>
      <c r="E721" s="163">
        <v>0</v>
      </c>
      <c r="F721" s="163">
        <v>0</v>
      </c>
      <c r="G721" s="164">
        <v>0</v>
      </c>
      <c r="H721" s="163">
        <v>0</v>
      </c>
      <c r="I721" s="165" t="s">
        <v>119</v>
      </c>
      <c r="J721" s="164">
        <v>0</v>
      </c>
      <c r="K721" s="163">
        <v>0</v>
      </c>
      <c r="L721" s="163">
        <v>0</v>
      </c>
      <c r="M721" s="163">
        <v>0</v>
      </c>
      <c r="N721" s="163">
        <v>0</v>
      </c>
      <c r="O721" s="163" t="s">
        <v>42</v>
      </c>
      <c r="P721" s="163">
        <v>0</v>
      </c>
      <c r="Q721" s="146">
        <v>0</v>
      </c>
      <c r="T721" s="130"/>
    </row>
    <row r="722" spans="1:20" ht="10.7" customHeight="1" x14ac:dyDescent="0.2">
      <c r="A722" s="122"/>
      <c r="B722" s="161" t="s">
        <v>102</v>
      </c>
      <c r="C722" s="162">
        <v>13.9</v>
      </c>
      <c r="D722" s="163">
        <v>13.9</v>
      </c>
      <c r="E722" s="163">
        <v>0</v>
      </c>
      <c r="F722" s="163">
        <v>0</v>
      </c>
      <c r="G722" s="164">
        <v>13.9</v>
      </c>
      <c r="H722" s="163">
        <v>0</v>
      </c>
      <c r="I722" s="165">
        <v>0</v>
      </c>
      <c r="J722" s="164">
        <v>13.9</v>
      </c>
      <c r="K722" s="163">
        <v>0</v>
      </c>
      <c r="L722" s="163">
        <v>0</v>
      </c>
      <c r="M722" s="163">
        <v>0</v>
      </c>
      <c r="N722" s="163">
        <v>0</v>
      </c>
      <c r="O722" s="163">
        <v>0</v>
      </c>
      <c r="P722" s="163">
        <v>0</v>
      </c>
      <c r="Q722" s="146" t="s">
        <v>186</v>
      </c>
      <c r="T722" s="130"/>
    </row>
    <row r="723" spans="1:20" ht="10.7" customHeight="1" x14ac:dyDescent="0.2">
      <c r="A723" s="122"/>
      <c r="B723" s="161" t="s">
        <v>103</v>
      </c>
      <c r="C723" s="162">
        <v>0</v>
      </c>
      <c r="D723" s="163">
        <v>0</v>
      </c>
      <c r="E723" s="163">
        <v>0</v>
      </c>
      <c r="F723" s="163">
        <v>0</v>
      </c>
      <c r="G723" s="164">
        <v>0</v>
      </c>
      <c r="H723" s="163">
        <v>0</v>
      </c>
      <c r="I723" s="165" t="s">
        <v>119</v>
      </c>
      <c r="J723" s="164">
        <v>0</v>
      </c>
      <c r="K723" s="163">
        <v>0</v>
      </c>
      <c r="L723" s="163">
        <v>0</v>
      </c>
      <c r="M723" s="163">
        <v>0</v>
      </c>
      <c r="N723" s="163">
        <v>0</v>
      </c>
      <c r="O723" s="163" t="s">
        <v>42</v>
      </c>
      <c r="P723" s="163">
        <v>0</v>
      </c>
      <c r="Q723" s="146">
        <v>0</v>
      </c>
      <c r="T723" s="130"/>
    </row>
    <row r="724" spans="1:20" ht="10.7" customHeight="1" x14ac:dyDescent="0.2">
      <c r="A724" s="122"/>
      <c r="B724" s="1" t="s">
        <v>104</v>
      </c>
      <c r="C724" s="162">
        <v>0</v>
      </c>
      <c r="D724" s="163">
        <v>0</v>
      </c>
      <c r="E724" s="163">
        <v>0</v>
      </c>
      <c r="F724" s="163">
        <v>-14.8</v>
      </c>
      <c r="G724" s="164">
        <v>0</v>
      </c>
      <c r="H724" s="163">
        <v>0</v>
      </c>
      <c r="I724" s="165" t="s">
        <v>119</v>
      </c>
      <c r="J724" s="164">
        <v>0</v>
      </c>
      <c r="K724" s="163">
        <v>0</v>
      </c>
      <c r="L724" s="163">
        <v>0</v>
      </c>
      <c r="M724" s="163">
        <v>0</v>
      </c>
      <c r="N724" s="163">
        <v>0</v>
      </c>
      <c r="O724" s="163" t="s">
        <v>42</v>
      </c>
      <c r="P724" s="163">
        <v>0</v>
      </c>
      <c r="Q724" s="146">
        <v>0</v>
      </c>
      <c r="T724" s="130"/>
    </row>
    <row r="725" spans="1:20" ht="10.7" customHeight="1" x14ac:dyDescent="0.2">
      <c r="A725" s="122"/>
      <c r="B725" s="168" t="s">
        <v>106</v>
      </c>
      <c r="C725" s="172">
        <v>467.90000000000003</v>
      </c>
      <c r="D725" s="163">
        <v>412.90000000000009</v>
      </c>
      <c r="E725" s="163">
        <v>0</v>
      </c>
      <c r="F725" s="163">
        <v>-54.999999999999943</v>
      </c>
      <c r="G725" s="164">
        <v>412.90000000000009</v>
      </c>
      <c r="H725" s="163">
        <v>1.7399999999999999E-2</v>
      </c>
      <c r="I725" s="165">
        <v>4.2140954226204874E-3</v>
      </c>
      <c r="J725" s="164">
        <v>412.88260000000008</v>
      </c>
      <c r="K725" s="163">
        <v>0</v>
      </c>
      <c r="L725" s="163">
        <v>0</v>
      </c>
      <c r="M725" s="163">
        <v>0</v>
      </c>
      <c r="N725" s="163">
        <v>0</v>
      </c>
      <c r="O725" s="163">
        <v>0</v>
      </c>
      <c r="P725" s="163">
        <v>0</v>
      </c>
      <c r="Q725" s="146" t="s">
        <v>186</v>
      </c>
      <c r="T725" s="130"/>
    </row>
    <row r="726" spans="1:20" ht="10.7" customHeight="1" x14ac:dyDescent="0.2">
      <c r="A726" s="122"/>
      <c r="B726" s="168"/>
      <c r="C726" s="162"/>
      <c r="D726" s="163"/>
      <c r="E726" s="163"/>
      <c r="F726" s="163"/>
      <c r="G726" s="164"/>
      <c r="H726" s="163"/>
      <c r="I726" s="165"/>
      <c r="J726" s="164"/>
      <c r="K726" s="163"/>
      <c r="L726" s="163"/>
      <c r="M726" s="163"/>
      <c r="N726" s="163"/>
      <c r="O726" s="163"/>
      <c r="P726" s="163"/>
      <c r="Q726" s="146"/>
      <c r="T726" s="130"/>
    </row>
    <row r="727" spans="1:20" ht="10.7" customHeight="1" x14ac:dyDescent="0.2">
      <c r="A727" s="122"/>
      <c r="B727" s="161" t="s">
        <v>107</v>
      </c>
      <c r="C727" s="162">
        <v>0</v>
      </c>
      <c r="D727" s="163">
        <v>0</v>
      </c>
      <c r="E727" s="163">
        <v>0</v>
      </c>
      <c r="F727" s="163">
        <v>0</v>
      </c>
      <c r="G727" s="164">
        <v>0</v>
      </c>
      <c r="H727" s="163">
        <v>0</v>
      </c>
      <c r="I727" s="165" t="s">
        <v>119</v>
      </c>
      <c r="J727" s="164">
        <v>0</v>
      </c>
      <c r="K727" s="163">
        <v>0</v>
      </c>
      <c r="L727" s="163">
        <v>0</v>
      </c>
      <c r="M727" s="163">
        <v>0</v>
      </c>
      <c r="N727" s="163">
        <v>0</v>
      </c>
      <c r="O727" s="163" t="s">
        <v>42</v>
      </c>
      <c r="P727" s="163">
        <v>0</v>
      </c>
      <c r="Q727" s="146">
        <v>0</v>
      </c>
      <c r="T727" s="130"/>
    </row>
    <row r="728" spans="1:20" ht="10.7" customHeight="1" x14ac:dyDescent="0.2">
      <c r="A728" s="122"/>
      <c r="B728" s="161" t="s">
        <v>108</v>
      </c>
      <c r="C728" s="162">
        <v>14.8</v>
      </c>
      <c r="D728" s="163">
        <v>14.8</v>
      </c>
      <c r="E728" s="163">
        <v>0</v>
      </c>
      <c r="F728" s="163">
        <v>0</v>
      </c>
      <c r="G728" s="164">
        <v>14.8</v>
      </c>
      <c r="H728" s="163">
        <v>0</v>
      </c>
      <c r="I728" s="165">
        <v>0</v>
      </c>
      <c r="J728" s="164">
        <v>14.8</v>
      </c>
      <c r="K728" s="163">
        <v>0</v>
      </c>
      <c r="L728" s="163">
        <v>0</v>
      </c>
      <c r="M728" s="163">
        <v>0</v>
      </c>
      <c r="N728" s="163">
        <v>0</v>
      </c>
      <c r="O728" s="163">
        <v>0</v>
      </c>
      <c r="P728" s="163">
        <v>0</v>
      </c>
      <c r="Q728" s="146" t="s">
        <v>162</v>
      </c>
      <c r="T728" s="130"/>
    </row>
    <row r="729" spans="1:20" ht="10.7" customHeight="1" x14ac:dyDescent="0.2">
      <c r="A729" s="122"/>
      <c r="B729" s="174" t="s">
        <v>109</v>
      </c>
      <c r="C729" s="162">
        <v>-0.4</v>
      </c>
      <c r="D729" s="163">
        <v>0</v>
      </c>
      <c r="E729" s="163">
        <v>0</v>
      </c>
      <c r="F729" s="163">
        <v>0.4</v>
      </c>
      <c r="G729" s="164">
        <v>0</v>
      </c>
      <c r="H729" s="163">
        <v>0</v>
      </c>
      <c r="I729" s="165" t="s">
        <v>119</v>
      </c>
      <c r="J729" s="164">
        <v>0</v>
      </c>
      <c r="K729" s="163">
        <v>0</v>
      </c>
      <c r="L729" s="163">
        <v>0</v>
      </c>
      <c r="M729" s="163">
        <v>0</v>
      </c>
      <c r="N729" s="163">
        <v>0</v>
      </c>
      <c r="O729" s="163" t="s">
        <v>42</v>
      </c>
      <c r="P729" s="163">
        <v>0</v>
      </c>
      <c r="Q729" s="146" t="s">
        <v>162</v>
      </c>
      <c r="T729" s="130"/>
    </row>
    <row r="730" spans="1:20" ht="10.7" customHeight="1" x14ac:dyDescent="0.2">
      <c r="A730" s="122"/>
      <c r="B730" s="174"/>
      <c r="C730" s="162"/>
      <c r="D730" s="163"/>
      <c r="E730" s="163"/>
      <c r="F730" s="163"/>
      <c r="G730" s="164"/>
      <c r="H730" s="163"/>
      <c r="I730" s="165"/>
      <c r="J730" s="164"/>
      <c r="K730" s="163"/>
      <c r="L730" s="163"/>
      <c r="M730" s="163"/>
      <c r="N730" s="163"/>
      <c r="O730" s="163"/>
      <c r="P730" s="163"/>
      <c r="Q730" s="146"/>
      <c r="T730" s="130"/>
    </row>
    <row r="731" spans="1:20" ht="10.7" customHeight="1" x14ac:dyDescent="0.2">
      <c r="A731" s="122"/>
      <c r="B731" s="174" t="s">
        <v>111</v>
      </c>
      <c r="C731" s="162"/>
      <c r="D731" s="163"/>
      <c r="E731" s="163"/>
      <c r="F731" s="163"/>
      <c r="G731" s="164">
        <v>0</v>
      </c>
      <c r="H731" s="163"/>
      <c r="I731" s="165"/>
      <c r="J731" s="164"/>
      <c r="K731" s="163"/>
      <c r="L731" s="163"/>
      <c r="M731" s="163"/>
      <c r="N731" s="163"/>
      <c r="O731" s="163"/>
      <c r="P731" s="163"/>
      <c r="Q731" s="146"/>
      <c r="T731" s="130"/>
    </row>
    <row r="732" spans="1:20" ht="10.7" customHeight="1" x14ac:dyDescent="0.2">
      <c r="A732" s="122"/>
      <c r="B732" s="175" t="s">
        <v>112</v>
      </c>
      <c r="C732" s="176">
        <v>482.3</v>
      </c>
      <c r="D732" s="201">
        <v>427.7000000000001</v>
      </c>
      <c r="E732" s="177">
        <v>0</v>
      </c>
      <c r="F732" s="180">
        <v>-54.599999999999909</v>
      </c>
      <c r="G732" s="189">
        <v>427.30000000000013</v>
      </c>
      <c r="H732" s="180">
        <v>1.7399999999999999E-2</v>
      </c>
      <c r="I732" s="179">
        <v>4.072080505499647E-3</v>
      </c>
      <c r="J732" s="189">
        <v>427.28260000000012</v>
      </c>
      <c r="K732" s="180">
        <v>0</v>
      </c>
      <c r="L732" s="180">
        <v>0</v>
      </c>
      <c r="M732" s="180">
        <v>0</v>
      </c>
      <c r="N732" s="180">
        <v>0</v>
      </c>
      <c r="O732" s="180">
        <v>0</v>
      </c>
      <c r="P732" s="190">
        <v>0</v>
      </c>
      <c r="Q732" s="153" t="s">
        <v>186</v>
      </c>
      <c r="T732" s="130"/>
    </row>
    <row r="733" spans="1:20" ht="10.7" customHeight="1" x14ac:dyDescent="0.2">
      <c r="A733" s="122"/>
      <c r="B733" s="191" t="s">
        <v>241</v>
      </c>
      <c r="C733" s="181"/>
      <c r="D733" s="163"/>
      <c r="E733" s="163"/>
      <c r="F733" s="163"/>
      <c r="G733" s="164"/>
      <c r="H733" s="163"/>
      <c r="I733" s="2"/>
      <c r="J733" s="164"/>
      <c r="K733" s="163"/>
      <c r="L733" s="163"/>
      <c r="M733" s="163"/>
      <c r="N733" s="163"/>
      <c r="O733" s="163"/>
      <c r="P733" s="163"/>
      <c r="Q733" s="182"/>
      <c r="T733" s="130"/>
    </row>
    <row r="734" spans="1:20" ht="10.7" customHeight="1" x14ac:dyDescent="0.2">
      <c r="A734" s="122"/>
      <c r="B734" s="123" t="s">
        <v>114</v>
      </c>
      <c r="C734" s="181"/>
      <c r="D734" s="163"/>
      <c r="E734" s="163"/>
      <c r="F734" s="163"/>
      <c r="G734" s="164"/>
      <c r="H734" s="163"/>
      <c r="I734" s="2"/>
      <c r="J734" s="164"/>
      <c r="K734" s="163"/>
      <c r="L734" s="163"/>
      <c r="M734" s="163"/>
      <c r="N734" s="163"/>
      <c r="O734" s="163"/>
      <c r="P734" s="163"/>
      <c r="Q734" s="182"/>
      <c r="T734" s="130"/>
    </row>
    <row r="735" spans="1:20" ht="10.7" customHeight="1" x14ac:dyDescent="0.2">
      <c r="A735" s="122"/>
      <c r="B735" s="181"/>
      <c r="C735" s="181"/>
      <c r="D735" s="163"/>
      <c r="E735" s="163"/>
      <c r="F735" s="163"/>
      <c r="G735" s="164"/>
      <c r="H735" s="163"/>
      <c r="I735" s="2"/>
      <c r="J735" s="164"/>
      <c r="K735" s="163"/>
      <c r="L735" s="163"/>
      <c r="M735" s="163"/>
      <c r="N735" s="163"/>
      <c r="O735" s="163"/>
      <c r="P735" s="163"/>
      <c r="Q735" s="182"/>
      <c r="T735" s="130"/>
    </row>
    <row r="736" spans="1:20" ht="10.7" customHeight="1" x14ac:dyDescent="0.2">
      <c r="A736" s="122"/>
      <c r="B736" s="181"/>
      <c r="C736" s="181"/>
      <c r="D736" s="163"/>
      <c r="E736" s="163"/>
      <c r="F736" s="163"/>
      <c r="G736" s="164"/>
      <c r="H736" s="163"/>
      <c r="I736" s="2"/>
      <c r="J736" s="164"/>
      <c r="K736" s="163"/>
      <c r="L736" s="163"/>
      <c r="M736" s="163"/>
      <c r="N736" s="163"/>
      <c r="O736" s="163"/>
      <c r="P736" s="163"/>
      <c r="Q736" s="182"/>
      <c r="T736" s="130"/>
    </row>
    <row r="737" spans="1:20" ht="10.7" customHeight="1" x14ac:dyDescent="0.2">
      <c r="A737" s="122"/>
      <c r="B737" s="181"/>
      <c r="C737" s="181"/>
      <c r="D737" s="163"/>
      <c r="E737" s="163"/>
      <c r="F737" s="163"/>
      <c r="G737" s="164"/>
      <c r="H737" s="163"/>
      <c r="I737" s="2"/>
      <c r="J737" s="164"/>
      <c r="K737" s="163"/>
      <c r="L737" s="163"/>
      <c r="M737" s="163"/>
      <c r="N737" s="163"/>
      <c r="O737" s="163"/>
      <c r="P737" s="163"/>
      <c r="Q737" s="182"/>
      <c r="T737" s="130"/>
    </row>
    <row r="738" spans="1:20" ht="10.7" customHeight="1" x14ac:dyDescent="0.2">
      <c r="A738" s="122"/>
      <c r="B738" s="123" t="s">
        <v>185</v>
      </c>
      <c r="C738" s="181"/>
      <c r="D738" s="163"/>
      <c r="E738" s="163"/>
      <c r="F738" s="163"/>
      <c r="G738" s="164"/>
      <c r="H738" s="163"/>
      <c r="I738" s="2"/>
      <c r="J738" s="164"/>
      <c r="K738" s="163"/>
      <c r="L738" s="163"/>
      <c r="M738" s="163"/>
      <c r="N738" s="163"/>
      <c r="O738" s="163"/>
      <c r="P738" s="163"/>
      <c r="Q738" s="182"/>
      <c r="T738" s="130"/>
    </row>
    <row r="739" spans="1:20" ht="10.7" customHeight="1" x14ac:dyDescent="0.2">
      <c r="A739" s="122"/>
      <c r="B739" s="131" t="s">
        <v>240</v>
      </c>
      <c r="C739" s="181"/>
      <c r="D739" s="135"/>
      <c r="E739" s="183"/>
      <c r="F739" s="183"/>
      <c r="G739" s="184"/>
      <c r="H739" s="183"/>
      <c r="I739" s="163"/>
      <c r="J739" s="184"/>
      <c r="K739" s="185"/>
      <c r="L739" s="185"/>
      <c r="M739" s="185"/>
      <c r="N739" s="185"/>
      <c r="O739" s="173"/>
      <c r="P739" s="183"/>
      <c r="Q739" s="182"/>
      <c r="T739" s="130"/>
    </row>
    <row r="740" spans="1:20" ht="10.7" customHeight="1" x14ac:dyDescent="0.2">
      <c r="A740" s="122"/>
      <c r="B740" s="131"/>
      <c r="C740" s="181"/>
      <c r="D740" s="183"/>
      <c r="E740" s="183"/>
      <c r="F740" s="183"/>
      <c r="G740" s="184"/>
      <c r="H740" s="183"/>
      <c r="I740" s="163"/>
      <c r="J740" s="184"/>
      <c r="K740" s="185"/>
      <c r="L740" s="185"/>
      <c r="M740" s="185"/>
      <c r="N740" s="185"/>
      <c r="O740" s="173"/>
      <c r="P740" s="183"/>
      <c r="Q740" s="182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202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203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203" t="s">
        <v>74</v>
      </c>
      <c r="J743" s="147" t="s">
        <v>75</v>
      </c>
      <c r="K743" s="151">
        <v>43166</v>
      </c>
      <c r="L743" s="151">
        <v>43173</v>
      </c>
      <c r="M743" s="151">
        <v>43180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204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6"/>
      <c r="C745" s="193" t="s">
        <v>124</v>
      </c>
      <c r="D745" s="193"/>
      <c r="E745" s="193"/>
      <c r="F745" s="193"/>
      <c r="G745" s="193"/>
      <c r="H745" s="193"/>
      <c r="I745" s="193"/>
      <c r="J745" s="193"/>
      <c r="K745" s="193"/>
      <c r="L745" s="193"/>
      <c r="M745" s="193"/>
      <c r="N745" s="193"/>
      <c r="O745" s="193"/>
      <c r="P745" s="194"/>
      <c r="Q745" s="145"/>
      <c r="T745" s="130"/>
    </row>
    <row r="746" spans="1:20" ht="10.7" customHeight="1" x14ac:dyDescent="0.2">
      <c r="A746" s="122"/>
      <c r="B746" s="161" t="s">
        <v>80</v>
      </c>
      <c r="C746" s="162">
        <v>0</v>
      </c>
      <c r="D746" s="163">
        <v>0</v>
      </c>
      <c r="E746" s="163">
        <v>0</v>
      </c>
      <c r="F746" s="163">
        <v>0</v>
      </c>
      <c r="G746" s="164">
        <v>0</v>
      </c>
      <c r="H746" s="163">
        <v>1.1160000000000001</v>
      </c>
      <c r="I746" s="165" t="s">
        <v>119</v>
      </c>
      <c r="J746" s="164">
        <v>-1.1160000000000001</v>
      </c>
      <c r="K746" s="163">
        <v>0</v>
      </c>
      <c r="L746" s="163">
        <v>0.62</v>
      </c>
      <c r="M746" s="163">
        <v>0</v>
      </c>
      <c r="N746" s="163">
        <v>0.49600000000000011</v>
      </c>
      <c r="O746" s="163" t="s">
        <v>42</v>
      </c>
      <c r="P746" s="163">
        <v>0.27900000000000003</v>
      </c>
      <c r="Q746" s="146">
        <v>0</v>
      </c>
      <c r="T746" s="130"/>
    </row>
    <row r="747" spans="1:20" ht="10.7" customHeight="1" x14ac:dyDescent="0.2">
      <c r="A747" s="122"/>
      <c r="B747" s="161" t="s">
        <v>81</v>
      </c>
      <c r="C747" s="162">
        <v>0</v>
      </c>
      <c r="D747" s="163">
        <v>0</v>
      </c>
      <c r="E747" s="163">
        <v>0</v>
      </c>
      <c r="F747" s="163">
        <v>0</v>
      </c>
      <c r="G747" s="164">
        <v>0</v>
      </c>
      <c r="H747" s="163">
        <v>0</v>
      </c>
      <c r="I747" s="165" t="s">
        <v>119</v>
      </c>
      <c r="J747" s="164">
        <v>0</v>
      </c>
      <c r="K747" s="163">
        <v>0</v>
      </c>
      <c r="L747" s="163">
        <v>0</v>
      </c>
      <c r="M747" s="163">
        <v>0</v>
      </c>
      <c r="N747" s="163">
        <v>0</v>
      </c>
      <c r="O747" s="163" t="s">
        <v>42</v>
      </c>
      <c r="P747" s="163">
        <v>0</v>
      </c>
      <c r="Q747" s="146">
        <v>0</v>
      </c>
      <c r="T747" s="130"/>
    </row>
    <row r="748" spans="1:20" ht="10.7" customHeight="1" x14ac:dyDescent="0.2">
      <c r="A748" s="122"/>
      <c r="B748" s="161" t="s">
        <v>82</v>
      </c>
      <c r="C748" s="162">
        <v>0</v>
      </c>
      <c r="D748" s="163">
        <v>0</v>
      </c>
      <c r="E748" s="163">
        <v>0</v>
      </c>
      <c r="F748" s="163">
        <v>0</v>
      </c>
      <c r="G748" s="164">
        <v>0</v>
      </c>
      <c r="H748" s="163">
        <v>0</v>
      </c>
      <c r="I748" s="165" t="s">
        <v>119</v>
      </c>
      <c r="J748" s="164">
        <v>0</v>
      </c>
      <c r="K748" s="163">
        <v>0</v>
      </c>
      <c r="L748" s="163">
        <v>0</v>
      </c>
      <c r="M748" s="163">
        <v>0</v>
      </c>
      <c r="N748" s="163">
        <v>0</v>
      </c>
      <c r="O748" s="163" t="s">
        <v>42</v>
      </c>
      <c r="P748" s="163">
        <v>0</v>
      </c>
      <c r="Q748" s="146">
        <v>0</v>
      </c>
      <c r="T748" s="130"/>
    </row>
    <row r="749" spans="1:20" ht="10.7" customHeight="1" x14ac:dyDescent="0.2">
      <c r="A749" s="122"/>
      <c r="B749" s="161" t="s">
        <v>83</v>
      </c>
      <c r="C749" s="162">
        <v>0</v>
      </c>
      <c r="D749" s="163">
        <v>0</v>
      </c>
      <c r="E749" s="163">
        <v>0</v>
      </c>
      <c r="F749" s="163">
        <v>0</v>
      </c>
      <c r="G749" s="164">
        <v>0</v>
      </c>
      <c r="H749" s="163">
        <v>0.312</v>
      </c>
      <c r="I749" s="165" t="s">
        <v>119</v>
      </c>
      <c r="J749" s="164">
        <v>-0.312</v>
      </c>
      <c r="K749" s="163">
        <v>0</v>
      </c>
      <c r="L749" s="163">
        <v>0</v>
      </c>
      <c r="M749" s="163">
        <v>0</v>
      </c>
      <c r="N749" s="163">
        <v>0.312</v>
      </c>
      <c r="O749" s="163" t="s">
        <v>42</v>
      </c>
      <c r="P749" s="163">
        <v>7.8E-2</v>
      </c>
      <c r="Q749" s="146">
        <v>0</v>
      </c>
      <c r="T749" s="130"/>
    </row>
    <row r="750" spans="1:20" ht="10.7" customHeight="1" x14ac:dyDescent="0.2">
      <c r="A750" s="122"/>
      <c r="B750" s="161" t="s">
        <v>84</v>
      </c>
      <c r="C750" s="162">
        <v>0</v>
      </c>
      <c r="D750" s="163">
        <v>0</v>
      </c>
      <c r="E750" s="163">
        <v>0</v>
      </c>
      <c r="F750" s="163">
        <v>0</v>
      </c>
      <c r="G750" s="164">
        <v>0</v>
      </c>
      <c r="H750" s="163">
        <v>0</v>
      </c>
      <c r="I750" s="165" t="s">
        <v>119</v>
      </c>
      <c r="J750" s="164">
        <v>0</v>
      </c>
      <c r="K750" s="163">
        <v>0</v>
      </c>
      <c r="L750" s="163">
        <v>0</v>
      </c>
      <c r="M750" s="163">
        <v>0</v>
      </c>
      <c r="N750" s="163">
        <v>0</v>
      </c>
      <c r="O750" s="163" t="s">
        <v>42</v>
      </c>
      <c r="P750" s="163">
        <v>0</v>
      </c>
      <c r="Q750" s="146" t="s">
        <v>162</v>
      </c>
      <c r="T750" s="130"/>
    </row>
    <row r="751" spans="1:20" ht="10.7" customHeight="1" x14ac:dyDescent="0.2">
      <c r="A751" s="122"/>
      <c r="B751" s="161" t="s">
        <v>85</v>
      </c>
      <c r="C751" s="162">
        <v>0</v>
      </c>
      <c r="D751" s="163">
        <v>0</v>
      </c>
      <c r="E751" s="163">
        <v>0</v>
      </c>
      <c r="F751" s="163">
        <v>0</v>
      </c>
      <c r="G751" s="164">
        <v>0</v>
      </c>
      <c r="H751" s="163">
        <v>0</v>
      </c>
      <c r="I751" s="165" t="s">
        <v>119</v>
      </c>
      <c r="J751" s="164">
        <v>0</v>
      </c>
      <c r="K751" s="163">
        <v>0</v>
      </c>
      <c r="L751" s="163">
        <v>0</v>
      </c>
      <c r="M751" s="163">
        <v>0</v>
      </c>
      <c r="N751" s="163">
        <v>0</v>
      </c>
      <c r="O751" s="163" t="s">
        <v>42</v>
      </c>
      <c r="P751" s="163">
        <v>0</v>
      </c>
      <c r="Q751" s="146" t="s">
        <v>162</v>
      </c>
      <c r="T751" s="130"/>
    </row>
    <row r="752" spans="1:20" ht="10.7" customHeight="1" x14ac:dyDescent="0.2">
      <c r="A752" s="122"/>
      <c r="B752" s="161" t="s">
        <v>86</v>
      </c>
      <c r="C752" s="162">
        <v>0</v>
      </c>
      <c r="D752" s="163">
        <v>0</v>
      </c>
      <c r="E752" s="163">
        <v>0</v>
      </c>
      <c r="F752" s="163">
        <v>0</v>
      </c>
      <c r="G752" s="164">
        <v>0</v>
      </c>
      <c r="H752" s="163">
        <v>2.92</v>
      </c>
      <c r="I752" s="165" t="s">
        <v>119</v>
      </c>
      <c r="J752" s="164">
        <v>-2.92</v>
      </c>
      <c r="K752" s="163">
        <v>2.14</v>
      </c>
      <c r="L752" s="163">
        <v>0.5</v>
      </c>
      <c r="M752" s="163">
        <v>0</v>
      </c>
      <c r="N752" s="163">
        <v>0.2799999999999998</v>
      </c>
      <c r="O752" s="163" t="s">
        <v>42</v>
      </c>
      <c r="P752" s="163">
        <v>0.73</v>
      </c>
      <c r="Q752" s="146">
        <v>0</v>
      </c>
      <c r="T752" s="130"/>
    </row>
    <row r="753" spans="1:20" ht="10.7" customHeight="1" x14ac:dyDescent="0.2">
      <c r="A753" s="122"/>
      <c r="B753" s="161" t="s">
        <v>87</v>
      </c>
      <c r="C753" s="162">
        <v>0</v>
      </c>
      <c r="D753" s="163">
        <v>0</v>
      </c>
      <c r="E753" s="163">
        <v>0</v>
      </c>
      <c r="F753" s="163">
        <v>0</v>
      </c>
      <c r="G753" s="164">
        <v>0</v>
      </c>
      <c r="H753" s="163">
        <v>0</v>
      </c>
      <c r="I753" s="165" t="s">
        <v>119</v>
      </c>
      <c r="J753" s="164">
        <v>0</v>
      </c>
      <c r="K753" s="163">
        <v>0</v>
      </c>
      <c r="L753" s="163">
        <v>0</v>
      </c>
      <c r="M753" s="163">
        <v>0</v>
      </c>
      <c r="N753" s="163">
        <v>0</v>
      </c>
      <c r="O753" s="163" t="s">
        <v>42</v>
      </c>
      <c r="P753" s="163">
        <v>0</v>
      </c>
      <c r="Q753" s="146">
        <v>0</v>
      </c>
      <c r="T753" s="130"/>
    </row>
    <row r="754" spans="1:20" ht="10.7" customHeight="1" x14ac:dyDescent="0.2">
      <c r="A754" s="122"/>
      <c r="B754" s="161" t="s">
        <v>88</v>
      </c>
      <c r="C754" s="162">
        <v>0</v>
      </c>
      <c r="D754" s="163">
        <v>0</v>
      </c>
      <c r="E754" s="163">
        <v>0</v>
      </c>
      <c r="F754" s="163">
        <v>0</v>
      </c>
      <c r="G754" s="164">
        <v>0</v>
      </c>
      <c r="H754" s="163">
        <v>0</v>
      </c>
      <c r="I754" s="165" t="s">
        <v>119</v>
      </c>
      <c r="J754" s="164">
        <v>0</v>
      </c>
      <c r="K754" s="163">
        <v>0</v>
      </c>
      <c r="L754" s="163">
        <v>0</v>
      </c>
      <c r="M754" s="163">
        <v>0</v>
      </c>
      <c r="N754" s="163">
        <v>0</v>
      </c>
      <c r="O754" s="163" t="s">
        <v>42</v>
      </c>
      <c r="P754" s="163">
        <v>0</v>
      </c>
      <c r="Q754" s="146" t="s">
        <v>162</v>
      </c>
      <c r="T754" s="130"/>
    </row>
    <row r="755" spans="1:20" ht="10.7" customHeight="1" x14ac:dyDescent="0.2">
      <c r="A755" s="122"/>
      <c r="B755" s="161" t="s">
        <v>89</v>
      </c>
      <c r="C755" s="162">
        <v>0</v>
      </c>
      <c r="D755" s="163">
        <v>0</v>
      </c>
      <c r="E755" s="163">
        <v>0</v>
      </c>
      <c r="F755" s="163">
        <v>0</v>
      </c>
      <c r="G755" s="164">
        <v>0</v>
      </c>
      <c r="H755" s="163">
        <v>0</v>
      </c>
      <c r="I755" s="165" t="s">
        <v>119</v>
      </c>
      <c r="J755" s="164">
        <v>0</v>
      </c>
      <c r="K755" s="163">
        <v>0</v>
      </c>
      <c r="L755" s="163">
        <v>0</v>
      </c>
      <c r="M755" s="163">
        <v>0</v>
      </c>
      <c r="N755" s="163">
        <v>0</v>
      </c>
      <c r="O755" s="163" t="s">
        <v>42</v>
      </c>
      <c r="P755" s="163">
        <v>0</v>
      </c>
      <c r="Q755" s="146">
        <v>0</v>
      </c>
      <c r="T755" s="130"/>
    </row>
    <row r="756" spans="1:20" ht="10.7" customHeight="1" x14ac:dyDescent="0.2">
      <c r="A756" s="122"/>
      <c r="B756" s="168" t="s">
        <v>91</v>
      </c>
      <c r="C756" s="162">
        <v>0</v>
      </c>
      <c r="D756" s="163">
        <v>0</v>
      </c>
      <c r="E756" s="163">
        <v>0</v>
      </c>
      <c r="F756" s="163">
        <v>0</v>
      </c>
      <c r="G756" s="164">
        <v>0</v>
      </c>
      <c r="H756" s="163">
        <v>4.3479999999999999</v>
      </c>
      <c r="I756" s="165" t="s">
        <v>119</v>
      </c>
      <c r="J756" s="164">
        <v>-4.3479999999999999</v>
      </c>
      <c r="K756" s="163">
        <v>2.14</v>
      </c>
      <c r="L756" s="163">
        <v>1.1200000000000001</v>
      </c>
      <c r="M756" s="163">
        <v>0</v>
      </c>
      <c r="N756" s="163">
        <v>1.0879999999999999</v>
      </c>
      <c r="O756" s="163" t="s">
        <v>42</v>
      </c>
      <c r="P756" s="169">
        <v>1.087</v>
      </c>
      <c r="Q756" s="146">
        <v>0</v>
      </c>
      <c r="T756" s="130"/>
    </row>
    <row r="757" spans="1:20" ht="10.7" customHeight="1" x14ac:dyDescent="0.2">
      <c r="A757" s="122"/>
      <c r="B757" s="168"/>
      <c r="D757" s="163"/>
      <c r="E757" s="163"/>
      <c r="F757" s="163"/>
      <c r="G757" s="164"/>
      <c r="H757" s="163"/>
      <c r="I757" s="165"/>
      <c r="J757" s="164"/>
      <c r="K757" s="163"/>
      <c r="L757" s="163"/>
      <c r="M757" s="163"/>
      <c r="N757" s="163"/>
      <c r="O757" s="163"/>
      <c r="P757" s="163"/>
      <c r="Q757" s="146">
        <v>0</v>
      </c>
      <c r="T757" s="130"/>
    </row>
    <row r="758" spans="1:20" ht="10.7" customHeight="1" x14ac:dyDescent="0.2">
      <c r="A758" s="122"/>
      <c r="B758" s="161" t="s">
        <v>92</v>
      </c>
      <c r="C758" s="162">
        <v>0</v>
      </c>
      <c r="D758" s="163">
        <v>0</v>
      </c>
      <c r="E758" s="163">
        <v>0</v>
      </c>
      <c r="F758" s="163">
        <v>0</v>
      </c>
      <c r="G758" s="164">
        <v>0</v>
      </c>
      <c r="H758" s="163">
        <v>1.907</v>
      </c>
      <c r="I758" s="165" t="s">
        <v>119</v>
      </c>
      <c r="J758" s="164">
        <v>-1.907</v>
      </c>
      <c r="K758" s="163">
        <v>0</v>
      </c>
      <c r="L758" s="163">
        <v>1.47</v>
      </c>
      <c r="M758" s="163">
        <v>0</v>
      </c>
      <c r="N758" s="163">
        <v>0.43700000000000006</v>
      </c>
      <c r="O758" s="163" t="s">
        <v>42</v>
      </c>
      <c r="P758" s="163">
        <v>0.47675000000000001</v>
      </c>
      <c r="Q758" s="146">
        <v>0</v>
      </c>
      <c r="T758" s="130"/>
    </row>
    <row r="759" spans="1:20" ht="10.7" customHeight="1" x14ac:dyDescent="0.2">
      <c r="A759" s="122"/>
      <c r="B759" s="161" t="s">
        <v>93</v>
      </c>
      <c r="C759" s="162">
        <v>0</v>
      </c>
      <c r="D759" s="163">
        <v>0</v>
      </c>
      <c r="E759" s="163">
        <v>0</v>
      </c>
      <c r="F759" s="163">
        <v>0</v>
      </c>
      <c r="G759" s="164">
        <v>0</v>
      </c>
      <c r="H759" s="163">
        <v>0</v>
      </c>
      <c r="I759" s="165" t="s">
        <v>119</v>
      </c>
      <c r="J759" s="164">
        <v>0</v>
      </c>
      <c r="K759" s="163">
        <v>0</v>
      </c>
      <c r="L759" s="163">
        <v>0</v>
      </c>
      <c r="M759" s="163">
        <v>0</v>
      </c>
      <c r="N759" s="163">
        <v>0</v>
      </c>
      <c r="O759" s="163" t="s">
        <v>42</v>
      </c>
      <c r="P759" s="163">
        <v>0</v>
      </c>
      <c r="Q759" s="146">
        <v>0</v>
      </c>
      <c r="T759" s="130"/>
    </row>
    <row r="760" spans="1:20" ht="10.7" hidden="1" customHeight="1" x14ac:dyDescent="0.2">
      <c r="A760" s="122"/>
      <c r="B760" s="161" t="s">
        <v>94</v>
      </c>
      <c r="C760" s="162">
        <v>0</v>
      </c>
      <c r="D760" s="163">
        <v>0</v>
      </c>
      <c r="E760" s="163">
        <v>0</v>
      </c>
      <c r="F760" s="163">
        <v>0</v>
      </c>
      <c r="G760" s="164">
        <v>0</v>
      </c>
      <c r="H760" s="163">
        <v>0</v>
      </c>
      <c r="I760" s="165" t="s">
        <v>119</v>
      </c>
      <c r="J760" s="164">
        <v>0</v>
      </c>
      <c r="K760" s="163">
        <v>0</v>
      </c>
      <c r="L760" s="163">
        <v>0</v>
      </c>
      <c r="M760" s="163">
        <v>0</v>
      </c>
      <c r="N760" s="163">
        <v>0</v>
      </c>
      <c r="O760" s="163" t="s">
        <v>42</v>
      </c>
      <c r="P760" s="163">
        <v>0</v>
      </c>
      <c r="Q760" s="146">
        <v>0</v>
      </c>
      <c r="T760" s="130"/>
    </row>
    <row r="761" spans="1:20" ht="10.7" customHeight="1" x14ac:dyDescent="0.2">
      <c r="A761" s="122"/>
      <c r="B761" s="161" t="s">
        <v>95</v>
      </c>
      <c r="C761" s="162">
        <v>0</v>
      </c>
      <c r="D761" s="163">
        <v>0</v>
      </c>
      <c r="E761" s="163">
        <v>0</v>
      </c>
      <c r="F761" s="163">
        <v>0</v>
      </c>
      <c r="G761" s="164">
        <v>0</v>
      </c>
      <c r="H761" s="163">
        <v>0</v>
      </c>
      <c r="I761" s="165" t="s">
        <v>119</v>
      </c>
      <c r="J761" s="164">
        <v>0</v>
      </c>
      <c r="K761" s="163">
        <v>0</v>
      </c>
      <c r="L761" s="163">
        <v>0</v>
      </c>
      <c r="M761" s="163">
        <v>0</v>
      </c>
      <c r="N761" s="163">
        <v>0</v>
      </c>
      <c r="O761" s="163" t="s">
        <v>42</v>
      </c>
      <c r="P761" s="163">
        <v>0</v>
      </c>
      <c r="Q761" s="146">
        <v>0</v>
      </c>
      <c r="T761" s="130"/>
    </row>
    <row r="762" spans="1:20" ht="10.7" customHeight="1" x14ac:dyDescent="0.2">
      <c r="A762" s="122"/>
      <c r="B762" s="161" t="s">
        <v>96</v>
      </c>
      <c r="C762" s="162">
        <v>0</v>
      </c>
      <c r="D762" s="163">
        <v>0</v>
      </c>
      <c r="E762" s="163">
        <v>0</v>
      </c>
      <c r="F762" s="163">
        <v>0</v>
      </c>
      <c r="G762" s="164">
        <v>0</v>
      </c>
      <c r="H762" s="163">
        <v>0</v>
      </c>
      <c r="I762" s="165" t="s">
        <v>119</v>
      </c>
      <c r="J762" s="164">
        <v>0</v>
      </c>
      <c r="K762" s="163">
        <v>0</v>
      </c>
      <c r="L762" s="163">
        <v>0</v>
      </c>
      <c r="M762" s="163">
        <v>0</v>
      </c>
      <c r="N762" s="163">
        <v>0</v>
      </c>
      <c r="O762" s="163" t="s">
        <v>42</v>
      </c>
      <c r="P762" s="163">
        <v>0</v>
      </c>
      <c r="Q762" s="146">
        <v>0</v>
      </c>
      <c r="T762" s="130"/>
    </row>
    <row r="763" spans="1:20" ht="10.7" customHeight="1" x14ac:dyDescent="0.2">
      <c r="A763" s="122"/>
      <c r="B763" s="161" t="s">
        <v>97</v>
      </c>
      <c r="C763" s="162">
        <v>0</v>
      </c>
      <c r="D763" s="163">
        <v>0</v>
      </c>
      <c r="E763" s="163">
        <v>0</v>
      </c>
      <c r="F763" s="163">
        <v>0</v>
      </c>
      <c r="G763" s="164">
        <v>0</v>
      </c>
      <c r="H763" s="163">
        <v>0</v>
      </c>
      <c r="I763" s="165" t="s">
        <v>119</v>
      </c>
      <c r="J763" s="164">
        <v>0</v>
      </c>
      <c r="K763" s="163">
        <v>0</v>
      </c>
      <c r="L763" s="163">
        <v>0</v>
      </c>
      <c r="M763" s="163">
        <v>0</v>
      </c>
      <c r="N763" s="163">
        <v>0</v>
      </c>
      <c r="O763" s="163" t="s">
        <v>42</v>
      </c>
      <c r="P763" s="163">
        <v>0</v>
      </c>
      <c r="Q763" s="146">
        <v>0</v>
      </c>
      <c r="T763" s="130"/>
    </row>
    <row r="764" spans="1:20" ht="10.7" customHeight="1" x14ac:dyDescent="0.2">
      <c r="A764" s="122"/>
      <c r="B764" s="161" t="s">
        <v>98</v>
      </c>
      <c r="C764" s="162">
        <v>0</v>
      </c>
      <c r="D764" s="163">
        <v>0</v>
      </c>
      <c r="E764" s="163">
        <v>0</v>
      </c>
      <c r="F764" s="163">
        <v>0</v>
      </c>
      <c r="G764" s="164">
        <v>0</v>
      </c>
      <c r="H764" s="163">
        <v>0</v>
      </c>
      <c r="I764" s="165" t="s">
        <v>119</v>
      </c>
      <c r="J764" s="164">
        <v>0</v>
      </c>
      <c r="K764" s="163">
        <v>0</v>
      </c>
      <c r="L764" s="163">
        <v>0</v>
      </c>
      <c r="M764" s="163">
        <v>0</v>
      </c>
      <c r="N764" s="163">
        <v>0</v>
      </c>
      <c r="O764" s="163" t="s">
        <v>42</v>
      </c>
      <c r="P764" s="163">
        <v>0</v>
      </c>
      <c r="Q764" s="146">
        <v>0</v>
      </c>
      <c r="T764" s="130"/>
    </row>
    <row r="765" spans="1:20" ht="10.7" customHeight="1" x14ac:dyDescent="0.2">
      <c r="A765" s="122"/>
      <c r="B765" s="161" t="s">
        <v>99</v>
      </c>
      <c r="C765" s="162">
        <v>0</v>
      </c>
      <c r="D765" s="163">
        <v>0</v>
      </c>
      <c r="E765" s="163">
        <v>0</v>
      </c>
      <c r="F765" s="163">
        <v>0</v>
      </c>
      <c r="G765" s="164">
        <v>0</v>
      </c>
      <c r="H765" s="163">
        <v>0</v>
      </c>
      <c r="I765" s="165" t="s">
        <v>119</v>
      </c>
      <c r="J765" s="164">
        <v>0</v>
      </c>
      <c r="K765" s="163">
        <v>0</v>
      </c>
      <c r="L765" s="163">
        <v>0</v>
      </c>
      <c r="M765" s="163">
        <v>0</v>
      </c>
      <c r="N765" s="163">
        <v>0</v>
      </c>
      <c r="O765" s="163" t="s">
        <v>42</v>
      </c>
      <c r="P765" s="163">
        <v>0</v>
      </c>
      <c r="Q765" s="146">
        <v>0</v>
      </c>
      <c r="T765" s="130"/>
    </row>
    <row r="766" spans="1:20" ht="10.7" customHeight="1" x14ac:dyDescent="0.2">
      <c r="A766" s="122"/>
      <c r="B766" s="161" t="s">
        <v>100</v>
      </c>
      <c r="C766" s="162">
        <v>0</v>
      </c>
      <c r="D766" s="163">
        <v>0</v>
      </c>
      <c r="E766" s="163">
        <v>0</v>
      </c>
      <c r="F766" s="163">
        <v>0</v>
      </c>
      <c r="G766" s="164">
        <v>0</v>
      </c>
      <c r="H766" s="163">
        <v>0</v>
      </c>
      <c r="I766" s="165" t="s">
        <v>119</v>
      </c>
      <c r="J766" s="164">
        <v>0</v>
      </c>
      <c r="K766" s="163">
        <v>0</v>
      </c>
      <c r="L766" s="163">
        <v>0</v>
      </c>
      <c r="M766" s="163">
        <v>0</v>
      </c>
      <c r="N766" s="163">
        <v>0</v>
      </c>
      <c r="O766" s="163" t="s">
        <v>42</v>
      </c>
      <c r="P766" s="163">
        <v>0</v>
      </c>
      <c r="Q766" s="146">
        <v>0</v>
      </c>
      <c r="T766" s="130"/>
    </row>
    <row r="767" spans="1:20" ht="10.7" customHeight="1" x14ac:dyDescent="0.2">
      <c r="A767" s="122"/>
      <c r="B767" s="161" t="s">
        <v>101</v>
      </c>
      <c r="C767" s="162">
        <v>0</v>
      </c>
      <c r="D767" s="163">
        <v>0</v>
      </c>
      <c r="E767" s="163">
        <v>0</v>
      </c>
      <c r="F767" s="163">
        <v>0</v>
      </c>
      <c r="G767" s="164">
        <v>0</v>
      </c>
      <c r="H767" s="163">
        <v>0</v>
      </c>
      <c r="I767" s="165" t="s">
        <v>119</v>
      </c>
      <c r="J767" s="164">
        <v>0</v>
      </c>
      <c r="K767" s="163">
        <v>0</v>
      </c>
      <c r="L767" s="163">
        <v>0</v>
      </c>
      <c r="M767" s="163">
        <v>0</v>
      </c>
      <c r="N767" s="163">
        <v>0</v>
      </c>
      <c r="O767" s="163" t="s">
        <v>42</v>
      </c>
      <c r="P767" s="163">
        <v>0</v>
      </c>
      <c r="Q767" s="146">
        <v>0</v>
      </c>
      <c r="T767" s="130"/>
    </row>
    <row r="768" spans="1:20" ht="10.7" customHeight="1" x14ac:dyDescent="0.2">
      <c r="A768" s="122"/>
      <c r="B768" s="161" t="s">
        <v>102</v>
      </c>
      <c r="C768" s="162">
        <v>0</v>
      </c>
      <c r="D768" s="163">
        <v>0</v>
      </c>
      <c r="E768" s="163">
        <v>0</v>
      </c>
      <c r="F768" s="163">
        <v>0</v>
      </c>
      <c r="G768" s="164">
        <v>0</v>
      </c>
      <c r="H768" s="163">
        <v>0</v>
      </c>
      <c r="I768" s="165" t="s">
        <v>119</v>
      </c>
      <c r="J768" s="164">
        <v>0</v>
      </c>
      <c r="K768" s="163">
        <v>0</v>
      </c>
      <c r="L768" s="163">
        <v>0</v>
      </c>
      <c r="M768" s="163">
        <v>0</v>
      </c>
      <c r="N768" s="163">
        <v>0</v>
      </c>
      <c r="O768" s="163" t="s">
        <v>42</v>
      </c>
      <c r="P768" s="163">
        <v>0</v>
      </c>
      <c r="Q768" s="146">
        <v>0</v>
      </c>
      <c r="T768" s="130"/>
    </row>
    <row r="769" spans="1:20" ht="10.7" customHeight="1" x14ac:dyDescent="0.2">
      <c r="A769" s="122"/>
      <c r="B769" s="161" t="s">
        <v>103</v>
      </c>
      <c r="C769" s="162">
        <v>0</v>
      </c>
      <c r="D769" s="163">
        <v>0</v>
      </c>
      <c r="E769" s="163">
        <v>0</v>
      </c>
      <c r="F769" s="163">
        <v>0</v>
      </c>
      <c r="G769" s="164">
        <v>0</v>
      </c>
      <c r="H769" s="163">
        <v>0</v>
      </c>
      <c r="I769" s="165" t="s">
        <v>119</v>
      </c>
      <c r="J769" s="164">
        <v>0</v>
      </c>
      <c r="K769" s="163">
        <v>0</v>
      </c>
      <c r="L769" s="163">
        <v>0</v>
      </c>
      <c r="M769" s="163">
        <v>0</v>
      </c>
      <c r="N769" s="163">
        <v>0</v>
      </c>
      <c r="O769" s="163" t="s">
        <v>42</v>
      </c>
      <c r="P769" s="163">
        <v>0</v>
      </c>
      <c r="Q769" s="146">
        <v>0</v>
      </c>
      <c r="T769" s="130"/>
    </row>
    <row r="770" spans="1:20" ht="10.7" customHeight="1" x14ac:dyDescent="0.2">
      <c r="A770" s="122"/>
      <c r="B770" s="1" t="s">
        <v>104</v>
      </c>
      <c r="C770" s="162">
        <v>0</v>
      </c>
      <c r="D770" s="163">
        <v>0</v>
      </c>
      <c r="E770" s="163">
        <v>0</v>
      </c>
      <c r="F770" s="163">
        <v>0</v>
      </c>
      <c r="G770" s="164">
        <v>0</v>
      </c>
      <c r="H770" s="163">
        <v>0</v>
      </c>
      <c r="I770" s="165" t="s">
        <v>119</v>
      </c>
      <c r="J770" s="164">
        <v>0</v>
      </c>
      <c r="K770" s="163">
        <v>0</v>
      </c>
      <c r="L770" s="163">
        <v>0</v>
      </c>
      <c r="M770" s="163">
        <v>0</v>
      </c>
      <c r="N770" s="163">
        <v>0</v>
      </c>
      <c r="O770" s="163" t="s">
        <v>42</v>
      </c>
      <c r="P770" s="163">
        <v>0</v>
      </c>
      <c r="Q770" s="146">
        <v>0</v>
      </c>
      <c r="T770" s="130"/>
    </row>
    <row r="771" spans="1:20" ht="10.7" customHeight="1" x14ac:dyDescent="0.2">
      <c r="A771" s="122"/>
      <c r="B771" s="168" t="s">
        <v>106</v>
      </c>
      <c r="C771" s="172">
        <v>0</v>
      </c>
      <c r="D771" s="163">
        <v>0</v>
      </c>
      <c r="E771" s="163">
        <v>0</v>
      </c>
      <c r="F771" s="163">
        <v>0</v>
      </c>
      <c r="G771" s="164">
        <v>0</v>
      </c>
      <c r="H771" s="163">
        <v>6.2549999999999999</v>
      </c>
      <c r="I771" s="165" t="s">
        <v>119</v>
      </c>
      <c r="J771" s="164">
        <v>-6.2549999999999999</v>
      </c>
      <c r="K771" s="163">
        <v>2.14</v>
      </c>
      <c r="L771" s="163">
        <v>2.5900000000000003</v>
      </c>
      <c r="M771" s="163">
        <v>0</v>
      </c>
      <c r="N771" s="163">
        <v>1.5249999999999995</v>
      </c>
      <c r="O771" s="163" t="s">
        <v>42</v>
      </c>
      <c r="P771" s="163">
        <v>1.56375</v>
      </c>
      <c r="Q771" s="146">
        <v>0</v>
      </c>
      <c r="T771" s="130"/>
    </row>
    <row r="772" spans="1:20" ht="10.7" customHeight="1" x14ac:dyDescent="0.2">
      <c r="A772" s="122"/>
      <c r="B772" s="168"/>
      <c r="C772" s="162"/>
      <c r="D772" s="163"/>
      <c r="E772" s="163"/>
      <c r="F772" s="163"/>
      <c r="G772" s="164"/>
      <c r="H772" s="163"/>
      <c r="I772" s="165"/>
      <c r="J772" s="164"/>
      <c r="K772" s="163"/>
      <c r="L772" s="163"/>
      <c r="M772" s="163"/>
      <c r="N772" s="163"/>
      <c r="O772" s="163"/>
      <c r="P772" s="163"/>
      <c r="Q772" s="146"/>
      <c r="T772" s="130"/>
    </row>
    <row r="773" spans="1:20" ht="10.7" customHeight="1" x14ac:dyDescent="0.2">
      <c r="A773" s="122"/>
      <c r="B773" s="161" t="s">
        <v>107</v>
      </c>
      <c r="C773" s="162">
        <v>0</v>
      </c>
      <c r="D773" s="163">
        <v>0</v>
      </c>
      <c r="E773" s="163">
        <v>0</v>
      </c>
      <c r="F773" s="163">
        <v>0</v>
      </c>
      <c r="G773" s="164">
        <v>0</v>
      </c>
      <c r="H773" s="163">
        <v>0</v>
      </c>
      <c r="I773" s="165" t="s">
        <v>119</v>
      </c>
      <c r="J773" s="164">
        <v>0</v>
      </c>
      <c r="K773" s="163">
        <v>0</v>
      </c>
      <c r="L773" s="163">
        <v>0</v>
      </c>
      <c r="M773" s="163">
        <v>0</v>
      </c>
      <c r="N773" s="163">
        <v>0</v>
      </c>
      <c r="O773" s="163" t="s">
        <v>42</v>
      </c>
      <c r="P773" s="163">
        <v>0</v>
      </c>
      <c r="Q773" s="146">
        <v>0</v>
      </c>
      <c r="T773" s="130"/>
    </row>
    <row r="774" spans="1:20" ht="10.7" customHeight="1" x14ac:dyDescent="0.2">
      <c r="A774" s="122"/>
      <c r="B774" s="161" t="s">
        <v>108</v>
      </c>
      <c r="C774" s="162">
        <v>0</v>
      </c>
      <c r="D774" s="205">
        <v>0</v>
      </c>
      <c r="E774" s="173">
        <v>0</v>
      </c>
      <c r="F774" s="163">
        <v>0</v>
      </c>
      <c r="G774" s="164">
        <v>0</v>
      </c>
      <c r="H774" s="163">
        <v>0</v>
      </c>
      <c r="I774" s="165" t="s">
        <v>119</v>
      </c>
      <c r="J774" s="164">
        <v>0</v>
      </c>
      <c r="K774" s="163">
        <v>0</v>
      </c>
      <c r="L774" s="163">
        <v>0</v>
      </c>
      <c r="M774" s="163">
        <v>0</v>
      </c>
      <c r="N774" s="163">
        <v>0</v>
      </c>
      <c r="O774" s="163" t="s">
        <v>42</v>
      </c>
      <c r="P774" s="163">
        <v>0</v>
      </c>
      <c r="Q774" s="146" t="s">
        <v>162</v>
      </c>
      <c r="T774" s="130"/>
    </row>
    <row r="775" spans="1:20" ht="10.7" customHeight="1" x14ac:dyDescent="0.2">
      <c r="A775" s="122"/>
      <c r="B775" s="174" t="s">
        <v>109</v>
      </c>
      <c r="C775" s="162">
        <v>0</v>
      </c>
      <c r="D775" s="205">
        <v>0</v>
      </c>
      <c r="E775" s="173">
        <v>0</v>
      </c>
      <c r="F775" s="163">
        <v>0</v>
      </c>
      <c r="G775" s="164">
        <v>0</v>
      </c>
      <c r="H775" s="163">
        <v>0</v>
      </c>
      <c r="I775" s="165" t="s">
        <v>119</v>
      </c>
      <c r="J775" s="164">
        <v>0</v>
      </c>
      <c r="K775" s="163">
        <v>0</v>
      </c>
      <c r="L775" s="163">
        <v>0</v>
      </c>
      <c r="M775" s="163">
        <v>0</v>
      </c>
      <c r="N775" s="163">
        <v>0</v>
      </c>
      <c r="O775" s="163" t="s">
        <v>42</v>
      </c>
      <c r="P775" s="163">
        <v>0</v>
      </c>
      <c r="Q775" s="146">
        <v>0</v>
      </c>
      <c r="T775" s="130"/>
    </row>
    <row r="776" spans="1:20" ht="10.7" customHeight="1" x14ac:dyDescent="0.2">
      <c r="A776" s="122"/>
      <c r="B776" s="174"/>
      <c r="C776" s="162"/>
      <c r="D776" s="163"/>
      <c r="E776" s="163"/>
      <c r="F776" s="163"/>
      <c r="G776" s="164"/>
      <c r="H776" s="163"/>
      <c r="I776" s="165"/>
      <c r="J776" s="164"/>
      <c r="K776" s="163"/>
      <c r="L776" s="163"/>
      <c r="M776" s="163"/>
      <c r="N776" s="163"/>
      <c r="O776" s="163"/>
      <c r="P776" s="163"/>
      <c r="Q776" s="146"/>
      <c r="T776" s="130"/>
    </row>
    <row r="777" spans="1:20" ht="10.7" customHeight="1" x14ac:dyDescent="0.2">
      <c r="A777" s="122"/>
      <c r="B777" s="174" t="s">
        <v>111</v>
      </c>
      <c r="C777" s="162">
        <v>0</v>
      </c>
      <c r="D777" s="163"/>
      <c r="E777" s="163"/>
      <c r="F777" s="163"/>
      <c r="G777" s="164">
        <v>0</v>
      </c>
      <c r="H777" s="163"/>
      <c r="I777" s="165"/>
      <c r="J777" s="164"/>
      <c r="K777" s="163"/>
      <c r="L777" s="163"/>
      <c r="M777" s="163"/>
      <c r="N777" s="163"/>
      <c r="O777" s="163"/>
      <c r="P777" s="163"/>
      <c r="Q777" s="146"/>
      <c r="T777" s="130"/>
    </row>
    <row r="778" spans="1:20" ht="10.7" customHeight="1" x14ac:dyDescent="0.2">
      <c r="A778" s="122"/>
      <c r="B778" s="175" t="s">
        <v>112</v>
      </c>
      <c r="C778" s="176"/>
      <c r="D778" s="178">
        <v>0</v>
      </c>
      <c r="E778" s="177">
        <v>0</v>
      </c>
      <c r="F778" s="180">
        <v>0</v>
      </c>
      <c r="G778" s="189">
        <v>45</v>
      </c>
      <c r="H778" s="180">
        <v>6.2549999999999999</v>
      </c>
      <c r="I778" s="179">
        <v>13.899999999999999</v>
      </c>
      <c r="J778" s="189">
        <v>38.744999999999997</v>
      </c>
      <c r="K778" s="180">
        <v>2.14</v>
      </c>
      <c r="L778" s="180">
        <v>2.5900000000000003</v>
      </c>
      <c r="M778" s="180">
        <v>0</v>
      </c>
      <c r="N778" s="180">
        <v>1.5249999999999995</v>
      </c>
      <c r="O778" s="180" t="s">
        <v>42</v>
      </c>
      <c r="P778" s="180">
        <v>1.56375</v>
      </c>
      <c r="Q778" s="153">
        <v>0</v>
      </c>
      <c r="T778" s="130"/>
    </row>
    <row r="779" spans="1:20" ht="10.7" customHeight="1" x14ac:dyDescent="0.2">
      <c r="A779" s="122"/>
      <c r="B779" s="130"/>
      <c r="C779" s="191"/>
      <c r="D779" s="183"/>
      <c r="E779" s="183"/>
      <c r="F779" s="183"/>
      <c r="G779" s="184"/>
      <c r="H779" s="183"/>
      <c r="I779" s="163"/>
      <c r="J779" s="184"/>
      <c r="K779" s="185"/>
      <c r="L779" s="185"/>
      <c r="M779" s="185"/>
      <c r="N779" s="185"/>
      <c r="O779" s="173"/>
      <c r="P779" s="183"/>
      <c r="Q779" s="182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43166</v>
      </c>
      <c r="L783" s="151">
        <v>43173</v>
      </c>
      <c r="M783" s="151">
        <v>43180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6"/>
      <c r="C785" s="193" t="s">
        <v>125</v>
      </c>
      <c r="D785" s="193"/>
      <c r="E785" s="193"/>
      <c r="F785" s="193"/>
      <c r="G785" s="193"/>
      <c r="H785" s="193"/>
      <c r="I785" s="193"/>
      <c r="J785" s="193"/>
      <c r="K785" s="193"/>
      <c r="L785" s="193"/>
      <c r="M785" s="193"/>
      <c r="N785" s="193"/>
      <c r="O785" s="193"/>
      <c r="P785" s="194"/>
      <c r="Q785" s="145"/>
      <c r="T785" s="130"/>
    </row>
    <row r="786" spans="1:20" ht="10.7" customHeight="1" x14ac:dyDescent="0.2">
      <c r="A786" s="122"/>
      <c r="B786" s="161" t="s">
        <v>80</v>
      </c>
      <c r="C786" s="162">
        <v>0</v>
      </c>
      <c r="D786" s="206">
        <v>0</v>
      </c>
      <c r="E786" s="163">
        <v>0</v>
      </c>
      <c r="F786" s="163">
        <v>0</v>
      </c>
      <c r="G786" s="164">
        <v>0</v>
      </c>
      <c r="H786" s="163">
        <v>40.582000000000001</v>
      </c>
      <c r="I786" s="165" t="s">
        <v>119</v>
      </c>
      <c r="J786" s="164">
        <v>-40.582000000000001</v>
      </c>
      <c r="K786" s="163">
        <v>2.9959999999999987</v>
      </c>
      <c r="L786" s="163">
        <v>4.9499999999999957</v>
      </c>
      <c r="M786" s="163">
        <v>2.5520000000000067</v>
      </c>
      <c r="N786" s="163">
        <v>5.2079999999999984</v>
      </c>
      <c r="O786" s="163" t="s">
        <v>42</v>
      </c>
      <c r="P786" s="163">
        <v>3.9264999999999999</v>
      </c>
      <c r="Q786" s="146">
        <v>0</v>
      </c>
      <c r="T786" s="130"/>
    </row>
    <row r="787" spans="1:20" ht="10.7" customHeight="1" x14ac:dyDescent="0.2">
      <c r="A787" s="122"/>
      <c r="B787" s="161" t="s">
        <v>81</v>
      </c>
      <c r="C787" s="162">
        <v>0</v>
      </c>
      <c r="D787" s="206">
        <v>0</v>
      </c>
      <c r="E787" s="163">
        <v>0</v>
      </c>
      <c r="F787" s="163">
        <v>0</v>
      </c>
      <c r="G787" s="164">
        <v>0</v>
      </c>
      <c r="H787" s="163">
        <v>2.1229</v>
      </c>
      <c r="I787" s="165" t="s">
        <v>119</v>
      </c>
      <c r="J787" s="164">
        <v>-2.1229</v>
      </c>
      <c r="K787" s="163">
        <v>0.25819999999999999</v>
      </c>
      <c r="L787" s="163">
        <v>8.1799999999999873E-2</v>
      </c>
      <c r="M787" s="163">
        <v>0</v>
      </c>
      <c r="N787" s="163">
        <v>8.1900000000000084E-2</v>
      </c>
      <c r="O787" s="163" t="s">
        <v>42</v>
      </c>
      <c r="P787" s="163">
        <v>0.10547499999999999</v>
      </c>
      <c r="Q787" s="146">
        <v>0</v>
      </c>
      <c r="T787" s="130"/>
    </row>
    <row r="788" spans="1:20" ht="10.7" customHeight="1" x14ac:dyDescent="0.2">
      <c r="A788" s="122"/>
      <c r="B788" s="161" t="s">
        <v>82</v>
      </c>
      <c r="C788" s="162">
        <v>0</v>
      </c>
      <c r="D788" s="206">
        <v>0</v>
      </c>
      <c r="E788" s="163">
        <v>0</v>
      </c>
      <c r="F788" s="163">
        <v>0</v>
      </c>
      <c r="G788" s="164">
        <v>0</v>
      </c>
      <c r="H788" s="163">
        <v>3.7530000000000001</v>
      </c>
      <c r="I788" s="165" t="s">
        <v>119</v>
      </c>
      <c r="J788" s="164">
        <v>-3.7530000000000001</v>
      </c>
      <c r="K788" s="163">
        <v>0.47799999999999976</v>
      </c>
      <c r="L788" s="163">
        <v>-9.879999999999999</v>
      </c>
      <c r="M788" s="163">
        <v>0.69699999999999984</v>
      </c>
      <c r="N788" s="163">
        <v>1.0660000000000003</v>
      </c>
      <c r="O788" s="163" t="s">
        <v>42</v>
      </c>
      <c r="P788" s="163">
        <v>-1.9097499999999998</v>
      </c>
      <c r="Q788" s="146">
        <v>0</v>
      </c>
      <c r="T788" s="130"/>
    </row>
    <row r="789" spans="1:20" ht="10.7" customHeight="1" x14ac:dyDescent="0.2">
      <c r="A789" s="122"/>
      <c r="B789" s="161" t="s">
        <v>83</v>
      </c>
      <c r="C789" s="162">
        <v>0</v>
      </c>
      <c r="D789" s="206">
        <v>0</v>
      </c>
      <c r="E789" s="163">
        <v>0</v>
      </c>
      <c r="F789" s="163">
        <v>0</v>
      </c>
      <c r="G789" s="164">
        <v>0</v>
      </c>
      <c r="H789" s="163">
        <v>0.54800000000000004</v>
      </c>
      <c r="I789" s="165" t="s">
        <v>119</v>
      </c>
      <c r="J789" s="164">
        <v>-0.54800000000000004</v>
      </c>
      <c r="K789" s="163">
        <v>4.7E-2</v>
      </c>
      <c r="L789" s="163">
        <v>0.05</v>
      </c>
      <c r="M789" s="163">
        <v>0.18699999999999997</v>
      </c>
      <c r="N789" s="163">
        <v>0.26400000000000007</v>
      </c>
      <c r="O789" s="163" t="s">
        <v>42</v>
      </c>
      <c r="P789" s="163">
        <v>0.13700000000000001</v>
      </c>
      <c r="Q789" s="146">
        <v>0</v>
      </c>
      <c r="T789" s="130"/>
    </row>
    <row r="790" spans="1:20" ht="10.7" customHeight="1" x14ac:dyDescent="0.2">
      <c r="A790" s="122"/>
      <c r="B790" s="161" t="s">
        <v>84</v>
      </c>
      <c r="C790" s="162">
        <v>0</v>
      </c>
      <c r="D790" s="206">
        <v>0</v>
      </c>
      <c r="E790" s="163">
        <v>0</v>
      </c>
      <c r="F790" s="163">
        <v>0</v>
      </c>
      <c r="G790" s="164">
        <v>0</v>
      </c>
      <c r="H790" s="163">
        <v>9.4E-2</v>
      </c>
      <c r="I790" s="165" t="s">
        <v>119</v>
      </c>
      <c r="J790" s="164">
        <v>-9.4E-2</v>
      </c>
      <c r="K790" s="163">
        <v>0</v>
      </c>
      <c r="L790" s="163">
        <v>0</v>
      </c>
      <c r="M790" s="163">
        <v>0</v>
      </c>
      <c r="N790" s="163">
        <v>9.4E-2</v>
      </c>
      <c r="O790" s="163" t="s">
        <v>42</v>
      </c>
      <c r="P790" s="163">
        <v>2.35E-2</v>
      </c>
      <c r="Q790" s="146">
        <v>0</v>
      </c>
      <c r="T790" s="130"/>
    </row>
    <row r="791" spans="1:20" ht="10.7" customHeight="1" x14ac:dyDescent="0.2">
      <c r="A791" s="122"/>
      <c r="B791" s="161" t="s">
        <v>85</v>
      </c>
      <c r="C791" s="162">
        <v>0</v>
      </c>
      <c r="D791" s="206">
        <v>0</v>
      </c>
      <c r="E791" s="163">
        <v>0</v>
      </c>
      <c r="F791" s="163">
        <v>0</v>
      </c>
      <c r="G791" s="164">
        <v>0</v>
      </c>
      <c r="H791" s="163">
        <v>0.27300000000000002</v>
      </c>
      <c r="I791" s="165" t="s">
        <v>119</v>
      </c>
      <c r="J791" s="164">
        <v>-0.27300000000000002</v>
      </c>
      <c r="K791" s="163">
        <v>0</v>
      </c>
      <c r="L791" s="163">
        <v>9.3000000000000027E-2</v>
      </c>
      <c r="M791" s="163">
        <v>6.0000000000000053E-3</v>
      </c>
      <c r="N791" s="163">
        <v>0</v>
      </c>
      <c r="O791" s="163" t="s">
        <v>42</v>
      </c>
      <c r="P791" s="163">
        <v>2.4750000000000008E-2</v>
      </c>
      <c r="Q791" s="146">
        <v>0</v>
      </c>
      <c r="T791" s="130"/>
    </row>
    <row r="792" spans="1:20" ht="10.7" customHeight="1" x14ac:dyDescent="0.2">
      <c r="A792" s="122"/>
      <c r="B792" s="161" t="s">
        <v>86</v>
      </c>
      <c r="C792" s="162">
        <v>0</v>
      </c>
      <c r="D792" s="206">
        <v>0</v>
      </c>
      <c r="E792" s="163">
        <v>0</v>
      </c>
      <c r="F792" s="163">
        <v>0</v>
      </c>
      <c r="G792" s="164">
        <v>0</v>
      </c>
      <c r="H792" s="163">
        <v>1.8580000000000001</v>
      </c>
      <c r="I792" s="165" t="s">
        <v>119</v>
      </c>
      <c r="J792" s="164">
        <v>-1.8580000000000001</v>
      </c>
      <c r="K792" s="163">
        <v>0.372</v>
      </c>
      <c r="L792" s="163">
        <v>0.22199999999999998</v>
      </c>
      <c r="M792" s="163">
        <v>0.58299999999999996</v>
      </c>
      <c r="N792" s="163">
        <v>3.5000000000000142E-2</v>
      </c>
      <c r="O792" s="163" t="s">
        <v>42</v>
      </c>
      <c r="P792" s="163">
        <v>0.30300000000000005</v>
      </c>
      <c r="Q792" s="146">
        <v>0</v>
      </c>
      <c r="T792" s="130"/>
    </row>
    <row r="793" spans="1:20" ht="10.7" customHeight="1" x14ac:dyDescent="0.2">
      <c r="A793" s="122"/>
      <c r="B793" s="161" t="s">
        <v>87</v>
      </c>
      <c r="C793" s="162">
        <v>0</v>
      </c>
      <c r="D793" s="206">
        <v>0</v>
      </c>
      <c r="E793" s="163">
        <v>0</v>
      </c>
      <c r="F793" s="163">
        <v>0</v>
      </c>
      <c r="G793" s="164">
        <v>0</v>
      </c>
      <c r="H793" s="163">
        <v>0.09</v>
      </c>
      <c r="I793" s="165" t="s">
        <v>119</v>
      </c>
      <c r="J793" s="164">
        <v>-0.09</v>
      </c>
      <c r="K793" s="163">
        <v>0</v>
      </c>
      <c r="L793" s="163">
        <v>0</v>
      </c>
      <c r="M793" s="163">
        <v>4.7E-2</v>
      </c>
      <c r="N793" s="163">
        <v>4.2999999999999997E-2</v>
      </c>
      <c r="O793" s="163" t="s">
        <v>42</v>
      </c>
      <c r="P793" s="163">
        <v>2.2499999999999999E-2</v>
      </c>
      <c r="Q793" s="146">
        <v>0</v>
      </c>
      <c r="T793" s="130"/>
    </row>
    <row r="794" spans="1:20" ht="10.7" customHeight="1" x14ac:dyDescent="0.2">
      <c r="A794" s="122"/>
      <c r="B794" s="161" t="s">
        <v>88</v>
      </c>
      <c r="C794" s="162">
        <v>0</v>
      </c>
      <c r="D794" s="206">
        <v>0</v>
      </c>
      <c r="E794" s="163">
        <v>0</v>
      </c>
      <c r="F794" s="163">
        <v>0</v>
      </c>
      <c r="G794" s="164">
        <v>0</v>
      </c>
      <c r="H794" s="163">
        <v>0</v>
      </c>
      <c r="I794" s="165" t="s">
        <v>119</v>
      </c>
      <c r="J794" s="164">
        <v>0</v>
      </c>
      <c r="K794" s="163">
        <v>0</v>
      </c>
      <c r="L794" s="163">
        <v>0</v>
      </c>
      <c r="M794" s="163">
        <v>0</v>
      </c>
      <c r="N794" s="163">
        <v>0</v>
      </c>
      <c r="O794" s="163" t="s">
        <v>42</v>
      </c>
      <c r="P794" s="163">
        <v>0</v>
      </c>
      <c r="Q794" s="146" t="s">
        <v>162</v>
      </c>
      <c r="T794" s="130"/>
    </row>
    <row r="795" spans="1:20" ht="10.7" customHeight="1" x14ac:dyDescent="0.2">
      <c r="A795" s="122"/>
      <c r="B795" s="161" t="s">
        <v>89</v>
      </c>
      <c r="C795" s="162">
        <v>0</v>
      </c>
      <c r="D795" s="206">
        <v>0</v>
      </c>
      <c r="E795" s="163">
        <v>0</v>
      </c>
      <c r="F795" s="163">
        <v>0</v>
      </c>
      <c r="G795" s="164">
        <v>0</v>
      </c>
      <c r="H795" s="163">
        <v>0.39800000000000002</v>
      </c>
      <c r="I795" s="165" t="s">
        <v>119</v>
      </c>
      <c r="J795" s="164">
        <v>-0.39800000000000002</v>
      </c>
      <c r="K795" s="163">
        <v>0</v>
      </c>
      <c r="L795" s="163">
        <v>0.39800000000000002</v>
      </c>
      <c r="M795" s="163">
        <v>0</v>
      </c>
      <c r="N795" s="163">
        <v>0</v>
      </c>
      <c r="O795" s="163" t="s">
        <v>42</v>
      </c>
      <c r="P795" s="163">
        <v>9.9500000000000005E-2</v>
      </c>
      <c r="Q795" s="146">
        <v>0</v>
      </c>
      <c r="T795" s="130"/>
    </row>
    <row r="796" spans="1:20" ht="10.7" customHeight="1" x14ac:dyDescent="0.2">
      <c r="A796" s="122"/>
      <c r="B796" s="168" t="s">
        <v>91</v>
      </c>
      <c r="C796" s="162">
        <v>0</v>
      </c>
      <c r="D796" s="206">
        <v>0</v>
      </c>
      <c r="E796" s="163">
        <v>0</v>
      </c>
      <c r="F796" s="163">
        <v>0</v>
      </c>
      <c r="G796" s="164">
        <v>0</v>
      </c>
      <c r="H796" s="163">
        <v>49.718900000000012</v>
      </c>
      <c r="I796" s="165" t="s">
        <v>119</v>
      </c>
      <c r="J796" s="164">
        <v>-49.718900000000012</v>
      </c>
      <c r="K796" s="163">
        <v>4.1511999999999984</v>
      </c>
      <c r="L796" s="163">
        <v>-4.0852000000000039</v>
      </c>
      <c r="M796" s="163">
        <v>4.0720000000000063</v>
      </c>
      <c r="N796" s="163">
        <v>6.7918999999999992</v>
      </c>
      <c r="O796" s="163" t="s">
        <v>42</v>
      </c>
      <c r="P796" s="169">
        <v>2.732475</v>
      </c>
      <c r="Q796" s="146">
        <v>0</v>
      </c>
      <c r="T796" s="130"/>
    </row>
    <row r="797" spans="1:20" ht="10.7" customHeight="1" x14ac:dyDescent="0.2">
      <c r="A797" s="122"/>
      <c r="B797" s="168"/>
      <c r="D797" s="206"/>
      <c r="E797" s="163"/>
      <c r="F797" s="163"/>
      <c r="G797" s="164"/>
      <c r="H797" s="163"/>
      <c r="I797" s="165"/>
      <c r="J797" s="164"/>
      <c r="K797" s="163"/>
      <c r="L797" s="163"/>
      <c r="M797" s="163"/>
      <c r="N797" s="163"/>
      <c r="O797" s="163"/>
      <c r="P797" s="163"/>
      <c r="Q797" s="146"/>
      <c r="T797" s="130"/>
    </row>
    <row r="798" spans="1:20" ht="10.7" customHeight="1" x14ac:dyDescent="0.2">
      <c r="A798" s="122"/>
      <c r="B798" s="161" t="s">
        <v>92</v>
      </c>
      <c r="C798" s="162">
        <v>0</v>
      </c>
      <c r="D798" s="206">
        <v>0</v>
      </c>
      <c r="E798" s="163">
        <v>0</v>
      </c>
      <c r="F798" s="163">
        <v>0</v>
      </c>
      <c r="G798" s="164">
        <v>0</v>
      </c>
      <c r="H798" s="163">
        <v>0.67200000000000004</v>
      </c>
      <c r="I798" s="165" t="s">
        <v>119</v>
      </c>
      <c r="J798" s="164">
        <v>-0.67200000000000004</v>
      </c>
      <c r="K798" s="163">
        <v>0</v>
      </c>
      <c r="L798" s="163">
        <v>0.67200000000000004</v>
      </c>
      <c r="M798" s="163">
        <v>0</v>
      </c>
      <c r="N798" s="163">
        <v>0</v>
      </c>
      <c r="O798" s="163" t="s">
        <v>42</v>
      </c>
      <c r="P798" s="163">
        <v>0.16800000000000001</v>
      </c>
      <c r="Q798" s="146">
        <v>0</v>
      </c>
      <c r="T798" s="130"/>
    </row>
    <row r="799" spans="1:20" ht="10.7" customHeight="1" x14ac:dyDescent="0.2">
      <c r="A799" s="122"/>
      <c r="B799" s="161" t="s">
        <v>93</v>
      </c>
      <c r="C799" s="162">
        <v>0</v>
      </c>
      <c r="D799" s="206">
        <v>0</v>
      </c>
      <c r="E799" s="163">
        <v>0</v>
      </c>
      <c r="F799" s="163">
        <v>0</v>
      </c>
      <c r="G799" s="164">
        <v>0</v>
      </c>
      <c r="H799" s="163">
        <v>7.9558999999999997</v>
      </c>
      <c r="I799" s="165" t="s">
        <v>119</v>
      </c>
      <c r="J799" s="164">
        <v>-7.9558999999999997</v>
      </c>
      <c r="K799" s="163">
        <v>0.4446</v>
      </c>
      <c r="L799" s="163">
        <v>0</v>
      </c>
      <c r="M799" s="163">
        <v>0</v>
      </c>
      <c r="N799" s="163">
        <v>7.5112999999999994</v>
      </c>
      <c r="O799" s="163" t="s">
        <v>42</v>
      </c>
      <c r="P799" s="163">
        <v>1.9889749999999999</v>
      </c>
      <c r="Q799" s="146">
        <v>0</v>
      </c>
      <c r="T799" s="130"/>
    </row>
    <row r="800" spans="1:20" ht="10.7" hidden="1" customHeight="1" x14ac:dyDescent="0.2">
      <c r="A800" s="122"/>
      <c r="B800" s="161" t="s">
        <v>94</v>
      </c>
      <c r="C800" s="162">
        <v>0</v>
      </c>
      <c r="D800" s="206">
        <v>0</v>
      </c>
      <c r="E800" s="163">
        <v>0</v>
      </c>
      <c r="F800" s="163">
        <v>0</v>
      </c>
      <c r="G800" s="164">
        <v>0</v>
      </c>
      <c r="H800" s="163">
        <v>0</v>
      </c>
      <c r="I800" s="165" t="s">
        <v>119</v>
      </c>
      <c r="J800" s="164">
        <v>0</v>
      </c>
      <c r="K800" s="163">
        <v>0</v>
      </c>
      <c r="L800" s="163">
        <v>0</v>
      </c>
      <c r="M800" s="163">
        <v>0</v>
      </c>
      <c r="N800" s="163">
        <v>0</v>
      </c>
      <c r="O800" s="163" t="s">
        <v>42</v>
      </c>
      <c r="P800" s="163">
        <v>0</v>
      </c>
      <c r="Q800" s="146">
        <v>0</v>
      </c>
      <c r="T800" s="130"/>
    </row>
    <row r="801" spans="1:20" ht="10.7" customHeight="1" x14ac:dyDescent="0.2">
      <c r="A801" s="122"/>
      <c r="B801" s="161" t="s">
        <v>95</v>
      </c>
      <c r="C801" s="162">
        <v>0</v>
      </c>
      <c r="D801" s="206">
        <v>0</v>
      </c>
      <c r="E801" s="163">
        <v>0</v>
      </c>
      <c r="F801" s="163">
        <v>0</v>
      </c>
      <c r="G801" s="164">
        <v>0</v>
      </c>
      <c r="H801" s="163">
        <v>0</v>
      </c>
      <c r="I801" s="165" t="s">
        <v>119</v>
      </c>
      <c r="J801" s="164">
        <v>0</v>
      </c>
      <c r="K801" s="163">
        <v>0</v>
      </c>
      <c r="L801" s="163">
        <v>0</v>
      </c>
      <c r="M801" s="163">
        <v>0</v>
      </c>
      <c r="N801" s="163">
        <v>0</v>
      </c>
      <c r="O801" s="163" t="s">
        <v>42</v>
      </c>
      <c r="P801" s="163">
        <v>0</v>
      </c>
      <c r="Q801" s="146">
        <v>0</v>
      </c>
      <c r="T801" s="130"/>
    </row>
    <row r="802" spans="1:20" ht="10.7" customHeight="1" x14ac:dyDescent="0.2">
      <c r="A802" s="122"/>
      <c r="B802" s="161" t="s">
        <v>96</v>
      </c>
      <c r="C802" s="162">
        <v>0</v>
      </c>
      <c r="D802" s="206">
        <v>0</v>
      </c>
      <c r="E802" s="163">
        <v>0</v>
      </c>
      <c r="F802" s="163">
        <v>0</v>
      </c>
      <c r="G802" s="164">
        <v>0</v>
      </c>
      <c r="H802" s="163">
        <v>1.1781999999999999</v>
      </c>
      <c r="I802" s="165" t="s">
        <v>119</v>
      </c>
      <c r="J802" s="164">
        <v>-1.1781999999999999</v>
      </c>
      <c r="K802" s="163">
        <v>0.53230000000000011</v>
      </c>
      <c r="L802" s="163">
        <v>5.5999999999999828E-2</v>
      </c>
      <c r="M802" s="163">
        <v>0</v>
      </c>
      <c r="N802" s="163">
        <v>0.14100000000000001</v>
      </c>
      <c r="O802" s="163" t="s">
        <v>42</v>
      </c>
      <c r="P802" s="163">
        <v>0.18232499999999999</v>
      </c>
      <c r="Q802" s="146">
        <v>0</v>
      </c>
      <c r="T802" s="130"/>
    </row>
    <row r="803" spans="1:20" ht="10.7" customHeight="1" x14ac:dyDescent="0.2">
      <c r="A803" s="122"/>
      <c r="B803" s="161" t="s">
        <v>97</v>
      </c>
      <c r="C803" s="162">
        <v>0</v>
      </c>
      <c r="D803" s="206">
        <v>0</v>
      </c>
      <c r="E803" s="163">
        <v>0</v>
      </c>
      <c r="F803" s="163">
        <v>0</v>
      </c>
      <c r="G803" s="164">
        <v>0</v>
      </c>
      <c r="H803" s="163">
        <v>2.2800000000000001E-2</v>
      </c>
      <c r="I803" s="165" t="s">
        <v>119</v>
      </c>
      <c r="J803" s="164">
        <v>-2.2800000000000001E-2</v>
      </c>
      <c r="K803" s="163">
        <v>6.7000000000000002E-3</v>
      </c>
      <c r="L803" s="163">
        <v>0</v>
      </c>
      <c r="M803" s="163">
        <v>1.61E-2</v>
      </c>
      <c r="N803" s="163">
        <v>0</v>
      </c>
      <c r="O803" s="163" t="s">
        <v>42</v>
      </c>
      <c r="P803" s="163">
        <v>5.7000000000000002E-3</v>
      </c>
      <c r="Q803" s="146">
        <v>0</v>
      </c>
      <c r="T803" s="130"/>
    </row>
    <row r="804" spans="1:20" ht="10.7" customHeight="1" x14ac:dyDescent="0.2">
      <c r="A804" s="122"/>
      <c r="B804" s="161" t="s">
        <v>98</v>
      </c>
      <c r="C804" s="162">
        <v>0</v>
      </c>
      <c r="D804" s="206">
        <v>0</v>
      </c>
      <c r="E804" s="163">
        <v>0</v>
      </c>
      <c r="F804" s="163">
        <v>0</v>
      </c>
      <c r="G804" s="164">
        <v>0</v>
      </c>
      <c r="H804" s="163">
        <v>0</v>
      </c>
      <c r="I804" s="165" t="s">
        <v>119</v>
      </c>
      <c r="J804" s="164">
        <v>0</v>
      </c>
      <c r="K804" s="163">
        <v>0</v>
      </c>
      <c r="L804" s="163">
        <v>0</v>
      </c>
      <c r="M804" s="163">
        <v>0</v>
      </c>
      <c r="N804" s="163">
        <v>0</v>
      </c>
      <c r="O804" s="163" t="s">
        <v>42</v>
      </c>
      <c r="P804" s="163">
        <v>0</v>
      </c>
      <c r="Q804" s="146">
        <v>0</v>
      </c>
      <c r="T804" s="130"/>
    </row>
    <row r="805" spans="1:20" ht="10.7" customHeight="1" x14ac:dyDescent="0.2">
      <c r="A805" s="122"/>
      <c r="B805" s="161" t="s">
        <v>99</v>
      </c>
      <c r="C805" s="162">
        <v>0</v>
      </c>
      <c r="D805" s="206">
        <v>0</v>
      </c>
      <c r="E805" s="163">
        <v>0</v>
      </c>
      <c r="F805" s="163">
        <v>0</v>
      </c>
      <c r="G805" s="164">
        <v>0</v>
      </c>
      <c r="H805" s="163">
        <v>0</v>
      </c>
      <c r="I805" s="165" t="s">
        <v>119</v>
      </c>
      <c r="J805" s="164">
        <v>0</v>
      </c>
      <c r="K805" s="163">
        <v>0</v>
      </c>
      <c r="L805" s="163">
        <v>0</v>
      </c>
      <c r="M805" s="163">
        <v>0</v>
      </c>
      <c r="N805" s="163">
        <v>0</v>
      </c>
      <c r="O805" s="163" t="s">
        <v>42</v>
      </c>
      <c r="P805" s="163">
        <v>0</v>
      </c>
      <c r="Q805" s="146">
        <v>0</v>
      </c>
      <c r="T805" s="130"/>
    </row>
    <row r="806" spans="1:20" ht="10.7" customHeight="1" x14ac:dyDescent="0.2">
      <c r="A806" s="122"/>
      <c r="B806" s="161" t="s">
        <v>100</v>
      </c>
      <c r="C806" s="162">
        <v>0</v>
      </c>
      <c r="D806" s="206">
        <v>0</v>
      </c>
      <c r="E806" s="163">
        <v>0</v>
      </c>
      <c r="F806" s="163">
        <v>0</v>
      </c>
      <c r="G806" s="164">
        <v>0</v>
      </c>
      <c r="H806" s="163">
        <v>0</v>
      </c>
      <c r="I806" s="165" t="s">
        <v>119</v>
      </c>
      <c r="J806" s="164">
        <v>0</v>
      </c>
      <c r="K806" s="163">
        <v>0</v>
      </c>
      <c r="L806" s="163">
        <v>0</v>
      </c>
      <c r="M806" s="163">
        <v>0</v>
      </c>
      <c r="N806" s="163">
        <v>0</v>
      </c>
      <c r="O806" s="163" t="s">
        <v>42</v>
      </c>
      <c r="P806" s="163">
        <v>0</v>
      </c>
      <c r="Q806" s="146">
        <v>0</v>
      </c>
      <c r="T806" s="130"/>
    </row>
    <row r="807" spans="1:20" ht="10.7" customHeight="1" x14ac:dyDescent="0.2">
      <c r="A807" s="122"/>
      <c r="B807" s="161" t="s">
        <v>101</v>
      </c>
      <c r="C807" s="162">
        <v>0</v>
      </c>
      <c r="D807" s="206">
        <v>0</v>
      </c>
      <c r="E807" s="163">
        <v>0</v>
      </c>
      <c r="F807" s="163">
        <v>0</v>
      </c>
      <c r="G807" s="164">
        <v>0</v>
      </c>
      <c r="H807" s="163">
        <v>0</v>
      </c>
      <c r="I807" s="165" t="s">
        <v>119</v>
      </c>
      <c r="J807" s="164">
        <v>0</v>
      </c>
      <c r="K807" s="163">
        <v>0</v>
      </c>
      <c r="L807" s="163">
        <v>0</v>
      </c>
      <c r="M807" s="163">
        <v>0</v>
      </c>
      <c r="N807" s="163">
        <v>0</v>
      </c>
      <c r="O807" s="163" t="s">
        <v>42</v>
      </c>
      <c r="P807" s="163">
        <v>0</v>
      </c>
      <c r="Q807" s="146">
        <v>0</v>
      </c>
      <c r="T807" s="130"/>
    </row>
    <row r="808" spans="1:20" ht="10.7" customHeight="1" x14ac:dyDescent="0.2">
      <c r="A808" s="122"/>
      <c r="B808" s="161" t="s">
        <v>102</v>
      </c>
      <c r="C808" s="162">
        <v>0</v>
      </c>
      <c r="D808" s="206">
        <v>0</v>
      </c>
      <c r="E808" s="163">
        <v>0</v>
      </c>
      <c r="F808" s="163">
        <v>0</v>
      </c>
      <c r="G808" s="164">
        <v>0</v>
      </c>
      <c r="H808" s="163">
        <v>0</v>
      </c>
      <c r="I808" s="165" t="s">
        <v>119</v>
      </c>
      <c r="J808" s="164">
        <v>0</v>
      </c>
      <c r="K808" s="163">
        <v>0</v>
      </c>
      <c r="L808" s="163">
        <v>0</v>
      </c>
      <c r="M808" s="163">
        <v>0</v>
      </c>
      <c r="N808" s="163">
        <v>0</v>
      </c>
      <c r="O808" s="163" t="s">
        <v>42</v>
      </c>
      <c r="P808" s="163">
        <v>0</v>
      </c>
      <c r="Q808" s="146">
        <v>0</v>
      </c>
      <c r="T808" s="130"/>
    </row>
    <row r="809" spans="1:20" ht="10.7" customHeight="1" x14ac:dyDescent="0.2">
      <c r="A809" s="122"/>
      <c r="B809" s="161" t="s">
        <v>103</v>
      </c>
      <c r="C809" s="162">
        <v>0</v>
      </c>
      <c r="D809" s="206">
        <v>0</v>
      </c>
      <c r="E809" s="163">
        <v>0</v>
      </c>
      <c r="F809" s="163">
        <v>0</v>
      </c>
      <c r="G809" s="164">
        <v>0</v>
      </c>
      <c r="H809" s="163">
        <v>0</v>
      </c>
      <c r="I809" s="165" t="s">
        <v>119</v>
      </c>
      <c r="J809" s="164">
        <v>0</v>
      </c>
      <c r="K809" s="163">
        <v>0</v>
      </c>
      <c r="L809" s="163">
        <v>0</v>
      </c>
      <c r="M809" s="163">
        <v>0</v>
      </c>
      <c r="N809" s="163">
        <v>0</v>
      </c>
      <c r="O809" s="163" t="s">
        <v>42</v>
      </c>
      <c r="P809" s="163">
        <v>0</v>
      </c>
      <c r="Q809" s="146">
        <v>0</v>
      </c>
      <c r="T809" s="130"/>
    </row>
    <row r="810" spans="1:20" ht="10.7" customHeight="1" x14ac:dyDescent="0.2">
      <c r="A810" s="122"/>
      <c r="B810" s="1" t="s">
        <v>104</v>
      </c>
      <c r="C810" s="162">
        <v>0</v>
      </c>
      <c r="D810" s="206">
        <v>0</v>
      </c>
      <c r="E810" s="163">
        <v>0</v>
      </c>
      <c r="F810" s="163">
        <v>0</v>
      </c>
      <c r="G810" s="164">
        <v>0</v>
      </c>
      <c r="H810" s="163">
        <v>0</v>
      </c>
      <c r="I810" s="165" t="s">
        <v>119</v>
      </c>
      <c r="J810" s="164">
        <v>0</v>
      </c>
      <c r="K810" s="163">
        <v>0</v>
      </c>
      <c r="L810" s="163">
        <v>0</v>
      </c>
      <c r="M810" s="163">
        <v>0</v>
      </c>
      <c r="N810" s="163">
        <v>0</v>
      </c>
      <c r="O810" s="163" t="s">
        <v>42</v>
      </c>
      <c r="P810" s="163">
        <v>0</v>
      </c>
      <c r="Q810" s="146">
        <v>0</v>
      </c>
      <c r="T810" s="130"/>
    </row>
    <row r="811" spans="1:20" ht="11.25" customHeight="1" x14ac:dyDescent="0.2">
      <c r="A811" s="122"/>
      <c r="B811" s="168" t="s">
        <v>106</v>
      </c>
      <c r="C811" s="172">
        <v>0</v>
      </c>
      <c r="D811" s="206">
        <v>0</v>
      </c>
      <c r="E811" s="163">
        <v>0</v>
      </c>
      <c r="F811" s="163">
        <v>0</v>
      </c>
      <c r="G811" s="164">
        <v>0</v>
      </c>
      <c r="H811" s="163">
        <v>59.547800000000009</v>
      </c>
      <c r="I811" s="165" t="s">
        <v>119</v>
      </c>
      <c r="J811" s="164">
        <v>-59.547800000000009</v>
      </c>
      <c r="K811" s="163">
        <v>5.1347999999999985</v>
      </c>
      <c r="L811" s="163">
        <v>-3.3571999999999846</v>
      </c>
      <c r="M811" s="163">
        <v>4.0880999999999901</v>
      </c>
      <c r="N811" s="163">
        <v>14.444200000000009</v>
      </c>
      <c r="O811" s="163" t="s">
        <v>42</v>
      </c>
      <c r="P811" s="163">
        <v>5.0774750000000033</v>
      </c>
      <c r="Q811" s="146">
        <v>0</v>
      </c>
      <c r="T811" s="130"/>
    </row>
    <row r="812" spans="1:20" ht="11.25" customHeight="1" x14ac:dyDescent="0.2">
      <c r="A812" s="122"/>
      <c r="B812" s="168"/>
      <c r="C812" s="162"/>
      <c r="D812" s="206"/>
      <c r="E812" s="163"/>
      <c r="F812" s="163"/>
      <c r="G812" s="164"/>
      <c r="H812" s="163"/>
      <c r="I812" s="165"/>
      <c r="J812" s="164"/>
      <c r="K812" s="163"/>
      <c r="L812" s="163"/>
      <c r="M812" s="163"/>
      <c r="N812" s="163"/>
      <c r="O812" s="163"/>
      <c r="P812" s="163"/>
      <c r="Q812" s="146"/>
      <c r="T812" s="130"/>
    </row>
    <row r="813" spans="1:20" ht="10.7" customHeight="1" x14ac:dyDescent="0.2">
      <c r="A813" s="122"/>
      <c r="B813" s="161" t="s">
        <v>107</v>
      </c>
      <c r="C813" s="162">
        <v>0</v>
      </c>
      <c r="D813" s="206">
        <v>0</v>
      </c>
      <c r="E813" s="163">
        <v>0</v>
      </c>
      <c r="F813" s="163">
        <v>0</v>
      </c>
      <c r="G813" s="164">
        <v>0</v>
      </c>
      <c r="H813" s="163">
        <v>0</v>
      </c>
      <c r="I813" s="165" t="s">
        <v>119</v>
      </c>
      <c r="J813" s="164">
        <v>0</v>
      </c>
      <c r="K813" s="163">
        <v>0</v>
      </c>
      <c r="L813" s="163">
        <v>0</v>
      </c>
      <c r="M813" s="163">
        <v>0</v>
      </c>
      <c r="N813" s="163">
        <v>0</v>
      </c>
      <c r="O813" s="163" t="s">
        <v>42</v>
      </c>
      <c r="P813" s="163">
        <v>0</v>
      </c>
      <c r="Q813" s="146">
        <v>0</v>
      </c>
      <c r="T813" s="130"/>
    </row>
    <row r="814" spans="1:20" ht="10.7" customHeight="1" x14ac:dyDescent="0.2">
      <c r="A814" s="122"/>
      <c r="B814" s="161" t="s">
        <v>108</v>
      </c>
      <c r="C814" s="162">
        <v>0</v>
      </c>
      <c r="D814" s="162">
        <v>0</v>
      </c>
      <c r="E814" s="173">
        <v>0</v>
      </c>
      <c r="F814" s="163">
        <v>0</v>
      </c>
      <c r="G814" s="164">
        <v>0</v>
      </c>
      <c r="H814" s="163">
        <v>0</v>
      </c>
      <c r="I814" s="165" t="s">
        <v>119</v>
      </c>
      <c r="J814" s="164">
        <v>0</v>
      </c>
      <c r="K814" s="163">
        <v>0</v>
      </c>
      <c r="L814" s="163">
        <v>0</v>
      </c>
      <c r="M814" s="163">
        <v>0</v>
      </c>
      <c r="N814" s="163">
        <v>0</v>
      </c>
      <c r="O814" s="163" t="s">
        <v>42</v>
      </c>
      <c r="P814" s="163">
        <v>0</v>
      </c>
      <c r="Q814" s="146">
        <v>0</v>
      </c>
      <c r="T814" s="130"/>
    </row>
    <row r="815" spans="1:20" ht="10.7" customHeight="1" x14ac:dyDescent="0.2">
      <c r="A815" s="122"/>
      <c r="B815" s="174" t="s">
        <v>109</v>
      </c>
      <c r="C815" s="162">
        <v>0</v>
      </c>
      <c r="D815" s="162">
        <v>0</v>
      </c>
      <c r="E815" s="173">
        <v>0</v>
      </c>
      <c r="F815" s="163">
        <v>0</v>
      </c>
      <c r="G815" s="164">
        <v>0</v>
      </c>
      <c r="H815" s="163">
        <v>0</v>
      </c>
      <c r="I815" s="165" t="s">
        <v>119</v>
      </c>
      <c r="J815" s="164">
        <v>0</v>
      </c>
      <c r="K815" s="163">
        <v>0</v>
      </c>
      <c r="L815" s="163">
        <v>0</v>
      </c>
      <c r="M815" s="163">
        <v>0</v>
      </c>
      <c r="N815" s="163">
        <v>0</v>
      </c>
      <c r="O815" s="163" t="s">
        <v>42</v>
      </c>
      <c r="P815" s="163">
        <v>0</v>
      </c>
      <c r="Q815" s="146">
        <v>0</v>
      </c>
      <c r="T815" s="130"/>
    </row>
    <row r="816" spans="1:20" ht="10.7" customHeight="1" x14ac:dyDescent="0.2">
      <c r="A816" s="122"/>
      <c r="B816" s="174"/>
      <c r="C816" s="162"/>
      <c r="D816" s="163"/>
      <c r="E816" s="163"/>
      <c r="F816" s="163"/>
      <c r="G816" s="164"/>
      <c r="H816" s="163"/>
      <c r="I816" s="165"/>
      <c r="J816" s="164"/>
      <c r="K816" s="163"/>
      <c r="L816" s="163"/>
      <c r="M816" s="163"/>
      <c r="N816" s="163"/>
      <c r="O816" s="163"/>
      <c r="P816" s="163"/>
      <c r="Q816" s="146"/>
      <c r="T816" s="130"/>
    </row>
    <row r="817" spans="1:20" ht="10.7" customHeight="1" x14ac:dyDescent="0.2">
      <c r="A817" s="122"/>
      <c r="B817" s="174" t="s">
        <v>111</v>
      </c>
      <c r="C817" s="162"/>
      <c r="D817" s="163"/>
      <c r="E817" s="163"/>
      <c r="F817" s="163"/>
      <c r="G817" s="164">
        <v>0</v>
      </c>
      <c r="H817" s="163"/>
      <c r="I817" s="165"/>
      <c r="J817" s="164"/>
      <c r="K817" s="163"/>
      <c r="L817" s="163"/>
      <c r="M817" s="163"/>
      <c r="N817" s="163"/>
      <c r="O817" s="163"/>
      <c r="P817" s="163"/>
      <c r="Q817" s="146"/>
      <c r="T817" s="130"/>
    </row>
    <row r="818" spans="1:20" ht="10.7" customHeight="1" x14ac:dyDescent="0.2">
      <c r="A818" s="122"/>
      <c r="B818" s="175" t="s">
        <v>112</v>
      </c>
      <c r="C818" s="176">
        <v>0</v>
      </c>
      <c r="D818" s="180">
        <v>0</v>
      </c>
      <c r="E818" s="180">
        <v>0</v>
      </c>
      <c r="F818" s="180">
        <v>0</v>
      </c>
      <c r="G818" s="189">
        <v>0</v>
      </c>
      <c r="H818" s="180">
        <v>59.547800000000009</v>
      </c>
      <c r="I818" s="179" t="s">
        <v>119</v>
      </c>
      <c r="J818" s="189">
        <v>-59.547800000000009</v>
      </c>
      <c r="K818" s="180">
        <v>5.1347999999999985</v>
      </c>
      <c r="L818" s="180">
        <v>-3.3571999999999846</v>
      </c>
      <c r="M818" s="180">
        <v>4.0880999999999901</v>
      </c>
      <c r="N818" s="180">
        <v>14.444200000000009</v>
      </c>
      <c r="O818" s="180" t="s">
        <v>42</v>
      </c>
      <c r="P818" s="190">
        <v>5.0774750000000033</v>
      </c>
      <c r="Q818" s="153">
        <v>0</v>
      </c>
      <c r="T818" s="130"/>
    </row>
    <row r="819" spans="1:20" ht="10.7" customHeight="1" x14ac:dyDescent="0.2">
      <c r="A819" s="122"/>
      <c r="B819" s="191" t="s">
        <v>241</v>
      </c>
      <c r="C819" s="173"/>
      <c r="D819" s="163"/>
      <c r="E819" s="163"/>
      <c r="F819" s="163"/>
      <c r="G819" s="164"/>
      <c r="H819" s="163"/>
      <c r="I819" s="2"/>
      <c r="J819" s="164"/>
      <c r="K819" s="163"/>
      <c r="L819" s="163"/>
      <c r="M819" s="163"/>
      <c r="N819" s="163"/>
      <c r="O819" s="163"/>
      <c r="P819" s="163"/>
      <c r="Q819" s="182"/>
      <c r="T819" s="130"/>
    </row>
    <row r="820" spans="1:20" ht="10.7" customHeight="1" x14ac:dyDescent="0.2">
      <c r="A820" s="122"/>
      <c r="B820" s="123" t="s">
        <v>114</v>
      </c>
      <c r="C820" s="173"/>
      <c r="D820" s="163"/>
      <c r="E820" s="163"/>
      <c r="F820" s="163"/>
      <c r="G820" s="164"/>
      <c r="H820" s="163"/>
      <c r="I820" s="2"/>
      <c r="J820" s="164"/>
      <c r="K820" s="163"/>
      <c r="L820" s="163"/>
      <c r="M820" s="163"/>
      <c r="N820" s="163"/>
      <c r="O820" s="163"/>
      <c r="P820" s="163"/>
      <c r="Q820" s="182"/>
      <c r="T820" s="130"/>
    </row>
    <row r="821" spans="1:20" ht="10.7" customHeight="1" x14ac:dyDescent="0.2">
      <c r="A821" s="122"/>
      <c r="B821" s="181"/>
      <c r="C821" s="173"/>
      <c r="D821" s="163"/>
      <c r="E821" s="163"/>
      <c r="F821" s="163"/>
      <c r="G821" s="164"/>
      <c r="H821" s="163"/>
      <c r="I821" s="2"/>
      <c r="J821" s="164"/>
      <c r="K821" s="163"/>
      <c r="L821" s="163"/>
      <c r="M821" s="163"/>
      <c r="N821" s="163"/>
      <c r="O821" s="163"/>
      <c r="P821" s="163"/>
      <c r="Q821" s="182"/>
      <c r="T821" s="130"/>
    </row>
    <row r="822" spans="1:20" ht="10.7" customHeight="1" x14ac:dyDescent="0.2">
      <c r="A822" s="122"/>
      <c r="B822" s="181"/>
      <c r="C822" s="173"/>
      <c r="D822" s="163"/>
      <c r="E822" s="163"/>
      <c r="F822" s="163"/>
      <c r="G822" s="164"/>
      <c r="H822" s="163"/>
      <c r="I822" s="2"/>
      <c r="J822" s="164"/>
      <c r="K822" s="163"/>
      <c r="L822" s="163"/>
      <c r="M822" s="163"/>
      <c r="N822" s="163"/>
      <c r="O822" s="163"/>
      <c r="P822" s="163"/>
      <c r="Q822" s="182"/>
      <c r="T822" s="130"/>
    </row>
    <row r="823" spans="1:20" ht="10.7" customHeight="1" x14ac:dyDescent="0.2">
      <c r="A823" s="122"/>
      <c r="B823" s="181"/>
      <c r="C823" s="173"/>
      <c r="D823" s="163"/>
      <c r="E823" s="163"/>
      <c r="F823" s="163"/>
      <c r="G823" s="164"/>
      <c r="H823" s="163"/>
      <c r="I823" s="2"/>
      <c r="J823" s="164"/>
      <c r="K823" s="163"/>
      <c r="L823" s="163"/>
      <c r="M823" s="163"/>
      <c r="N823" s="163"/>
      <c r="O823" s="163"/>
      <c r="P823" s="163"/>
      <c r="Q823" s="182"/>
      <c r="T823" s="130"/>
    </row>
    <row r="824" spans="1:20" ht="10.7" customHeight="1" x14ac:dyDescent="0.2">
      <c r="A824" s="122"/>
      <c r="B824" s="123" t="s">
        <v>185</v>
      </c>
      <c r="C824" s="173"/>
      <c r="D824" s="163"/>
      <c r="E824" s="163"/>
      <c r="F824" s="163"/>
      <c r="G824" s="164"/>
      <c r="H824" s="163"/>
      <c r="I824" s="2"/>
      <c r="J824" s="164"/>
      <c r="K824" s="163"/>
      <c r="L824" s="163"/>
      <c r="M824" s="163"/>
      <c r="N824" s="163"/>
      <c r="O824" s="163"/>
      <c r="P824" s="163"/>
      <c r="Q824" s="182"/>
      <c r="T824" s="130"/>
    </row>
    <row r="825" spans="1:20" ht="10.7" customHeight="1" x14ac:dyDescent="0.2">
      <c r="A825" s="122"/>
      <c r="B825" s="131" t="s">
        <v>240</v>
      </c>
      <c r="C825" s="181"/>
      <c r="D825" s="163"/>
      <c r="E825" s="163"/>
      <c r="F825" s="163"/>
      <c r="G825" s="164"/>
      <c r="H825" s="163"/>
      <c r="I825" s="2"/>
      <c r="J825" s="164"/>
      <c r="K825" s="163"/>
      <c r="L825" s="163"/>
      <c r="M825" s="163"/>
      <c r="N825" s="163"/>
      <c r="O825" s="163"/>
      <c r="P825" s="163"/>
      <c r="Q825" s="182"/>
      <c r="T825" s="130"/>
    </row>
    <row r="826" spans="1:20" ht="10.7" customHeight="1" x14ac:dyDescent="0.2">
      <c r="A826" s="122"/>
      <c r="B826" s="131"/>
      <c r="C826" s="181"/>
      <c r="D826" s="163"/>
      <c r="E826" s="163"/>
      <c r="F826" s="163"/>
      <c r="G826" s="164"/>
      <c r="H826" s="163"/>
      <c r="I826" s="2"/>
      <c r="J826" s="164"/>
      <c r="K826" s="163"/>
      <c r="L826" s="163"/>
      <c r="M826" s="163"/>
      <c r="N826" s="163"/>
      <c r="O826" s="163"/>
      <c r="P826" s="163"/>
      <c r="Q826" s="182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202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203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203" t="s">
        <v>74</v>
      </c>
      <c r="J829" s="147" t="s">
        <v>75</v>
      </c>
      <c r="K829" s="151">
        <v>43166</v>
      </c>
      <c r="L829" s="151">
        <v>43173</v>
      </c>
      <c r="M829" s="151">
        <v>43180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204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6"/>
      <c r="C831" s="207" t="s">
        <v>152</v>
      </c>
      <c r="D831" s="193"/>
      <c r="E831" s="193"/>
      <c r="F831" s="193"/>
      <c r="G831" s="193"/>
      <c r="H831" s="193"/>
      <c r="I831" s="193"/>
      <c r="J831" s="193"/>
      <c r="K831" s="193"/>
      <c r="L831" s="193"/>
      <c r="M831" s="193"/>
      <c r="N831" s="193"/>
      <c r="O831" s="193"/>
      <c r="P831" s="194"/>
      <c r="Q831" s="145"/>
      <c r="T831" s="130"/>
    </row>
    <row r="832" spans="1:20" ht="10.7" customHeight="1" x14ac:dyDescent="0.2">
      <c r="A832" s="188"/>
      <c r="B832" s="161" t="s">
        <v>80</v>
      </c>
      <c r="C832" s="162">
        <v>1324.4</v>
      </c>
      <c r="D832" s="206">
        <v>1462</v>
      </c>
      <c r="E832" s="163">
        <v>37.599999999999909</v>
      </c>
      <c r="F832" s="163">
        <v>137.59999999999991</v>
      </c>
      <c r="G832" s="164">
        <v>1462</v>
      </c>
      <c r="H832" s="163">
        <v>48.927999999999997</v>
      </c>
      <c r="I832" s="165">
        <v>3.3466484268125849</v>
      </c>
      <c r="J832" s="164">
        <v>1413.0720000000001</v>
      </c>
      <c r="K832" s="163">
        <v>0</v>
      </c>
      <c r="L832" s="163">
        <v>21.492999999999999</v>
      </c>
      <c r="M832" s="163">
        <v>0</v>
      </c>
      <c r="N832" s="163">
        <v>11.314999999999998</v>
      </c>
      <c r="O832" s="163">
        <v>0.77393980848153199</v>
      </c>
      <c r="P832" s="163">
        <v>8.2019999999999982</v>
      </c>
      <c r="Q832" s="146" t="s">
        <v>186</v>
      </c>
      <c r="T832" s="130"/>
    </row>
    <row r="833" spans="1:20" ht="10.7" customHeight="1" x14ac:dyDescent="0.2">
      <c r="A833" s="122"/>
      <c r="B833" s="161" t="s">
        <v>81</v>
      </c>
      <c r="C833" s="162">
        <v>286.60000000000002</v>
      </c>
      <c r="D833" s="206">
        <v>269.90000000000003</v>
      </c>
      <c r="E833" s="163">
        <v>0</v>
      </c>
      <c r="F833" s="163">
        <v>-16.699999999999989</v>
      </c>
      <c r="G833" s="164">
        <v>269.90000000000003</v>
      </c>
      <c r="H833" s="163">
        <v>0</v>
      </c>
      <c r="I833" s="165">
        <v>0</v>
      </c>
      <c r="J833" s="164">
        <v>269.90000000000003</v>
      </c>
      <c r="K833" s="163">
        <v>0</v>
      </c>
      <c r="L833" s="163">
        <v>0</v>
      </c>
      <c r="M833" s="163">
        <v>0</v>
      </c>
      <c r="N833" s="163">
        <v>0</v>
      </c>
      <c r="O833" s="163">
        <v>0</v>
      </c>
      <c r="P833" s="163">
        <v>0</v>
      </c>
      <c r="Q833" s="146" t="s">
        <v>186</v>
      </c>
      <c r="T833" s="130"/>
    </row>
    <row r="834" spans="1:20" ht="10.7" customHeight="1" x14ac:dyDescent="0.2">
      <c r="A834" s="122"/>
      <c r="B834" s="161" t="s">
        <v>82</v>
      </c>
      <c r="C834" s="162">
        <v>344.3</v>
      </c>
      <c r="D834" s="206">
        <v>344.6</v>
      </c>
      <c r="E834" s="163">
        <v>0</v>
      </c>
      <c r="F834" s="163">
        <v>0.30000000000001137</v>
      </c>
      <c r="G834" s="164">
        <v>344.6</v>
      </c>
      <c r="H834" s="163">
        <v>0</v>
      </c>
      <c r="I834" s="165">
        <v>0</v>
      </c>
      <c r="J834" s="164">
        <v>344.6</v>
      </c>
      <c r="K834" s="163">
        <v>0</v>
      </c>
      <c r="L834" s="163">
        <v>0</v>
      </c>
      <c r="M834" s="163">
        <v>0</v>
      </c>
      <c r="N834" s="163">
        <v>0</v>
      </c>
      <c r="O834" s="163">
        <v>0</v>
      </c>
      <c r="P834" s="163">
        <v>0</v>
      </c>
      <c r="Q834" s="146" t="s">
        <v>186</v>
      </c>
      <c r="T834" s="130"/>
    </row>
    <row r="835" spans="1:20" ht="10.7" customHeight="1" x14ac:dyDescent="0.2">
      <c r="A835" s="122"/>
      <c r="B835" s="161" t="s">
        <v>83</v>
      </c>
      <c r="C835" s="162">
        <v>513.6</v>
      </c>
      <c r="D835" s="206">
        <v>472.8</v>
      </c>
      <c r="E835" s="163">
        <v>-40.800000000000011</v>
      </c>
      <c r="F835" s="163">
        <v>-40.800000000000011</v>
      </c>
      <c r="G835" s="164">
        <v>472.8</v>
      </c>
      <c r="H835" s="163">
        <v>21.206</v>
      </c>
      <c r="I835" s="165">
        <v>4.4851945854483919</v>
      </c>
      <c r="J835" s="164">
        <v>451.59399999999999</v>
      </c>
      <c r="K835" s="163">
        <v>0</v>
      </c>
      <c r="L835" s="163">
        <v>0</v>
      </c>
      <c r="M835" s="163">
        <v>0</v>
      </c>
      <c r="N835" s="163">
        <v>21.206</v>
      </c>
      <c r="O835" s="163">
        <v>4.4851945854483928</v>
      </c>
      <c r="P835" s="163">
        <v>5.3014999999999999</v>
      </c>
      <c r="Q835" s="146" t="s">
        <v>186</v>
      </c>
      <c r="T835" s="130"/>
    </row>
    <row r="836" spans="1:20" ht="10.7" customHeight="1" x14ac:dyDescent="0.2">
      <c r="A836" s="122"/>
      <c r="B836" s="161" t="s">
        <v>84</v>
      </c>
      <c r="C836" s="162">
        <v>5.6</v>
      </c>
      <c r="D836" s="206">
        <v>5.6</v>
      </c>
      <c r="E836" s="163">
        <v>0</v>
      </c>
      <c r="F836" s="163">
        <v>0</v>
      </c>
      <c r="G836" s="164">
        <v>5.6</v>
      </c>
      <c r="H836" s="163">
        <v>0</v>
      </c>
      <c r="I836" s="165">
        <v>0</v>
      </c>
      <c r="J836" s="164">
        <v>5.6</v>
      </c>
      <c r="K836" s="163">
        <v>0</v>
      </c>
      <c r="L836" s="163">
        <v>0</v>
      </c>
      <c r="M836" s="163">
        <v>0</v>
      </c>
      <c r="N836" s="163">
        <v>0</v>
      </c>
      <c r="O836" s="163">
        <v>0</v>
      </c>
      <c r="P836" s="163">
        <v>0</v>
      </c>
      <c r="Q836" s="146" t="s">
        <v>186</v>
      </c>
      <c r="T836" s="130"/>
    </row>
    <row r="837" spans="1:20" ht="10.7" customHeight="1" x14ac:dyDescent="0.2">
      <c r="A837" s="122"/>
      <c r="B837" s="161" t="s">
        <v>85</v>
      </c>
      <c r="C837" s="162">
        <v>19.600000000000001</v>
      </c>
      <c r="D837" s="206">
        <v>36.299999999999997</v>
      </c>
      <c r="E837" s="163">
        <v>0</v>
      </c>
      <c r="F837" s="163">
        <v>16.699999999999996</v>
      </c>
      <c r="G837" s="164">
        <v>36.299999999999997</v>
      </c>
      <c r="H837" s="163">
        <v>0</v>
      </c>
      <c r="I837" s="165">
        <v>0</v>
      </c>
      <c r="J837" s="164">
        <v>36.299999999999997</v>
      </c>
      <c r="K837" s="163">
        <v>0</v>
      </c>
      <c r="L837" s="163">
        <v>0</v>
      </c>
      <c r="M837" s="163">
        <v>0</v>
      </c>
      <c r="N837" s="163">
        <v>0</v>
      </c>
      <c r="O837" s="163">
        <v>0</v>
      </c>
      <c r="P837" s="163">
        <v>0</v>
      </c>
      <c r="Q837" s="146" t="s">
        <v>162</v>
      </c>
      <c r="T837" s="130"/>
    </row>
    <row r="838" spans="1:20" ht="10.7" customHeight="1" x14ac:dyDescent="0.2">
      <c r="A838" s="122"/>
      <c r="B838" s="161" t="s">
        <v>86</v>
      </c>
      <c r="C838" s="162">
        <v>272.2</v>
      </c>
      <c r="D838" s="206">
        <v>322.2</v>
      </c>
      <c r="E838" s="163">
        <v>50</v>
      </c>
      <c r="F838" s="163">
        <v>50</v>
      </c>
      <c r="G838" s="164">
        <v>322.2</v>
      </c>
      <c r="H838" s="163">
        <v>148.03200000000001</v>
      </c>
      <c r="I838" s="165">
        <v>45.944134078212294</v>
      </c>
      <c r="J838" s="164">
        <v>174.16799999999998</v>
      </c>
      <c r="K838" s="163">
        <v>42.320999999999998</v>
      </c>
      <c r="L838" s="163">
        <v>31.378</v>
      </c>
      <c r="M838" s="163">
        <v>0</v>
      </c>
      <c r="N838" s="163">
        <v>74.333000000000013</v>
      </c>
      <c r="O838" s="163">
        <v>23.070453134698948</v>
      </c>
      <c r="P838" s="163">
        <v>37.008000000000003</v>
      </c>
      <c r="Q838" s="146">
        <v>2.7062256809338514</v>
      </c>
      <c r="T838" s="130"/>
    </row>
    <row r="839" spans="1:20" ht="10.7" customHeight="1" x14ac:dyDescent="0.2">
      <c r="A839" s="122"/>
      <c r="B839" s="161" t="s">
        <v>87</v>
      </c>
      <c r="C839" s="162">
        <v>23.2</v>
      </c>
      <c r="D839" s="206">
        <v>23.2</v>
      </c>
      <c r="E839" s="163">
        <v>0</v>
      </c>
      <c r="F839" s="163">
        <v>0</v>
      </c>
      <c r="G839" s="164">
        <v>23.2</v>
      </c>
      <c r="H839" s="163">
        <v>0</v>
      </c>
      <c r="I839" s="165">
        <v>0</v>
      </c>
      <c r="J839" s="164">
        <v>23.2</v>
      </c>
      <c r="K839" s="163">
        <v>0</v>
      </c>
      <c r="L839" s="163">
        <v>0</v>
      </c>
      <c r="M839" s="163">
        <v>0</v>
      </c>
      <c r="N839" s="163">
        <v>0</v>
      </c>
      <c r="O839" s="163">
        <v>0</v>
      </c>
      <c r="P839" s="163">
        <v>0</v>
      </c>
      <c r="Q839" s="146" t="s">
        <v>186</v>
      </c>
      <c r="T839" s="130"/>
    </row>
    <row r="840" spans="1:20" ht="10.7" customHeight="1" x14ac:dyDescent="0.2">
      <c r="A840" s="122"/>
      <c r="B840" s="161" t="s">
        <v>88</v>
      </c>
      <c r="C840" s="162">
        <v>0</v>
      </c>
      <c r="D840" s="206">
        <v>0</v>
      </c>
      <c r="E840" s="163">
        <v>0</v>
      </c>
      <c r="F840" s="163">
        <v>0</v>
      </c>
      <c r="G840" s="164">
        <v>0</v>
      </c>
      <c r="H840" s="163">
        <v>0</v>
      </c>
      <c r="I840" s="165" t="s">
        <v>119</v>
      </c>
      <c r="J840" s="164">
        <v>0</v>
      </c>
      <c r="K840" s="163">
        <v>0</v>
      </c>
      <c r="L840" s="163">
        <v>0</v>
      </c>
      <c r="M840" s="163">
        <v>0</v>
      </c>
      <c r="N840" s="163">
        <v>0</v>
      </c>
      <c r="O840" s="163" t="s">
        <v>42</v>
      </c>
      <c r="P840" s="163">
        <v>0</v>
      </c>
      <c r="Q840" s="146" t="s">
        <v>162</v>
      </c>
      <c r="T840" s="130"/>
    </row>
    <row r="841" spans="1:20" ht="10.7" customHeight="1" x14ac:dyDescent="0.2">
      <c r="A841" s="122"/>
      <c r="B841" s="161" t="s">
        <v>89</v>
      </c>
      <c r="C841" s="162">
        <v>149.69999999999999</v>
      </c>
      <c r="D841" s="206">
        <v>73.299999999999983</v>
      </c>
      <c r="E841" s="163">
        <v>0</v>
      </c>
      <c r="F841" s="163">
        <v>-76.400000000000006</v>
      </c>
      <c r="G841" s="164">
        <v>73.299999999999983</v>
      </c>
      <c r="H841" s="163">
        <v>0</v>
      </c>
      <c r="I841" s="165">
        <v>0</v>
      </c>
      <c r="J841" s="164">
        <v>73.299999999999983</v>
      </c>
      <c r="K841" s="163">
        <v>0</v>
      </c>
      <c r="L841" s="163">
        <v>0</v>
      </c>
      <c r="M841" s="163">
        <v>0</v>
      </c>
      <c r="N841" s="163">
        <v>0</v>
      </c>
      <c r="O841" s="163">
        <v>0</v>
      </c>
      <c r="P841" s="163">
        <v>0</v>
      </c>
      <c r="Q841" s="146" t="s">
        <v>186</v>
      </c>
      <c r="T841" s="130"/>
    </row>
    <row r="842" spans="1:20" ht="10.7" customHeight="1" x14ac:dyDescent="0.2">
      <c r="A842" s="122"/>
      <c r="B842" s="168" t="s">
        <v>91</v>
      </c>
      <c r="C842" s="162">
        <v>2939.1999999999994</v>
      </c>
      <c r="D842" s="206">
        <v>3009.9</v>
      </c>
      <c r="E842" s="163">
        <v>46.799999999999898</v>
      </c>
      <c r="F842" s="163">
        <v>70.700000000000728</v>
      </c>
      <c r="G842" s="164">
        <v>3009.9</v>
      </c>
      <c r="H842" s="163">
        <v>218.166</v>
      </c>
      <c r="I842" s="165">
        <v>7.2482806737765371</v>
      </c>
      <c r="J842" s="164">
        <v>2791.7340000000004</v>
      </c>
      <c r="K842" s="163">
        <v>42.320999999999998</v>
      </c>
      <c r="L842" s="163">
        <v>52.870999999999995</v>
      </c>
      <c r="M842" s="163">
        <v>0</v>
      </c>
      <c r="N842" s="163">
        <v>106.85400000000001</v>
      </c>
      <c r="O842" s="163">
        <v>3.5500847204226056</v>
      </c>
      <c r="P842" s="169">
        <v>50.511499999999998</v>
      </c>
      <c r="Q842" s="146" t="s">
        <v>186</v>
      </c>
      <c r="T842" s="130"/>
    </row>
    <row r="843" spans="1:20" ht="10.7" customHeight="1" x14ac:dyDescent="0.2">
      <c r="A843" s="122"/>
      <c r="B843" s="168"/>
      <c r="D843" s="206"/>
      <c r="E843" s="163"/>
      <c r="F843" s="163"/>
      <c r="G843" s="164"/>
      <c r="H843" s="163"/>
      <c r="I843" s="165"/>
      <c r="J843" s="164"/>
      <c r="K843" s="163"/>
      <c r="L843" s="163"/>
      <c r="M843" s="163"/>
      <c r="N843" s="163"/>
      <c r="O843" s="163"/>
      <c r="P843" s="163"/>
      <c r="Q843" s="146"/>
      <c r="T843" s="130"/>
    </row>
    <row r="844" spans="1:20" ht="10.7" customHeight="1" x14ac:dyDescent="0.2">
      <c r="A844" s="122"/>
      <c r="B844" s="161" t="s">
        <v>92</v>
      </c>
      <c r="C844" s="162">
        <v>325.8</v>
      </c>
      <c r="D844" s="206">
        <v>445.70000000000005</v>
      </c>
      <c r="E844" s="163">
        <v>0</v>
      </c>
      <c r="F844" s="163">
        <v>119.90000000000003</v>
      </c>
      <c r="G844" s="164">
        <v>445.70000000000005</v>
      </c>
      <c r="H844" s="163">
        <v>79.778999999999996</v>
      </c>
      <c r="I844" s="165">
        <v>17.89970832398474</v>
      </c>
      <c r="J844" s="164">
        <v>365.92100000000005</v>
      </c>
      <c r="K844" s="163">
        <v>0</v>
      </c>
      <c r="L844" s="163">
        <v>36.585999999999999</v>
      </c>
      <c r="M844" s="163">
        <v>0</v>
      </c>
      <c r="N844" s="163">
        <v>43.192999999999998</v>
      </c>
      <c r="O844" s="163">
        <v>9.6910477899932683</v>
      </c>
      <c r="P844" s="163">
        <v>19.944749999999999</v>
      </c>
      <c r="Q844" s="146">
        <v>16.346732849496739</v>
      </c>
      <c r="T844" s="130"/>
    </row>
    <row r="845" spans="1:20" ht="10.7" customHeight="1" x14ac:dyDescent="0.2">
      <c r="A845" s="122"/>
      <c r="B845" s="161" t="s">
        <v>93</v>
      </c>
      <c r="C845" s="162">
        <v>155.30000000000001</v>
      </c>
      <c r="D845" s="206">
        <v>19.300000000000011</v>
      </c>
      <c r="E845" s="163">
        <v>0</v>
      </c>
      <c r="F845" s="163">
        <v>-136</v>
      </c>
      <c r="G845" s="164">
        <v>19.300000000000011</v>
      </c>
      <c r="H845" s="163">
        <v>0</v>
      </c>
      <c r="I845" s="165">
        <v>0</v>
      </c>
      <c r="J845" s="164">
        <v>19.300000000000011</v>
      </c>
      <c r="K845" s="163">
        <v>0</v>
      </c>
      <c r="L845" s="163">
        <v>0</v>
      </c>
      <c r="M845" s="163">
        <v>0</v>
      </c>
      <c r="N845" s="163">
        <v>0</v>
      </c>
      <c r="O845" s="163">
        <v>0</v>
      </c>
      <c r="P845" s="163">
        <v>0</v>
      </c>
      <c r="Q845" s="146" t="s">
        <v>186</v>
      </c>
      <c r="T845" s="130"/>
    </row>
    <row r="846" spans="1:20" ht="10.7" hidden="1" customHeight="1" x14ac:dyDescent="0.2">
      <c r="A846" s="122"/>
      <c r="B846" s="161" t="s">
        <v>94</v>
      </c>
      <c r="C846" s="162">
        <v>0</v>
      </c>
      <c r="D846" s="206">
        <v>0</v>
      </c>
      <c r="E846" s="163">
        <v>0</v>
      </c>
      <c r="F846" s="163">
        <v>0</v>
      </c>
      <c r="G846" s="164">
        <v>0</v>
      </c>
      <c r="H846" s="163">
        <v>0</v>
      </c>
      <c r="I846" s="165" t="s">
        <v>119</v>
      </c>
      <c r="J846" s="164">
        <v>0</v>
      </c>
      <c r="K846" s="163">
        <v>0</v>
      </c>
      <c r="L846" s="163">
        <v>0</v>
      </c>
      <c r="M846" s="163">
        <v>0</v>
      </c>
      <c r="N846" s="163">
        <v>0</v>
      </c>
      <c r="O846" s="163" t="s">
        <v>42</v>
      </c>
      <c r="P846" s="163">
        <v>0</v>
      </c>
      <c r="Q846" s="146">
        <v>0</v>
      </c>
      <c r="T846" s="130"/>
    </row>
    <row r="847" spans="1:20" ht="10.7" customHeight="1" x14ac:dyDescent="0.2">
      <c r="A847" s="122"/>
      <c r="B847" s="161" t="s">
        <v>95</v>
      </c>
      <c r="C847" s="162">
        <v>430.9</v>
      </c>
      <c r="D847" s="206">
        <v>430.9</v>
      </c>
      <c r="E847" s="163">
        <v>0</v>
      </c>
      <c r="F847" s="163">
        <v>0</v>
      </c>
      <c r="G847" s="164">
        <v>430.9</v>
      </c>
      <c r="H847" s="163">
        <v>0</v>
      </c>
      <c r="I847" s="165">
        <v>0</v>
      </c>
      <c r="J847" s="164">
        <v>430.9</v>
      </c>
      <c r="K847" s="163">
        <v>0</v>
      </c>
      <c r="L847" s="163">
        <v>0</v>
      </c>
      <c r="M847" s="163">
        <v>0</v>
      </c>
      <c r="N847" s="163">
        <v>0</v>
      </c>
      <c r="O847" s="163">
        <v>0</v>
      </c>
      <c r="P847" s="163">
        <v>0</v>
      </c>
      <c r="Q847" s="146" t="s">
        <v>186</v>
      </c>
      <c r="T847" s="130"/>
    </row>
    <row r="848" spans="1:20" ht="10.7" customHeight="1" x14ac:dyDescent="0.2">
      <c r="A848" s="122"/>
      <c r="B848" s="161" t="s">
        <v>96</v>
      </c>
      <c r="C848" s="162">
        <v>64.400000000000006</v>
      </c>
      <c r="D848" s="206">
        <v>21.5</v>
      </c>
      <c r="E848" s="163">
        <v>-35.100000000000009</v>
      </c>
      <c r="F848" s="163">
        <v>-42.900000000000006</v>
      </c>
      <c r="G848" s="164">
        <v>21.5</v>
      </c>
      <c r="H848" s="163">
        <v>0</v>
      </c>
      <c r="I848" s="165">
        <v>0</v>
      </c>
      <c r="J848" s="164">
        <v>21.5</v>
      </c>
      <c r="K848" s="163">
        <v>0</v>
      </c>
      <c r="L848" s="163">
        <v>0</v>
      </c>
      <c r="M848" s="163">
        <v>0</v>
      </c>
      <c r="N848" s="163">
        <v>0</v>
      </c>
      <c r="O848" s="163">
        <v>0</v>
      </c>
      <c r="P848" s="163">
        <v>0</v>
      </c>
      <c r="Q848" s="146" t="s">
        <v>186</v>
      </c>
      <c r="T848" s="130"/>
    </row>
    <row r="849" spans="1:20" ht="10.7" customHeight="1" x14ac:dyDescent="0.2">
      <c r="A849" s="122"/>
      <c r="B849" s="161" t="s">
        <v>97</v>
      </c>
      <c r="C849" s="162">
        <v>33.299999999999997</v>
      </c>
      <c r="D849" s="206">
        <v>33.299999999999997</v>
      </c>
      <c r="E849" s="163">
        <v>0</v>
      </c>
      <c r="F849" s="163">
        <v>0</v>
      </c>
      <c r="G849" s="164">
        <v>33.299999999999997</v>
      </c>
      <c r="H849" s="163">
        <v>0</v>
      </c>
      <c r="I849" s="165">
        <v>0</v>
      </c>
      <c r="J849" s="164">
        <v>33.299999999999997</v>
      </c>
      <c r="K849" s="163">
        <v>0</v>
      </c>
      <c r="L849" s="163">
        <v>0</v>
      </c>
      <c r="M849" s="163">
        <v>0</v>
      </c>
      <c r="N849" s="163">
        <v>0</v>
      </c>
      <c r="O849" s="163">
        <v>0</v>
      </c>
      <c r="P849" s="163">
        <v>0</v>
      </c>
      <c r="Q849" s="146" t="s">
        <v>186</v>
      </c>
      <c r="T849" s="130"/>
    </row>
    <row r="850" spans="1:20" ht="10.7" customHeight="1" x14ac:dyDescent="0.2">
      <c r="A850" s="122"/>
      <c r="B850" s="161" t="s">
        <v>98</v>
      </c>
      <c r="C850" s="162">
        <v>176.4</v>
      </c>
      <c r="D850" s="206">
        <v>164.70000000000002</v>
      </c>
      <c r="E850" s="163">
        <v>-11.699999999999989</v>
      </c>
      <c r="F850" s="163">
        <v>-11.699999999999989</v>
      </c>
      <c r="G850" s="164">
        <v>164.70000000000002</v>
      </c>
      <c r="H850" s="163">
        <v>0</v>
      </c>
      <c r="I850" s="165">
        <v>0</v>
      </c>
      <c r="J850" s="164">
        <v>164.70000000000002</v>
      </c>
      <c r="K850" s="163">
        <v>0</v>
      </c>
      <c r="L850" s="163">
        <v>0</v>
      </c>
      <c r="M850" s="163">
        <v>0</v>
      </c>
      <c r="N850" s="163">
        <v>0</v>
      </c>
      <c r="O850" s="163">
        <v>0</v>
      </c>
      <c r="P850" s="163">
        <v>0</v>
      </c>
      <c r="Q850" s="146" t="s">
        <v>186</v>
      </c>
      <c r="T850" s="130"/>
    </row>
    <row r="851" spans="1:20" ht="10.7" customHeight="1" x14ac:dyDescent="0.2">
      <c r="A851" s="122"/>
      <c r="B851" s="161" t="s">
        <v>99</v>
      </c>
      <c r="C851" s="162">
        <v>0.2</v>
      </c>
      <c r="D851" s="206">
        <v>0.2</v>
      </c>
      <c r="E851" s="163">
        <v>0</v>
      </c>
      <c r="F851" s="163">
        <v>0</v>
      </c>
      <c r="G851" s="164">
        <v>0.2</v>
      </c>
      <c r="H851" s="163">
        <v>0</v>
      </c>
      <c r="I851" s="165">
        <v>0</v>
      </c>
      <c r="J851" s="164">
        <v>0.2</v>
      </c>
      <c r="K851" s="163">
        <v>0</v>
      </c>
      <c r="L851" s="163">
        <v>0</v>
      </c>
      <c r="M851" s="163">
        <v>0</v>
      </c>
      <c r="N851" s="163">
        <v>0</v>
      </c>
      <c r="O851" s="163">
        <v>0</v>
      </c>
      <c r="P851" s="163">
        <v>0</v>
      </c>
      <c r="Q851" s="146" t="s">
        <v>186</v>
      </c>
      <c r="T851" s="130"/>
    </row>
    <row r="852" spans="1:20" ht="10.7" customHeight="1" x14ac:dyDescent="0.2">
      <c r="A852" s="122"/>
      <c r="B852" s="161" t="s">
        <v>100</v>
      </c>
      <c r="C852" s="162">
        <v>2.7</v>
      </c>
      <c r="D852" s="206">
        <v>2.7</v>
      </c>
      <c r="E852" s="163">
        <v>0</v>
      </c>
      <c r="F852" s="163">
        <v>0</v>
      </c>
      <c r="G852" s="164">
        <v>2.7</v>
      </c>
      <c r="H852" s="163">
        <v>0</v>
      </c>
      <c r="I852" s="165">
        <v>0</v>
      </c>
      <c r="J852" s="164">
        <v>2.7</v>
      </c>
      <c r="K852" s="163">
        <v>0</v>
      </c>
      <c r="L852" s="163">
        <v>0</v>
      </c>
      <c r="M852" s="163">
        <v>0</v>
      </c>
      <c r="N852" s="163">
        <v>0</v>
      </c>
      <c r="O852" s="163">
        <v>0</v>
      </c>
      <c r="P852" s="163">
        <v>0</v>
      </c>
      <c r="Q852" s="146" t="s">
        <v>186</v>
      </c>
      <c r="T852" s="130"/>
    </row>
    <row r="853" spans="1:20" ht="10.7" customHeight="1" x14ac:dyDescent="0.2">
      <c r="A853" s="122"/>
      <c r="B853" s="161" t="s">
        <v>101</v>
      </c>
      <c r="C853" s="162">
        <v>2.7</v>
      </c>
      <c r="D853" s="206">
        <v>2.7</v>
      </c>
      <c r="E853" s="163">
        <v>0</v>
      </c>
      <c r="F853" s="163">
        <v>0</v>
      </c>
      <c r="G853" s="164">
        <v>2.7</v>
      </c>
      <c r="H853" s="163">
        <v>0</v>
      </c>
      <c r="I853" s="165">
        <v>0</v>
      </c>
      <c r="J853" s="164">
        <v>2.7</v>
      </c>
      <c r="K853" s="163">
        <v>0</v>
      </c>
      <c r="L853" s="163">
        <v>0</v>
      </c>
      <c r="M853" s="163">
        <v>0</v>
      </c>
      <c r="N853" s="163">
        <v>0</v>
      </c>
      <c r="O853" s="163">
        <v>0</v>
      </c>
      <c r="P853" s="163">
        <v>0</v>
      </c>
      <c r="Q853" s="146" t="s">
        <v>186</v>
      </c>
      <c r="T853" s="130"/>
    </row>
    <row r="854" spans="1:20" ht="10.7" customHeight="1" x14ac:dyDescent="0.2">
      <c r="A854" s="122"/>
      <c r="B854" s="161" t="s">
        <v>102</v>
      </c>
      <c r="C854" s="162">
        <v>3.9</v>
      </c>
      <c r="D854" s="206">
        <v>3.9</v>
      </c>
      <c r="E854" s="163">
        <v>0</v>
      </c>
      <c r="F854" s="163">
        <v>0</v>
      </c>
      <c r="G854" s="164">
        <v>3.9</v>
      </c>
      <c r="H854" s="163">
        <v>0</v>
      </c>
      <c r="I854" s="165">
        <v>0</v>
      </c>
      <c r="J854" s="164">
        <v>3.9</v>
      </c>
      <c r="K854" s="163">
        <v>0</v>
      </c>
      <c r="L854" s="163">
        <v>0</v>
      </c>
      <c r="M854" s="163">
        <v>0</v>
      </c>
      <c r="N854" s="163">
        <v>0</v>
      </c>
      <c r="O854" s="163">
        <v>0</v>
      </c>
      <c r="P854" s="163">
        <v>0</v>
      </c>
      <c r="Q854" s="146" t="s">
        <v>186</v>
      </c>
      <c r="T854" s="130"/>
    </row>
    <row r="855" spans="1:20" ht="10.7" customHeight="1" x14ac:dyDescent="0.2">
      <c r="A855" s="122"/>
      <c r="B855" s="161" t="s">
        <v>103</v>
      </c>
      <c r="C855" s="162">
        <v>0.1</v>
      </c>
      <c r="D855" s="206">
        <v>0.1</v>
      </c>
      <c r="E855" s="163">
        <v>0</v>
      </c>
      <c r="F855" s="163">
        <v>0</v>
      </c>
      <c r="G855" s="164">
        <v>0.1</v>
      </c>
      <c r="H855" s="163">
        <v>0</v>
      </c>
      <c r="I855" s="165">
        <v>0</v>
      </c>
      <c r="J855" s="164">
        <v>0.1</v>
      </c>
      <c r="K855" s="163">
        <v>0</v>
      </c>
      <c r="L855" s="163">
        <v>0</v>
      </c>
      <c r="M855" s="163">
        <v>0</v>
      </c>
      <c r="N855" s="163">
        <v>0</v>
      </c>
      <c r="O855" s="163">
        <v>0</v>
      </c>
      <c r="P855" s="163">
        <v>0</v>
      </c>
      <c r="Q855" s="146" t="s">
        <v>186</v>
      </c>
      <c r="T855" s="130"/>
    </row>
    <row r="856" spans="1:20" ht="10.7" customHeight="1" x14ac:dyDescent="0.2">
      <c r="A856" s="122"/>
      <c r="B856" s="1" t="s">
        <v>104</v>
      </c>
      <c r="C856" s="162">
        <v>2.7</v>
      </c>
      <c r="D856" s="206">
        <v>2.7</v>
      </c>
      <c r="E856" s="163">
        <v>0</v>
      </c>
      <c r="F856" s="163">
        <v>0</v>
      </c>
      <c r="G856" s="164">
        <v>2.7</v>
      </c>
      <c r="H856" s="163">
        <v>0</v>
      </c>
      <c r="I856" s="165">
        <v>0</v>
      </c>
      <c r="J856" s="164">
        <v>2.7</v>
      </c>
      <c r="K856" s="163">
        <v>0</v>
      </c>
      <c r="L856" s="163">
        <v>0</v>
      </c>
      <c r="M856" s="163">
        <v>0</v>
      </c>
      <c r="N856" s="163">
        <v>0</v>
      </c>
      <c r="O856" s="163">
        <v>0</v>
      </c>
      <c r="P856" s="163">
        <v>0</v>
      </c>
      <c r="Q856" s="146" t="s">
        <v>186</v>
      </c>
      <c r="T856" s="130"/>
    </row>
    <row r="857" spans="1:20" ht="10.7" customHeight="1" x14ac:dyDescent="0.2">
      <c r="A857" s="122"/>
      <c r="B857" s="168" t="s">
        <v>106</v>
      </c>
      <c r="C857" s="172">
        <v>4137.5999999999995</v>
      </c>
      <c r="D857" s="208">
        <v>4137.6000000000004</v>
      </c>
      <c r="E857" s="163">
        <v>-9.9475983006414026E-14</v>
      </c>
      <c r="F857" s="163">
        <v>0</v>
      </c>
      <c r="G857" s="164">
        <v>4137.6000000000004</v>
      </c>
      <c r="H857" s="163">
        <v>297.94499999999999</v>
      </c>
      <c r="I857" s="165">
        <v>7.2009135730858462</v>
      </c>
      <c r="J857" s="164">
        <v>3839.6550000000002</v>
      </c>
      <c r="K857" s="163">
        <v>42.320999999999998</v>
      </c>
      <c r="L857" s="163">
        <v>89.456999999999994</v>
      </c>
      <c r="M857" s="163">
        <v>0</v>
      </c>
      <c r="N857" s="163">
        <v>150.047</v>
      </c>
      <c r="O857" s="163">
        <v>3.626425947409126</v>
      </c>
      <c r="P857" s="163">
        <v>70.456249999999997</v>
      </c>
      <c r="Q857" s="146" t="s">
        <v>186</v>
      </c>
      <c r="T857" s="130"/>
    </row>
    <row r="858" spans="1:20" ht="10.7" customHeight="1" x14ac:dyDescent="0.2">
      <c r="A858" s="122"/>
      <c r="B858" s="168"/>
      <c r="C858" s="162"/>
      <c r="D858" s="206"/>
      <c r="E858" s="163"/>
      <c r="F858" s="163"/>
      <c r="G858" s="164"/>
      <c r="H858" s="163"/>
      <c r="I858" s="165"/>
      <c r="J858" s="164"/>
      <c r="K858" s="163"/>
      <c r="L858" s="163"/>
      <c r="M858" s="163"/>
      <c r="N858" s="163"/>
      <c r="O858" s="163"/>
      <c r="P858" s="163"/>
      <c r="Q858" s="146"/>
      <c r="T858" s="130"/>
    </row>
    <row r="859" spans="1:20" ht="10.7" customHeight="1" x14ac:dyDescent="0.2">
      <c r="A859" s="122"/>
      <c r="B859" s="161" t="s">
        <v>107</v>
      </c>
      <c r="C859" s="162">
        <v>0</v>
      </c>
      <c r="D859" s="206">
        <v>0</v>
      </c>
      <c r="E859" s="163">
        <v>0</v>
      </c>
      <c r="F859" s="163">
        <v>0</v>
      </c>
      <c r="G859" s="164">
        <v>0</v>
      </c>
      <c r="H859" s="163">
        <v>0</v>
      </c>
      <c r="I859" s="165" t="s">
        <v>119</v>
      </c>
      <c r="J859" s="164">
        <v>0</v>
      </c>
      <c r="K859" s="163">
        <v>0</v>
      </c>
      <c r="L859" s="163">
        <v>0</v>
      </c>
      <c r="M859" s="163">
        <v>0</v>
      </c>
      <c r="N859" s="163">
        <v>0</v>
      </c>
      <c r="O859" s="163" t="s">
        <v>42</v>
      </c>
      <c r="P859" s="163">
        <v>0</v>
      </c>
      <c r="Q859" s="146">
        <v>0</v>
      </c>
      <c r="T859" s="130"/>
    </row>
    <row r="860" spans="1:20" ht="10.7" customHeight="1" x14ac:dyDescent="0.2">
      <c r="A860" s="122"/>
      <c r="B860" s="161" t="s">
        <v>108</v>
      </c>
      <c r="C860" s="162">
        <v>53.7</v>
      </c>
      <c r="D860" s="162">
        <v>53.7</v>
      </c>
      <c r="E860" s="173">
        <v>0</v>
      </c>
      <c r="F860" s="163">
        <v>0</v>
      </c>
      <c r="G860" s="164">
        <v>53.7</v>
      </c>
      <c r="H860" s="163">
        <v>0</v>
      </c>
      <c r="I860" s="165">
        <v>0</v>
      </c>
      <c r="J860" s="164">
        <v>53.7</v>
      </c>
      <c r="K860" s="163">
        <v>0</v>
      </c>
      <c r="L860" s="163">
        <v>0</v>
      </c>
      <c r="M860" s="163">
        <v>0</v>
      </c>
      <c r="N860" s="163">
        <v>0</v>
      </c>
      <c r="O860" s="163">
        <v>0</v>
      </c>
      <c r="P860" s="163">
        <v>0</v>
      </c>
      <c r="Q860" s="146" t="s">
        <v>162</v>
      </c>
      <c r="T860" s="130"/>
    </row>
    <row r="861" spans="1:20" ht="10.7" customHeight="1" x14ac:dyDescent="0.2">
      <c r="A861" s="122"/>
      <c r="B861" s="174" t="s">
        <v>109</v>
      </c>
      <c r="C861" s="162">
        <v>53.7</v>
      </c>
      <c r="D861" s="162">
        <v>53.7</v>
      </c>
      <c r="E861" s="173">
        <v>0</v>
      </c>
      <c r="F861" s="163">
        <v>0</v>
      </c>
      <c r="G861" s="164">
        <v>53.7</v>
      </c>
      <c r="H861" s="163">
        <v>0</v>
      </c>
      <c r="I861" s="165">
        <v>0</v>
      </c>
      <c r="J861" s="164">
        <v>53.7</v>
      </c>
      <c r="K861" s="163">
        <v>0</v>
      </c>
      <c r="L861" s="163">
        <v>0</v>
      </c>
      <c r="M861" s="163">
        <v>0</v>
      </c>
      <c r="N861" s="163">
        <v>0</v>
      </c>
      <c r="O861" s="163">
        <v>0</v>
      </c>
      <c r="P861" s="163">
        <v>0</v>
      </c>
      <c r="Q861" s="146" t="s">
        <v>186</v>
      </c>
      <c r="T861" s="130"/>
    </row>
    <row r="862" spans="1:20" ht="10.7" customHeight="1" x14ac:dyDescent="0.2">
      <c r="A862" s="122"/>
      <c r="B862" s="174"/>
      <c r="C862" s="162"/>
      <c r="D862" s="163"/>
      <c r="E862" s="163"/>
      <c r="F862" s="163"/>
      <c r="G862" s="164"/>
      <c r="H862" s="163"/>
      <c r="I862" s="165"/>
      <c r="J862" s="164"/>
      <c r="K862" s="163"/>
      <c r="L862" s="163"/>
      <c r="M862" s="163"/>
      <c r="N862" s="163"/>
      <c r="O862" s="163"/>
      <c r="P862" s="163"/>
      <c r="Q862" s="146"/>
      <c r="T862" s="130"/>
    </row>
    <row r="863" spans="1:20" ht="10.7" customHeight="1" x14ac:dyDescent="0.2">
      <c r="A863" s="122"/>
      <c r="B863" s="174" t="s">
        <v>111</v>
      </c>
      <c r="C863" s="162"/>
      <c r="D863" s="163"/>
      <c r="E863" s="163"/>
      <c r="F863" s="163"/>
      <c r="G863" s="164">
        <v>0</v>
      </c>
      <c r="H863" s="163"/>
      <c r="I863" s="165"/>
      <c r="J863" s="164">
        <v>0</v>
      </c>
      <c r="K863" s="163"/>
      <c r="L863" s="163"/>
      <c r="M863" s="163"/>
      <c r="N863" s="163"/>
      <c r="O863" s="163"/>
      <c r="P863" s="163"/>
      <c r="Q863" s="146"/>
      <c r="T863" s="130"/>
    </row>
    <row r="864" spans="1:20" ht="10.7" customHeight="1" x14ac:dyDescent="0.2">
      <c r="A864" s="122"/>
      <c r="B864" s="175" t="s">
        <v>112</v>
      </c>
      <c r="C864" s="177">
        <v>4244.9999999999991</v>
      </c>
      <c r="D864" s="178">
        <v>4245</v>
      </c>
      <c r="E864" s="177">
        <v>-9.9475983006414026E-14</v>
      </c>
      <c r="F864" s="180">
        <v>0</v>
      </c>
      <c r="G864" s="189">
        <v>4245</v>
      </c>
      <c r="H864" s="180">
        <v>297.94499999999999</v>
      </c>
      <c r="I864" s="179">
        <v>7.0187279151943462</v>
      </c>
      <c r="J864" s="189">
        <v>3947.0549999999998</v>
      </c>
      <c r="K864" s="180">
        <v>42.320999999999998</v>
      </c>
      <c r="L864" s="180">
        <v>89.456999999999994</v>
      </c>
      <c r="M864" s="180">
        <v>0</v>
      </c>
      <c r="N864" s="180">
        <v>150.047</v>
      </c>
      <c r="O864" s="180">
        <v>3.5346760895170788</v>
      </c>
      <c r="P864" s="180">
        <v>70.456249999999997</v>
      </c>
      <c r="Q864" s="153" t="s">
        <v>186</v>
      </c>
      <c r="T864" s="130"/>
    </row>
    <row r="865" spans="1:20" ht="10.7" customHeight="1" x14ac:dyDescent="0.2">
      <c r="A865" s="122"/>
      <c r="B865" s="130"/>
      <c r="C865" s="191"/>
      <c r="D865" s="183"/>
      <c r="E865" s="183"/>
      <c r="F865" s="183"/>
      <c r="G865" s="184"/>
      <c r="H865" s="183"/>
      <c r="I865" s="163"/>
      <c r="J865" s="184"/>
      <c r="K865" s="185"/>
      <c r="L865" s="185"/>
      <c r="M865" s="185"/>
      <c r="N865" s="185"/>
      <c r="O865" s="173"/>
      <c r="P865" s="183"/>
      <c r="Q865" s="182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43166</v>
      </c>
      <c r="L869" s="151">
        <v>43173</v>
      </c>
      <c r="M869" s="151">
        <v>43180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6"/>
      <c r="C871" s="209" t="s">
        <v>153</v>
      </c>
      <c r="D871" s="209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10"/>
      <c r="Q871" s="145"/>
      <c r="T871" s="130"/>
    </row>
    <row r="872" spans="1:20" ht="10.7" customHeight="1" x14ac:dyDescent="0.2">
      <c r="A872" s="211"/>
      <c r="B872" s="161" t="s">
        <v>80</v>
      </c>
      <c r="C872" s="162">
        <v>1814.2</v>
      </c>
      <c r="D872" s="206">
        <v>1906.7</v>
      </c>
      <c r="E872" s="163">
        <v>2.5</v>
      </c>
      <c r="F872" s="163">
        <v>92.5</v>
      </c>
      <c r="G872" s="164">
        <v>1906.7</v>
      </c>
      <c r="H872" s="163">
        <v>514.75929999999994</v>
      </c>
      <c r="I872" s="165">
        <v>26.997393402213245</v>
      </c>
      <c r="J872" s="164">
        <v>1391.9407000000001</v>
      </c>
      <c r="K872" s="163">
        <v>113.05900000000001</v>
      </c>
      <c r="L872" s="163">
        <v>110.14499999999995</v>
      </c>
      <c r="M872" s="163">
        <v>65.605999999999995</v>
      </c>
      <c r="N872" s="163">
        <v>55.05300000000004</v>
      </c>
      <c r="O872" s="163">
        <v>2.8873446268421898</v>
      </c>
      <c r="P872" s="163">
        <v>85.96575</v>
      </c>
      <c r="Q872" s="146">
        <v>14.191805457406002</v>
      </c>
      <c r="T872" s="130"/>
    </row>
    <row r="873" spans="1:20" ht="10.7" customHeight="1" x14ac:dyDescent="0.2">
      <c r="A873" s="122"/>
      <c r="B873" s="161" t="s">
        <v>81</v>
      </c>
      <c r="C873" s="162">
        <v>258.39999999999998</v>
      </c>
      <c r="D873" s="206">
        <v>249.89999999999998</v>
      </c>
      <c r="E873" s="163">
        <v>0</v>
      </c>
      <c r="F873" s="163">
        <v>-8.5</v>
      </c>
      <c r="G873" s="164">
        <v>249.89999999999998</v>
      </c>
      <c r="H873" s="163">
        <v>51.919700000000006</v>
      </c>
      <c r="I873" s="165">
        <v>20.776190476190479</v>
      </c>
      <c r="J873" s="164">
        <v>197.98029999999997</v>
      </c>
      <c r="K873" s="163">
        <v>0.21819999999999595</v>
      </c>
      <c r="L873" s="163">
        <v>0</v>
      </c>
      <c r="M873" s="163">
        <v>4.7000000000000597E-2</v>
      </c>
      <c r="N873" s="163">
        <v>1.850000000000307E-2</v>
      </c>
      <c r="O873" s="163">
        <v>7.402961184475019E-3</v>
      </c>
      <c r="P873" s="163">
        <v>7.0924999999999905E-2</v>
      </c>
      <c r="Q873" s="146" t="s">
        <v>186</v>
      </c>
      <c r="T873" s="130"/>
    </row>
    <row r="874" spans="1:20" ht="10.7" customHeight="1" x14ac:dyDescent="0.2">
      <c r="A874" s="122"/>
      <c r="B874" s="161" t="s">
        <v>82</v>
      </c>
      <c r="C874" s="162">
        <v>252.6</v>
      </c>
      <c r="D874" s="206">
        <v>253.4</v>
      </c>
      <c r="E874" s="163">
        <v>0</v>
      </c>
      <c r="F874" s="163">
        <v>0.80000000000001137</v>
      </c>
      <c r="G874" s="164">
        <v>253.4</v>
      </c>
      <c r="H874" s="163">
        <v>32.626999999999995</v>
      </c>
      <c r="I874" s="165">
        <v>12.875690607734803</v>
      </c>
      <c r="J874" s="164">
        <v>220.77300000000002</v>
      </c>
      <c r="K874" s="163">
        <v>2.7389999999999972</v>
      </c>
      <c r="L874" s="163">
        <v>4.5100000000000016</v>
      </c>
      <c r="M874" s="163">
        <v>0.38500000000000101</v>
      </c>
      <c r="N874" s="163">
        <v>8.3699999999999974</v>
      </c>
      <c r="O874" s="163">
        <v>3.30307813733228</v>
      </c>
      <c r="P874" s="163">
        <v>4.0009999999999994</v>
      </c>
      <c r="Q874" s="146" t="s">
        <v>186</v>
      </c>
      <c r="T874" s="130"/>
    </row>
    <row r="875" spans="1:20" ht="10.7" customHeight="1" x14ac:dyDescent="0.2">
      <c r="A875" s="122"/>
      <c r="B875" s="161" t="s">
        <v>83</v>
      </c>
      <c r="C875" s="162">
        <v>272.39999999999998</v>
      </c>
      <c r="D875" s="206">
        <v>310.7</v>
      </c>
      <c r="E875" s="163">
        <v>38.300000000000011</v>
      </c>
      <c r="F875" s="163">
        <v>38.300000000000011</v>
      </c>
      <c r="G875" s="164">
        <v>310.7</v>
      </c>
      <c r="H875" s="163">
        <v>3.7909999999999999</v>
      </c>
      <c r="I875" s="165">
        <v>1.220148052784036</v>
      </c>
      <c r="J875" s="164">
        <v>306.90899999999999</v>
      </c>
      <c r="K875" s="163">
        <v>0</v>
      </c>
      <c r="L875" s="163">
        <v>0</v>
      </c>
      <c r="M875" s="163">
        <v>1.1049999999999998</v>
      </c>
      <c r="N875" s="163">
        <v>1.5110000000000001</v>
      </c>
      <c r="O875" s="163">
        <v>0.48632121017058266</v>
      </c>
      <c r="P875" s="163">
        <v>0.65399999999999991</v>
      </c>
      <c r="Q875" s="146" t="s">
        <v>186</v>
      </c>
      <c r="T875" s="130"/>
    </row>
    <row r="876" spans="1:20" ht="10.7" customHeight="1" x14ac:dyDescent="0.2">
      <c r="A876" s="122"/>
      <c r="B876" s="161" t="s">
        <v>84</v>
      </c>
      <c r="C876" s="162">
        <v>4.5999999999999996</v>
      </c>
      <c r="D876" s="206">
        <v>4.5999999999999996</v>
      </c>
      <c r="E876" s="163">
        <v>0</v>
      </c>
      <c r="F876" s="163">
        <v>0</v>
      </c>
      <c r="G876" s="164">
        <v>4.5999999999999996</v>
      </c>
      <c r="H876" s="163">
        <v>1.016</v>
      </c>
      <c r="I876" s="165">
        <v>22.086956521739133</v>
      </c>
      <c r="J876" s="164">
        <v>3.5839999999999996</v>
      </c>
      <c r="K876" s="163">
        <v>0</v>
      </c>
      <c r="L876" s="163">
        <v>0</v>
      </c>
      <c r="M876" s="163">
        <v>0</v>
      </c>
      <c r="N876" s="163">
        <v>1.016</v>
      </c>
      <c r="O876" s="163">
        <v>22.086956521739133</v>
      </c>
      <c r="P876" s="163">
        <v>0.254</v>
      </c>
      <c r="Q876" s="146">
        <v>12.110236220472439</v>
      </c>
      <c r="T876" s="130"/>
    </row>
    <row r="877" spans="1:20" ht="10.7" customHeight="1" x14ac:dyDescent="0.2">
      <c r="A877" s="122"/>
      <c r="B877" s="161" t="s">
        <v>85</v>
      </c>
      <c r="C877" s="162">
        <v>59.2</v>
      </c>
      <c r="D877" s="163">
        <v>72.7</v>
      </c>
      <c r="E877" s="163">
        <v>4.2999999999999972</v>
      </c>
      <c r="F877" s="163">
        <v>13.5</v>
      </c>
      <c r="G877" s="164">
        <v>72.7</v>
      </c>
      <c r="H877" s="163">
        <v>4.5199999999999996</v>
      </c>
      <c r="I877" s="165">
        <v>6.217331499312241</v>
      </c>
      <c r="J877" s="164">
        <v>68.180000000000007</v>
      </c>
      <c r="K877" s="163">
        <v>2.8999999999999915E-2</v>
      </c>
      <c r="L877" s="163">
        <v>1.6680000000000001</v>
      </c>
      <c r="M877" s="163">
        <v>0.17799999999999994</v>
      </c>
      <c r="N877" s="163">
        <v>0.14499999999999957</v>
      </c>
      <c r="O877" s="163">
        <v>0.19944979367262664</v>
      </c>
      <c r="P877" s="163">
        <v>0.50499999999999989</v>
      </c>
      <c r="Q877" s="146" t="s">
        <v>186</v>
      </c>
      <c r="T877" s="130"/>
    </row>
    <row r="878" spans="1:20" ht="10.7" customHeight="1" x14ac:dyDescent="0.2">
      <c r="A878" s="122"/>
      <c r="B878" s="161" t="s">
        <v>86</v>
      </c>
      <c r="C878" s="162">
        <v>226</v>
      </c>
      <c r="D878" s="163">
        <v>221.2</v>
      </c>
      <c r="E878" s="163">
        <v>0</v>
      </c>
      <c r="F878" s="163">
        <v>-4.8000000000000114</v>
      </c>
      <c r="G878" s="164">
        <v>221.2</v>
      </c>
      <c r="H878" s="163">
        <v>47.42</v>
      </c>
      <c r="I878" s="165">
        <v>21.437613019891501</v>
      </c>
      <c r="J878" s="164">
        <v>173.77999999999997</v>
      </c>
      <c r="K878" s="163">
        <v>15.056999999999999</v>
      </c>
      <c r="L878" s="163">
        <v>15.157000000000004</v>
      </c>
      <c r="M878" s="163">
        <v>14.144999999999996</v>
      </c>
      <c r="N878" s="163">
        <v>8.8000000000000966E-2</v>
      </c>
      <c r="O878" s="163">
        <v>3.9783001808318702E-2</v>
      </c>
      <c r="P878" s="163">
        <v>11.111749999999999</v>
      </c>
      <c r="Q878" s="146">
        <v>13.639300740207437</v>
      </c>
      <c r="T878" s="130"/>
    </row>
    <row r="879" spans="1:20" ht="10.7" customHeight="1" x14ac:dyDescent="0.2">
      <c r="A879" s="122"/>
      <c r="B879" s="161" t="s">
        <v>87</v>
      </c>
      <c r="C879" s="162">
        <v>47.4</v>
      </c>
      <c r="D879" s="163">
        <v>47.4</v>
      </c>
      <c r="E879" s="163">
        <v>0</v>
      </c>
      <c r="F879" s="163">
        <v>0</v>
      </c>
      <c r="G879" s="164">
        <v>47.4</v>
      </c>
      <c r="H879" s="163">
        <v>1.464</v>
      </c>
      <c r="I879" s="165">
        <v>3.0886075949367089</v>
      </c>
      <c r="J879" s="164">
        <v>45.936</v>
      </c>
      <c r="K879" s="163">
        <v>0.187</v>
      </c>
      <c r="L879" s="163">
        <v>0</v>
      </c>
      <c r="M879" s="163">
        <v>0.78600000000000003</v>
      </c>
      <c r="N879" s="163">
        <v>0.49099999999999999</v>
      </c>
      <c r="O879" s="163">
        <v>1.0358649789029535</v>
      </c>
      <c r="P879" s="163">
        <v>0.36599999999999999</v>
      </c>
      <c r="Q879" s="146" t="s">
        <v>186</v>
      </c>
      <c r="T879" s="130"/>
    </row>
    <row r="880" spans="1:20" ht="10.7" customHeight="1" x14ac:dyDescent="0.2">
      <c r="A880" s="122"/>
      <c r="B880" s="161" t="s">
        <v>88</v>
      </c>
      <c r="C880" s="162">
        <v>0</v>
      </c>
      <c r="D880" s="163">
        <v>0</v>
      </c>
      <c r="E880" s="163">
        <v>0</v>
      </c>
      <c r="F880" s="163">
        <v>0</v>
      </c>
      <c r="G880" s="164">
        <v>0</v>
      </c>
      <c r="H880" s="163">
        <v>0</v>
      </c>
      <c r="I880" s="165" t="s">
        <v>119</v>
      </c>
      <c r="J880" s="164">
        <v>0</v>
      </c>
      <c r="K880" s="163">
        <v>0</v>
      </c>
      <c r="L880" s="163">
        <v>0</v>
      </c>
      <c r="M880" s="163">
        <v>0</v>
      </c>
      <c r="N880" s="163">
        <v>0</v>
      </c>
      <c r="O880" s="163" t="s">
        <v>42</v>
      </c>
      <c r="P880" s="163">
        <v>0</v>
      </c>
      <c r="Q880" s="146" t="s">
        <v>162</v>
      </c>
      <c r="T880" s="130"/>
    </row>
    <row r="881" spans="1:20" ht="10.7" customHeight="1" x14ac:dyDescent="0.2">
      <c r="A881" s="122"/>
      <c r="B881" s="161" t="s">
        <v>89</v>
      </c>
      <c r="C881" s="162">
        <v>141.19999999999999</v>
      </c>
      <c r="D881" s="206">
        <v>89.899999999999991</v>
      </c>
      <c r="E881" s="163">
        <v>0</v>
      </c>
      <c r="F881" s="163">
        <v>-51.3</v>
      </c>
      <c r="G881" s="164">
        <v>89.899999999999991</v>
      </c>
      <c r="H881" s="163">
        <v>1.903</v>
      </c>
      <c r="I881" s="165">
        <v>2.1167964404894328</v>
      </c>
      <c r="J881" s="164">
        <v>87.996999999999986</v>
      </c>
      <c r="K881" s="163">
        <v>0.14099999999999999</v>
      </c>
      <c r="L881" s="163">
        <v>0</v>
      </c>
      <c r="M881" s="163">
        <v>0</v>
      </c>
      <c r="N881" s="163">
        <v>0</v>
      </c>
      <c r="O881" s="163">
        <v>0</v>
      </c>
      <c r="P881" s="163">
        <v>3.5249999999999997E-2</v>
      </c>
      <c r="Q881" s="146" t="s">
        <v>186</v>
      </c>
      <c r="T881" s="130"/>
    </row>
    <row r="882" spans="1:20" ht="10.7" customHeight="1" x14ac:dyDescent="0.2">
      <c r="A882" s="122"/>
      <c r="B882" s="168" t="s">
        <v>91</v>
      </c>
      <c r="C882" s="162">
        <v>3075.9999999999995</v>
      </c>
      <c r="D882" s="163">
        <v>3156.4999999999995</v>
      </c>
      <c r="E882" s="163">
        <v>45.100000000000009</v>
      </c>
      <c r="F882" s="163">
        <v>80.5</v>
      </c>
      <c r="G882" s="164">
        <v>3156.4999999999995</v>
      </c>
      <c r="H882" s="163">
        <v>659.42</v>
      </c>
      <c r="I882" s="165">
        <v>20.890860129890704</v>
      </c>
      <c r="J882" s="164">
        <v>2497.08</v>
      </c>
      <c r="K882" s="163">
        <v>131.43019999999999</v>
      </c>
      <c r="L882" s="163">
        <v>131.47999999999996</v>
      </c>
      <c r="M882" s="163">
        <v>82.251999999999995</v>
      </c>
      <c r="N882" s="163">
        <v>66.692500000000038</v>
      </c>
      <c r="O882" s="163">
        <v>2.1128623475368302</v>
      </c>
      <c r="P882" s="169">
        <v>102.96367500000001</v>
      </c>
      <c r="Q882" s="146">
        <v>22.252048113084538</v>
      </c>
      <c r="T882" s="130"/>
    </row>
    <row r="883" spans="1:20" ht="10.7" customHeight="1" x14ac:dyDescent="0.2">
      <c r="A883" s="122"/>
      <c r="B883" s="168"/>
      <c r="D883" s="163"/>
      <c r="E883" s="163"/>
      <c r="F883" s="163"/>
      <c r="G883" s="164"/>
      <c r="H883" s="163"/>
      <c r="I883" s="165"/>
      <c r="J883" s="164"/>
      <c r="K883" s="163"/>
      <c r="L883" s="163"/>
      <c r="M883" s="163"/>
      <c r="N883" s="163"/>
      <c r="O883" s="163"/>
      <c r="P883" s="163"/>
      <c r="Q883" s="146"/>
      <c r="T883" s="130"/>
    </row>
    <row r="884" spans="1:20" ht="10.7" customHeight="1" x14ac:dyDescent="0.2">
      <c r="A884" s="122"/>
      <c r="B884" s="161" t="s">
        <v>92</v>
      </c>
      <c r="C884" s="162">
        <v>194.3</v>
      </c>
      <c r="D884" s="163">
        <v>248.10000000000002</v>
      </c>
      <c r="E884" s="163">
        <v>0</v>
      </c>
      <c r="F884" s="163">
        <v>53.800000000000011</v>
      </c>
      <c r="G884" s="164">
        <v>248.10000000000002</v>
      </c>
      <c r="H884" s="163">
        <v>0.29799999999999999</v>
      </c>
      <c r="I884" s="165">
        <v>0.12011285771866181</v>
      </c>
      <c r="J884" s="164">
        <v>247.80200000000002</v>
      </c>
      <c r="K884" s="163">
        <v>0</v>
      </c>
      <c r="L884" s="163">
        <v>0.11700000000000001</v>
      </c>
      <c r="M884" s="163">
        <v>4.7E-2</v>
      </c>
      <c r="N884" s="163">
        <v>0.13399999999999998</v>
      </c>
      <c r="O884" s="163">
        <v>5.4010479645304296E-2</v>
      </c>
      <c r="P884" s="163">
        <v>7.4499999999999997E-2</v>
      </c>
      <c r="Q884" s="146" t="s">
        <v>186</v>
      </c>
      <c r="T884" s="130"/>
    </row>
    <row r="885" spans="1:20" ht="10.7" customHeight="1" x14ac:dyDescent="0.2">
      <c r="A885" s="122"/>
      <c r="B885" s="161" t="s">
        <v>93</v>
      </c>
      <c r="C885" s="162">
        <v>128.5</v>
      </c>
      <c r="D885" s="163">
        <v>43.3</v>
      </c>
      <c r="E885" s="163">
        <v>0</v>
      </c>
      <c r="F885" s="163">
        <v>-85.2</v>
      </c>
      <c r="G885" s="164">
        <v>43.3</v>
      </c>
      <c r="H885" s="163">
        <v>4.7484999999999999</v>
      </c>
      <c r="I885" s="165">
        <v>10.966512702078523</v>
      </c>
      <c r="J885" s="164">
        <v>38.551499999999997</v>
      </c>
      <c r="K885" s="163">
        <v>0.58500000000000008</v>
      </c>
      <c r="L885" s="163">
        <v>0</v>
      </c>
      <c r="M885" s="163">
        <v>0</v>
      </c>
      <c r="N885" s="163">
        <v>3.1924999999999999</v>
      </c>
      <c r="O885" s="163">
        <v>7.3729792147806004</v>
      </c>
      <c r="P885" s="163">
        <v>0.94437499999999996</v>
      </c>
      <c r="Q885" s="146">
        <v>38.822236929185969</v>
      </c>
      <c r="T885" s="130"/>
    </row>
    <row r="886" spans="1:20" ht="10.7" hidden="1" customHeight="1" x14ac:dyDescent="0.2">
      <c r="A886" s="122"/>
      <c r="B886" s="161" t="s">
        <v>94</v>
      </c>
      <c r="C886" s="162">
        <v>0</v>
      </c>
      <c r="D886" s="163">
        <v>0</v>
      </c>
      <c r="E886" s="163">
        <v>0</v>
      </c>
      <c r="F886" s="163">
        <v>0</v>
      </c>
      <c r="G886" s="164">
        <v>0</v>
      </c>
      <c r="H886" s="163">
        <v>0</v>
      </c>
      <c r="I886" s="165" t="s">
        <v>119</v>
      </c>
      <c r="J886" s="164">
        <v>0</v>
      </c>
      <c r="K886" s="163">
        <v>0</v>
      </c>
      <c r="L886" s="163">
        <v>0</v>
      </c>
      <c r="M886" s="163">
        <v>0</v>
      </c>
      <c r="N886" s="163">
        <v>0</v>
      </c>
      <c r="O886" s="163" t="s">
        <v>42</v>
      </c>
      <c r="P886" s="163">
        <v>0</v>
      </c>
      <c r="Q886" s="146">
        <v>0</v>
      </c>
      <c r="T886" s="130"/>
    </row>
    <row r="887" spans="1:20" ht="10.7" customHeight="1" x14ac:dyDescent="0.2">
      <c r="A887" s="122"/>
      <c r="B887" s="161" t="s">
        <v>95</v>
      </c>
      <c r="C887" s="162">
        <v>44.1</v>
      </c>
      <c r="D887" s="163">
        <v>44.1</v>
      </c>
      <c r="E887" s="163">
        <v>0</v>
      </c>
      <c r="F887" s="163">
        <v>0</v>
      </c>
      <c r="G887" s="164">
        <v>44.1</v>
      </c>
      <c r="H887" s="163">
        <v>0</v>
      </c>
      <c r="I887" s="165">
        <v>0</v>
      </c>
      <c r="J887" s="164">
        <v>44.1</v>
      </c>
      <c r="K887" s="163">
        <v>0</v>
      </c>
      <c r="L887" s="163">
        <v>0</v>
      </c>
      <c r="M887" s="163">
        <v>0</v>
      </c>
      <c r="N887" s="163">
        <v>0</v>
      </c>
      <c r="O887" s="163">
        <v>0</v>
      </c>
      <c r="P887" s="163">
        <v>0</v>
      </c>
      <c r="Q887" s="146" t="s">
        <v>186</v>
      </c>
      <c r="T887" s="130"/>
    </row>
    <row r="888" spans="1:20" ht="10.7" customHeight="1" x14ac:dyDescent="0.2">
      <c r="A888" s="122"/>
      <c r="B888" s="161" t="s">
        <v>96</v>
      </c>
      <c r="C888" s="162">
        <v>139.80000000000001</v>
      </c>
      <c r="D888" s="163">
        <v>78.000000000000014</v>
      </c>
      <c r="E888" s="163">
        <v>-57.8</v>
      </c>
      <c r="F888" s="163">
        <v>-61.8</v>
      </c>
      <c r="G888" s="164">
        <v>78.000000000000014</v>
      </c>
      <c r="H888" s="163">
        <v>9.9953000000000003</v>
      </c>
      <c r="I888" s="165">
        <v>12.814487179487177</v>
      </c>
      <c r="J888" s="164">
        <v>68.004700000000014</v>
      </c>
      <c r="K888" s="163">
        <v>0</v>
      </c>
      <c r="L888" s="163">
        <v>0</v>
      </c>
      <c r="M888" s="163">
        <v>0</v>
      </c>
      <c r="N888" s="163">
        <v>1.383</v>
      </c>
      <c r="O888" s="163">
        <v>1.7730769230769228</v>
      </c>
      <c r="P888" s="163">
        <v>0.34575</v>
      </c>
      <c r="Q888" s="146" t="s">
        <v>186</v>
      </c>
      <c r="T888" s="130"/>
    </row>
    <row r="889" spans="1:20" ht="10.7" customHeight="1" x14ac:dyDescent="0.2">
      <c r="A889" s="122"/>
      <c r="B889" s="161" t="s">
        <v>97</v>
      </c>
      <c r="C889" s="162">
        <v>101.7</v>
      </c>
      <c r="D889" s="163">
        <v>101.7</v>
      </c>
      <c r="E889" s="163">
        <v>0</v>
      </c>
      <c r="F889" s="163">
        <v>0</v>
      </c>
      <c r="G889" s="164">
        <v>101.7</v>
      </c>
      <c r="H889" s="163">
        <v>3.5407999999999999</v>
      </c>
      <c r="I889" s="165">
        <v>3.4816125860373646</v>
      </c>
      <c r="J889" s="164">
        <v>98.159199999999998</v>
      </c>
      <c r="K889" s="163">
        <v>9.100000000000108E-3</v>
      </c>
      <c r="L889" s="163">
        <v>0</v>
      </c>
      <c r="M889" s="163">
        <v>7.8999999999997961E-3</v>
      </c>
      <c r="N889" s="163">
        <v>0</v>
      </c>
      <c r="O889" s="163">
        <v>0</v>
      </c>
      <c r="P889" s="163">
        <v>4.249999999999976E-3</v>
      </c>
      <c r="Q889" s="146" t="s">
        <v>186</v>
      </c>
      <c r="T889" s="130"/>
    </row>
    <row r="890" spans="1:20" ht="10.7" customHeight="1" x14ac:dyDescent="0.2">
      <c r="A890" s="122"/>
      <c r="B890" s="161" t="s">
        <v>98</v>
      </c>
      <c r="C890" s="162">
        <v>154.19999999999999</v>
      </c>
      <c r="D890" s="163">
        <v>168</v>
      </c>
      <c r="E890" s="163">
        <v>13.800000000000011</v>
      </c>
      <c r="F890" s="163">
        <v>13.800000000000011</v>
      </c>
      <c r="G890" s="164">
        <v>168</v>
      </c>
      <c r="H890" s="163">
        <v>0</v>
      </c>
      <c r="I890" s="165">
        <v>0</v>
      </c>
      <c r="J890" s="164">
        <v>168</v>
      </c>
      <c r="K890" s="163">
        <v>0</v>
      </c>
      <c r="L890" s="163">
        <v>0</v>
      </c>
      <c r="M890" s="163">
        <v>0</v>
      </c>
      <c r="N890" s="163">
        <v>0</v>
      </c>
      <c r="O890" s="163">
        <v>0</v>
      </c>
      <c r="P890" s="163">
        <v>0</v>
      </c>
      <c r="Q890" s="146" t="s">
        <v>186</v>
      </c>
      <c r="T890" s="130"/>
    </row>
    <row r="891" spans="1:20" ht="10.7" customHeight="1" x14ac:dyDescent="0.2">
      <c r="A891" s="122"/>
      <c r="B891" s="161" t="s">
        <v>99</v>
      </c>
      <c r="C891" s="162">
        <v>24.2</v>
      </c>
      <c r="D891" s="163">
        <v>23.099999999999998</v>
      </c>
      <c r="E891" s="163">
        <v>-1.1000000000000014</v>
      </c>
      <c r="F891" s="163">
        <v>-1.1000000000000014</v>
      </c>
      <c r="G891" s="164">
        <v>23.099999999999998</v>
      </c>
      <c r="H891" s="163">
        <v>0</v>
      </c>
      <c r="I891" s="165">
        <v>0</v>
      </c>
      <c r="J891" s="164">
        <v>23.099999999999998</v>
      </c>
      <c r="K891" s="163">
        <v>0</v>
      </c>
      <c r="L891" s="163">
        <v>0</v>
      </c>
      <c r="M891" s="163">
        <v>0</v>
      </c>
      <c r="N891" s="163">
        <v>0</v>
      </c>
      <c r="O891" s="163">
        <v>0</v>
      </c>
      <c r="P891" s="163">
        <v>0</v>
      </c>
      <c r="Q891" s="146" t="s">
        <v>186</v>
      </c>
      <c r="T891" s="130"/>
    </row>
    <row r="892" spans="1:20" ht="10.7" customHeight="1" x14ac:dyDescent="0.2">
      <c r="A892" s="122"/>
      <c r="B892" s="161" t="s">
        <v>100</v>
      </c>
      <c r="C892" s="162">
        <v>2.2000000000000002</v>
      </c>
      <c r="D892" s="163">
        <v>2.2000000000000002</v>
      </c>
      <c r="E892" s="163">
        <v>0</v>
      </c>
      <c r="F892" s="163">
        <v>0</v>
      </c>
      <c r="G892" s="164">
        <v>2.2000000000000002</v>
      </c>
      <c r="H892" s="163">
        <v>0</v>
      </c>
      <c r="I892" s="165">
        <v>0</v>
      </c>
      <c r="J892" s="164">
        <v>2.2000000000000002</v>
      </c>
      <c r="K892" s="163">
        <v>0</v>
      </c>
      <c r="L892" s="163">
        <v>0</v>
      </c>
      <c r="M892" s="163">
        <v>0</v>
      </c>
      <c r="N892" s="163">
        <v>0</v>
      </c>
      <c r="O892" s="163">
        <v>0</v>
      </c>
      <c r="P892" s="163">
        <v>0</v>
      </c>
      <c r="Q892" s="146" t="s">
        <v>186</v>
      </c>
      <c r="T892" s="130"/>
    </row>
    <row r="893" spans="1:20" ht="10.7" customHeight="1" x14ac:dyDescent="0.2">
      <c r="A893" s="122"/>
      <c r="B893" s="161" t="s">
        <v>101</v>
      </c>
      <c r="C893" s="162">
        <v>0.2</v>
      </c>
      <c r="D893" s="163">
        <v>0.2</v>
      </c>
      <c r="E893" s="163">
        <v>0</v>
      </c>
      <c r="F893" s="163">
        <v>0</v>
      </c>
      <c r="G893" s="164">
        <v>0.2</v>
      </c>
      <c r="H893" s="163">
        <v>0</v>
      </c>
      <c r="I893" s="165">
        <v>0</v>
      </c>
      <c r="J893" s="164">
        <v>0.2</v>
      </c>
      <c r="K893" s="163">
        <v>0</v>
      </c>
      <c r="L893" s="163">
        <v>0</v>
      </c>
      <c r="M893" s="163">
        <v>0</v>
      </c>
      <c r="N893" s="163">
        <v>0</v>
      </c>
      <c r="O893" s="163">
        <v>0</v>
      </c>
      <c r="P893" s="163">
        <v>0</v>
      </c>
      <c r="Q893" s="146" t="s">
        <v>186</v>
      </c>
      <c r="T893" s="130"/>
    </row>
    <row r="894" spans="1:20" ht="10.7" customHeight="1" x14ac:dyDescent="0.2">
      <c r="A894" s="122"/>
      <c r="B894" s="161" t="s">
        <v>102</v>
      </c>
      <c r="C894" s="162">
        <v>9.8000000000000007</v>
      </c>
      <c r="D894" s="163">
        <v>9.8000000000000007</v>
      </c>
      <c r="E894" s="163">
        <v>0</v>
      </c>
      <c r="F894" s="163">
        <v>0</v>
      </c>
      <c r="G894" s="164">
        <v>9.8000000000000007</v>
      </c>
      <c r="H894" s="163">
        <v>0</v>
      </c>
      <c r="I894" s="165">
        <v>0</v>
      </c>
      <c r="J894" s="164">
        <v>9.8000000000000007</v>
      </c>
      <c r="K894" s="163">
        <v>0</v>
      </c>
      <c r="L894" s="163">
        <v>0</v>
      </c>
      <c r="M894" s="163">
        <v>0</v>
      </c>
      <c r="N894" s="163">
        <v>0</v>
      </c>
      <c r="O894" s="163">
        <v>0</v>
      </c>
      <c r="P894" s="163">
        <v>0</v>
      </c>
      <c r="Q894" s="146" t="s">
        <v>186</v>
      </c>
      <c r="T894" s="130"/>
    </row>
    <row r="895" spans="1:20" ht="10.7" customHeight="1" x14ac:dyDescent="0.2">
      <c r="A895" s="122"/>
      <c r="B895" s="161" t="s">
        <v>103</v>
      </c>
      <c r="C895" s="162">
        <v>4.5999999999999996</v>
      </c>
      <c r="D895" s="163">
        <v>4.5999999999999996</v>
      </c>
      <c r="E895" s="163">
        <v>0</v>
      </c>
      <c r="F895" s="163">
        <v>0</v>
      </c>
      <c r="G895" s="164">
        <v>4.5999999999999996</v>
      </c>
      <c r="H895" s="163">
        <v>0</v>
      </c>
      <c r="I895" s="165">
        <v>0</v>
      </c>
      <c r="J895" s="164">
        <v>4.5999999999999996</v>
      </c>
      <c r="K895" s="163">
        <v>0</v>
      </c>
      <c r="L895" s="163">
        <v>0</v>
      </c>
      <c r="M895" s="163">
        <v>0</v>
      </c>
      <c r="N895" s="163">
        <v>0</v>
      </c>
      <c r="O895" s="163">
        <v>0</v>
      </c>
      <c r="P895" s="163">
        <v>0</v>
      </c>
      <c r="Q895" s="146" t="s">
        <v>186</v>
      </c>
      <c r="T895" s="130"/>
    </row>
    <row r="896" spans="1:20" ht="10.7" customHeight="1" x14ac:dyDescent="0.2">
      <c r="A896" s="122"/>
      <c r="B896" s="1" t="s">
        <v>104</v>
      </c>
      <c r="C896" s="162">
        <v>0</v>
      </c>
      <c r="D896" s="163">
        <v>0</v>
      </c>
      <c r="E896" s="163">
        <v>0</v>
      </c>
      <c r="F896" s="163">
        <v>0</v>
      </c>
      <c r="G896" s="164">
        <v>0</v>
      </c>
      <c r="H896" s="163">
        <v>0</v>
      </c>
      <c r="I896" s="165" t="s">
        <v>119</v>
      </c>
      <c r="J896" s="164">
        <v>0</v>
      </c>
      <c r="K896" s="163">
        <v>0</v>
      </c>
      <c r="L896" s="163">
        <v>0</v>
      </c>
      <c r="M896" s="163">
        <v>0</v>
      </c>
      <c r="N896" s="163">
        <v>0</v>
      </c>
      <c r="O896" s="163" t="s">
        <v>42</v>
      </c>
      <c r="P896" s="163">
        <v>0</v>
      </c>
      <c r="Q896" s="146">
        <v>0</v>
      </c>
      <c r="T896" s="130"/>
    </row>
    <row r="897" spans="1:20" ht="10.7" customHeight="1" x14ac:dyDescent="0.2">
      <c r="A897" s="122"/>
      <c r="B897" s="168" t="s">
        <v>106</v>
      </c>
      <c r="C897" s="172">
        <v>3879.6</v>
      </c>
      <c r="D897" s="163">
        <v>3879.599999999999</v>
      </c>
      <c r="E897" s="163">
        <v>0</v>
      </c>
      <c r="F897" s="163">
        <v>0</v>
      </c>
      <c r="G897" s="164">
        <v>3879.599999999999</v>
      </c>
      <c r="H897" s="163">
        <v>678.00259999999992</v>
      </c>
      <c r="I897" s="165">
        <v>17.476095473760186</v>
      </c>
      <c r="J897" s="164">
        <v>3201.5973999999992</v>
      </c>
      <c r="K897" s="163">
        <v>132.0243000000001</v>
      </c>
      <c r="L897" s="163">
        <v>131.59699999999998</v>
      </c>
      <c r="M897" s="163">
        <v>82.306900000000027</v>
      </c>
      <c r="N897" s="163">
        <v>71.402000000000044</v>
      </c>
      <c r="O897" s="163">
        <v>1.8404474688112193</v>
      </c>
      <c r="P897" s="163">
        <v>104.33255000000004</v>
      </c>
      <c r="Q897" s="146">
        <v>28.686467454308342</v>
      </c>
      <c r="T897" s="130"/>
    </row>
    <row r="898" spans="1:20" ht="10.7" customHeight="1" x14ac:dyDescent="0.2">
      <c r="A898" s="122"/>
      <c r="B898" s="168"/>
      <c r="C898" s="162"/>
      <c r="D898" s="163"/>
      <c r="E898" s="163"/>
      <c r="F898" s="163"/>
      <c r="G898" s="164"/>
      <c r="H898" s="163"/>
      <c r="I898" s="165"/>
      <c r="J898" s="164"/>
      <c r="K898" s="163"/>
      <c r="L898" s="163"/>
      <c r="M898" s="163"/>
      <c r="N898" s="163"/>
      <c r="O898" s="163"/>
      <c r="P898" s="163"/>
      <c r="Q898" s="146"/>
      <c r="T898" s="130"/>
    </row>
    <row r="899" spans="1:20" ht="10.7" customHeight="1" x14ac:dyDescent="0.2">
      <c r="A899" s="122"/>
      <c r="B899" s="161" t="s">
        <v>107</v>
      </c>
      <c r="C899" s="162">
        <v>0.7</v>
      </c>
      <c r="D899" s="163">
        <v>0.7</v>
      </c>
      <c r="E899" s="163">
        <v>0</v>
      </c>
      <c r="F899" s="163">
        <v>0</v>
      </c>
      <c r="G899" s="164">
        <v>0.7</v>
      </c>
      <c r="H899" s="163">
        <v>0</v>
      </c>
      <c r="I899" s="165">
        <v>0</v>
      </c>
      <c r="J899" s="164">
        <v>0.7</v>
      </c>
      <c r="K899" s="163">
        <v>0</v>
      </c>
      <c r="L899" s="163">
        <v>0</v>
      </c>
      <c r="M899" s="163">
        <v>0</v>
      </c>
      <c r="N899" s="163">
        <v>0</v>
      </c>
      <c r="O899" s="163">
        <v>0</v>
      </c>
      <c r="P899" s="163">
        <v>0</v>
      </c>
      <c r="Q899" s="146" t="s">
        <v>186</v>
      </c>
      <c r="T899" s="130"/>
    </row>
    <row r="900" spans="1:20" ht="10.7" customHeight="1" x14ac:dyDescent="0.2">
      <c r="A900" s="122"/>
      <c r="B900" s="161" t="s">
        <v>108</v>
      </c>
      <c r="C900" s="162">
        <v>55.800000000000004</v>
      </c>
      <c r="D900" s="162">
        <v>55.800000000000004</v>
      </c>
      <c r="E900" s="173">
        <v>0</v>
      </c>
      <c r="F900" s="163">
        <v>0</v>
      </c>
      <c r="G900" s="164">
        <v>55.800000000000004</v>
      </c>
      <c r="H900" s="163">
        <v>0</v>
      </c>
      <c r="I900" s="165">
        <v>0</v>
      </c>
      <c r="J900" s="164">
        <v>55.800000000000004</v>
      </c>
      <c r="K900" s="163">
        <v>0</v>
      </c>
      <c r="L900" s="163">
        <v>0</v>
      </c>
      <c r="M900" s="163">
        <v>0</v>
      </c>
      <c r="N900" s="163">
        <v>0</v>
      </c>
      <c r="O900" s="163">
        <v>0</v>
      </c>
      <c r="P900" s="163">
        <v>0</v>
      </c>
      <c r="Q900" s="146" t="s">
        <v>186</v>
      </c>
      <c r="T900" s="130"/>
    </row>
    <row r="901" spans="1:20" ht="10.7" customHeight="1" x14ac:dyDescent="0.2">
      <c r="A901" s="122"/>
      <c r="B901" s="174" t="s">
        <v>109</v>
      </c>
      <c r="C901" s="162">
        <v>22.8</v>
      </c>
      <c r="D901" s="162">
        <v>22.8</v>
      </c>
      <c r="E901" s="173">
        <v>0</v>
      </c>
      <c r="F901" s="163">
        <v>0</v>
      </c>
      <c r="G901" s="164">
        <v>22.8</v>
      </c>
      <c r="H901" s="163">
        <v>0</v>
      </c>
      <c r="I901" s="165">
        <v>0</v>
      </c>
      <c r="J901" s="164">
        <v>22.8</v>
      </c>
      <c r="K901" s="163">
        <v>0</v>
      </c>
      <c r="L901" s="163">
        <v>0</v>
      </c>
      <c r="M901" s="163">
        <v>0</v>
      </c>
      <c r="N901" s="163">
        <v>0</v>
      </c>
      <c r="O901" s="163">
        <v>0</v>
      </c>
      <c r="P901" s="163">
        <v>0</v>
      </c>
      <c r="Q901" s="146" t="s">
        <v>186</v>
      </c>
      <c r="T901" s="130"/>
    </row>
    <row r="902" spans="1:20" ht="10.7" customHeight="1" x14ac:dyDescent="0.2">
      <c r="A902" s="122"/>
      <c r="B902" s="174"/>
      <c r="C902" s="162"/>
      <c r="D902" s="163"/>
      <c r="E902" s="163"/>
      <c r="F902" s="163"/>
      <c r="G902" s="164"/>
      <c r="H902" s="163"/>
      <c r="I902" s="165"/>
      <c r="J902" s="164"/>
      <c r="K902" s="163"/>
      <c r="L902" s="163"/>
      <c r="M902" s="163"/>
      <c r="N902" s="163"/>
      <c r="O902" s="163"/>
      <c r="P902" s="163"/>
      <c r="Q902" s="146"/>
      <c r="T902" s="130"/>
    </row>
    <row r="903" spans="1:20" ht="10.7" customHeight="1" x14ac:dyDescent="0.2">
      <c r="A903" s="122"/>
      <c r="B903" s="174" t="s">
        <v>111</v>
      </c>
      <c r="C903" s="162"/>
      <c r="D903" s="163">
        <v>0</v>
      </c>
      <c r="E903" s="163"/>
      <c r="F903" s="163"/>
      <c r="G903" s="164">
        <v>0</v>
      </c>
      <c r="H903" s="163"/>
      <c r="I903" s="165"/>
      <c r="J903" s="164">
        <v>0</v>
      </c>
      <c r="K903" s="163"/>
      <c r="L903" s="163"/>
      <c r="M903" s="163"/>
      <c r="N903" s="163"/>
      <c r="O903" s="163"/>
      <c r="P903" s="163"/>
      <c r="Q903" s="146"/>
      <c r="T903" s="130"/>
    </row>
    <row r="904" spans="1:20" ht="10.7" customHeight="1" x14ac:dyDescent="0.2">
      <c r="A904" s="122"/>
      <c r="B904" s="175" t="s">
        <v>112</v>
      </c>
      <c r="C904" s="176">
        <v>3958.9</v>
      </c>
      <c r="D904" s="201">
        <v>3958.8999999999992</v>
      </c>
      <c r="E904" s="177">
        <v>0</v>
      </c>
      <c r="F904" s="180">
        <v>0</v>
      </c>
      <c r="G904" s="189">
        <v>3958.8999999999992</v>
      </c>
      <c r="H904" s="180">
        <v>678.00259999999992</v>
      </c>
      <c r="I904" s="179">
        <v>17.126035009724923</v>
      </c>
      <c r="J904" s="189">
        <v>3280.8973999999994</v>
      </c>
      <c r="K904" s="180">
        <v>132.0243000000001</v>
      </c>
      <c r="L904" s="180">
        <v>131.59699999999998</v>
      </c>
      <c r="M904" s="180">
        <v>82.306900000000027</v>
      </c>
      <c r="N904" s="180">
        <v>71.402000000000044</v>
      </c>
      <c r="O904" s="180">
        <v>1.8035818030260946</v>
      </c>
      <c r="P904" s="190">
        <v>104.33255000000004</v>
      </c>
      <c r="Q904" s="153">
        <v>29.446537058664799</v>
      </c>
      <c r="T904" s="130"/>
    </row>
    <row r="905" spans="1:20" ht="10.7" customHeight="1" x14ac:dyDescent="0.2">
      <c r="A905" s="122"/>
      <c r="B905" s="191" t="s">
        <v>241</v>
      </c>
      <c r="C905" s="181"/>
      <c r="D905" s="163"/>
      <c r="E905" s="163"/>
      <c r="F905" s="163"/>
      <c r="G905" s="164"/>
      <c r="H905" s="163"/>
      <c r="I905" s="2"/>
      <c r="J905" s="164"/>
      <c r="K905" s="163"/>
      <c r="L905" s="163"/>
      <c r="M905" s="163"/>
      <c r="N905" s="163"/>
      <c r="O905" s="163"/>
      <c r="P905" s="163"/>
      <c r="Q905" s="182"/>
      <c r="T905" s="130"/>
    </row>
    <row r="906" spans="1:20" ht="10.5" customHeight="1" x14ac:dyDescent="0.2">
      <c r="A906" s="122"/>
      <c r="B906" s="123" t="s">
        <v>114</v>
      </c>
      <c r="C906" s="181"/>
      <c r="D906" s="183"/>
      <c r="E906" s="183"/>
      <c r="F906" s="183"/>
      <c r="G906" s="184"/>
      <c r="H906" s="183"/>
      <c r="I906" s="163"/>
      <c r="J906" s="184"/>
      <c r="K906" s="185"/>
      <c r="L906" s="185"/>
      <c r="M906" s="185"/>
      <c r="N906" s="185"/>
      <c r="O906" s="173"/>
      <c r="P906" s="183"/>
      <c r="Q906" s="182"/>
      <c r="T906" s="130"/>
    </row>
    <row r="907" spans="1:20" ht="10.5" customHeight="1" x14ac:dyDescent="0.2">
      <c r="A907" s="122"/>
      <c r="B907" s="123"/>
      <c r="C907" s="181"/>
      <c r="D907" s="183"/>
      <c r="E907" s="183"/>
      <c r="F907" s="183"/>
      <c r="G907" s="184"/>
      <c r="H907" s="183"/>
      <c r="I907" s="163"/>
      <c r="J907" s="184"/>
      <c r="K907" s="185"/>
      <c r="L907" s="185"/>
      <c r="M907" s="185"/>
      <c r="N907" s="185"/>
      <c r="O907" s="173"/>
      <c r="P907" s="183"/>
      <c r="Q907" s="182"/>
      <c r="T907" s="130"/>
    </row>
    <row r="908" spans="1:20" ht="10.5" customHeight="1" x14ac:dyDescent="0.2">
      <c r="A908" s="122"/>
      <c r="B908" s="123"/>
      <c r="C908" s="181"/>
      <c r="D908" s="183"/>
      <c r="E908" s="183"/>
      <c r="F908" s="183"/>
      <c r="G908" s="184"/>
      <c r="H908" s="183"/>
      <c r="I908" s="163"/>
      <c r="J908" s="184"/>
      <c r="K908" s="185"/>
      <c r="L908" s="185"/>
      <c r="M908" s="185"/>
      <c r="N908" s="185"/>
      <c r="O908" s="173"/>
      <c r="P908" s="183"/>
      <c r="Q908" s="182"/>
      <c r="T908" s="130"/>
    </row>
    <row r="909" spans="1:20" ht="10.5" customHeight="1" x14ac:dyDescent="0.2">
      <c r="A909" s="122"/>
      <c r="B909" s="123" t="s">
        <v>185</v>
      </c>
      <c r="C909" s="181"/>
      <c r="D909" s="183"/>
      <c r="E909" s="183"/>
      <c r="F909" s="183"/>
      <c r="G909" s="184"/>
      <c r="H909" s="183"/>
      <c r="I909" s="163"/>
      <c r="J909" s="184"/>
      <c r="K909" s="185"/>
      <c r="L909" s="185"/>
      <c r="M909" s="185"/>
      <c r="N909" s="185"/>
      <c r="O909" s="173"/>
      <c r="P909" s="183"/>
      <c r="Q909" s="182"/>
      <c r="T909" s="130"/>
    </row>
    <row r="910" spans="1:20" ht="10.5" customHeight="1" x14ac:dyDescent="0.2">
      <c r="A910" s="122"/>
      <c r="B910" s="131" t="s">
        <v>240</v>
      </c>
      <c r="C910" s="181"/>
      <c r="D910" s="183"/>
      <c r="E910" s="183"/>
      <c r="F910" s="183"/>
      <c r="G910" s="184"/>
      <c r="H910" s="183"/>
      <c r="I910" s="163"/>
      <c r="J910" s="184"/>
      <c r="K910" s="185"/>
      <c r="L910" s="185"/>
      <c r="M910" s="185"/>
      <c r="N910" s="185"/>
      <c r="O910" s="173"/>
      <c r="P910" s="183"/>
      <c r="Q910" s="182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43166</v>
      </c>
      <c r="L914" s="151">
        <v>43173</v>
      </c>
      <c r="M914" s="151">
        <v>43180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6"/>
      <c r="C916" s="209" t="s">
        <v>154</v>
      </c>
      <c r="D916" s="209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10"/>
      <c r="Q916" s="145"/>
      <c r="T916" s="130"/>
    </row>
    <row r="917" spans="1:20" ht="10.7" customHeight="1" x14ac:dyDescent="0.2">
      <c r="A917" s="188"/>
      <c r="B917" s="161" t="s">
        <v>80</v>
      </c>
      <c r="C917" s="162">
        <v>310.8</v>
      </c>
      <c r="D917" s="206">
        <v>311.3</v>
      </c>
      <c r="E917" s="163">
        <v>0.5</v>
      </c>
      <c r="F917" s="163">
        <v>0.5</v>
      </c>
      <c r="G917" s="164">
        <v>311.3</v>
      </c>
      <c r="H917" s="163">
        <v>87.028999999999996</v>
      </c>
      <c r="I917" s="165">
        <v>27.956633472534531</v>
      </c>
      <c r="J917" s="164">
        <v>224.27100000000002</v>
      </c>
      <c r="K917" s="163">
        <v>3.3700000000000045</v>
      </c>
      <c r="L917" s="163">
        <v>1.6349999999999909</v>
      </c>
      <c r="M917" s="163">
        <v>7.0840000000000032</v>
      </c>
      <c r="N917" s="163">
        <v>4.9609999999999985</v>
      </c>
      <c r="O917" s="163">
        <v>1.5936395759717308</v>
      </c>
      <c r="P917" s="163">
        <v>4.2624999999999993</v>
      </c>
      <c r="Q917" s="146" t="s">
        <v>186</v>
      </c>
      <c r="T917" s="130"/>
    </row>
    <row r="918" spans="1:20" ht="10.7" customHeight="1" x14ac:dyDescent="0.2">
      <c r="A918" s="122"/>
      <c r="B918" s="161" t="s">
        <v>81</v>
      </c>
      <c r="C918" s="162">
        <v>49.9</v>
      </c>
      <c r="D918" s="206">
        <v>49.9</v>
      </c>
      <c r="E918" s="163">
        <v>0</v>
      </c>
      <c r="F918" s="163">
        <v>0</v>
      </c>
      <c r="G918" s="164">
        <v>49.9</v>
      </c>
      <c r="H918" s="163">
        <v>16.34</v>
      </c>
      <c r="I918" s="165">
        <v>32.745490981963925</v>
      </c>
      <c r="J918" s="164">
        <v>33.56</v>
      </c>
      <c r="K918" s="163">
        <v>0</v>
      </c>
      <c r="L918" s="163">
        <v>0</v>
      </c>
      <c r="M918" s="163">
        <v>4.7000000000000597E-2</v>
      </c>
      <c r="N918" s="163">
        <v>0</v>
      </c>
      <c r="O918" s="163">
        <v>0</v>
      </c>
      <c r="P918" s="163">
        <v>1.1750000000000149E-2</v>
      </c>
      <c r="Q918" s="146" t="s">
        <v>186</v>
      </c>
      <c r="T918" s="130"/>
    </row>
    <row r="919" spans="1:20" ht="10.7" customHeight="1" x14ac:dyDescent="0.2">
      <c r="A919" s="122"/>
      <c r="B919" s="161" t="s">
        <v>82</v>
      </c>
      <c r="C919" s="162">
        <v>47.6</v>
      </c>
      <c r="D919" s="206">
        <v>47.9</v>
      </c>
      <c r="E919" s="163">
        <v>0</v>
      </c>
      <c r="F919" s="163">
        <v>0.29999999999999716</v>
      </c>
      <c r="G919" s="164">
        <v>47.9</v>
      </c>
      <c r="H919" s="163">
        <v>0.61099999999999999</v>
      </c>
      <c r="I919" s="165">
        <v>1.2755741127348643</v>
      </c>
      <c r="J919" s="164">
        <v>47.289000000000001</v>
      </c>
      <c r="K919" s="163">
        <v>5.0999999999999997E-2</v>
      </c>
      <c r="L919" s="163">
        <v>0.42</v>
      </c>
      <c r="M919" s="163">
        <v>0.14000000000000001</v>
      </c>
      <c r="N919" s="163">
        <v>0</v>
      </c>
      <c r="O919" s="163">
        <v>0</v>
      </c>
      <c r="P919" s="163">
        <v>0.15275</v>
      </c>
      <c r="Q919" s="146" t="s">
        <v>186</v>
      </c>
      <c r="T919" s="130"/>
    </row>
    <row r="920" spans="1:20" ht="10.7" customHeight="1" x14ac:dyDescent="0.2">
      <c r="A920" s="122"/>
      <c r="B920" s="161" t="s">
        <v>83</v>
      </c>
      <c r="C920" s="162">
        <v>60.8</v>
      </c>
      <c r="D920" s="206">
        <v>68.5</v>
      </c>
      <c r="E920" s="163">
        <v>7.7000000000000028</v>
      </c>
      <c r="F920" s="163">
        <v>7.7000000000000028</v>
      </c>
      <c r="G920" s="164">
        <v>68.5</v>
      </c>
      <c r="H920" s="163">
        <v>2.871</v>
      </c>
      <c r="I920" s="165">
        <v>4.1912408759124089</v>
      </c>
      <c r="J920" s="164">
        <v>65.629000000000005</v>
      </c>
      <c r="K920" s="163">
        <v>0.42099999999999999</v>
      </c>
      <c r="L920" s="163">
        <v>0.754</v>
      </c>
      <c r="M920" s="163">
        <v>1.1049999999999998</v>
      </c>
      <c r="N920" s="163">
        <v>0.59100000000000019</v>
      </c>
      <c r="O920" s="163">
        <v>0.86277372262773755</v>
      </c>
      <c r="P920" s="163">
        <v>0.71775</v>
      </c>
      <c r="Q920" s="146" t="s">
        <v>186</v>
      </c>
      <c r="T920" s="130"/>
    </row>
    <row r="921" spans="1:20" ht="10.7" customHeight="1" x14ac:dyDescent="0.2">
      <c r="A921" s="122"/>
      <c r="B921" s="161" t="s">
        <v>84</v>
      </c>
      <c r="C921" s="162">
        <v>0.9</v>
      </c>
      <c r="D921" s="206">
        <v>0.9</v>
      </c>
      <c r="E921" s="163">
        <v>0</v>
      </c>
      <c r="F921" s="163">
        <v>0</v>
      </c>
      <c r="G921" s="164">
        <v>0.9</v>
      </c>
      <c r="H921" s="163">
        <v>0</v>
      </c>
      <c r="I921" s="165">
        <v>0</v>
      </c>
      <c r="J921" s="164">
        <v>0.9</v>
      </c>
      <c r="K921" s="163">
        <v>0</v>
      </c>
      <c r="L921" s="163">
        <v>0</v>
      </c>
      <c r="M921" s="163">
        <v>0</v>
      </c>
      <c r="N921" s="163">
        <v>0</v>
      </c>
      <c r="O921" s="163">
        <v>0</v>
      </c>
      <c r="P921" s="163">
        <v>0</v>
      </c>
      <c r="Q921" s="146" t="s">
        <v>186</v>
      </c>
      <c r="T921" s="130"/>
    </row>
    <row r="922" spans="1:20" ht="10.7" customHeight="1" x14ac:dyDescent="0.2">
      <c r="A922" s="122"/>
      <c r="B922" s="161" t="s">
        <v>85</v>
      </c>
      <c r="C922" s="162">
        <v>10.9</v>
      </c>
      <c r="D922" s="206">
        <v>10.9</v>
      </c>
      <c r="E922" s="163">
        <v>0</v>
      </c>
      <c r="F922" s="163">
        <v>0</v>
      </c>
      <c r="G922" s="164">
        <v>10.9</v>
      </c>
      <c r="H922" s="163">
        <v>0</v>
      </c>
      <c r="I922" s="165">
        <v>0</v>
      </c>
      <c r="J922" s="164">
        <v>10.9</v>
      </c>
      <c r="K922" s="163">
        <v>0</v>
      </c>
      <c r="L922" s="163">
        <v>0</v>
      </c>
      <c r="M922" s="163">
        <v>0</v>
      </c>
      <c r="N922" s="163">
        <v>0</v>
      </c>
      <c r="O922" s="163">
        <v>0</v>
      </c>
      <c r="P922" s="163">
        <v>0</v>
      </c>
      <c r="Q922" s="146" t="s">
        <v>186</v>
      </c>
      <c r="T922" s="130"/>
    </row>
    <row r="923" spans="1:20" ht="10.7" customHeight="1" x14ac:dyDescent="0.2">
      <c r="A923" s="122"/>
      <c r="B923" s="161" t="s">
        <v>86</v>
      </c>
      <c r="C923" s="162">
        <v>35.200000000000003</v>
      </c>
      <c r="D923" s="206">
        <v>35.200000000000003</v>
      </c>
      <c r="E923" s="163">
        <v>0</v>
      </c>
      <c r="F923" s="163">
        <v>0</v>
      </c>
      <c r="G923" s="164">
        <v>35.200000000000003</v>
      </c>
      <c r="H923" s="163">
        <v>0.112</v>
      </c>
      <c r="I923" s="165">
        <v>0.31818181818181818</v>
      </c>
      <c r="J923" s="164">
        <v>35.088000000000001</v>
      </c>
      <c r="K923" s="163">
        <v>0</v>
      </c>
      <c r="L923" s="163">
        <v>0</v>
      </c>
      <c r="M923" s="163">
        <v>0</v>
      </c>
      <c r="N923" s="163">
        <v>0</v>
      </c>
      <c r="O923" s="163">
        <v>0</v>
      </c>
      <c r="P923" s="163">
        <v>0</v>
      </c>
      <c r="Q923" s="146" t="s">
        <v>186</v>
      </c>
      <c r="T923" s="130"/>
    </row>
    <row r="924" spans="1:20" ht="10.7" customHeight="1" x14ac:dyDescent="0.2">
      <c r="A924" s="122"/>
      <c r="B924" s="161" t="s">
        <v>87</v>
      </c>
      <c r="C924" s="162">
        <v>9.8000000000000007</v>
      </c>
      <c r="D924" s="206">
        <v>9.8000000000000007</v>
      </c>
      <c r="E924" s="163">
        <v>0</v>
      </c>
      <c r="F924" s="163">
        <v>0</v>
      </c>
      <c r="G924" s="164">
        <v>9.8000000000000007</v>
      </c>
      <c r="H924" s="163">
        <v>0</v>
      </c>
      <c r="I924" s="165">
        <v>0</v>
      </c>
      <c r="J924" s="164">
        <v>9.8000000000000007</v>
      </c>
      <c r="K924" s="163">
        <v>0</v>
      </c>
      <c r="L924" s="163">
        <v>0</v>
      </c>
      <c r="M924" s="163">
        <v>0</v>
      </c>
      <c r="N924" s="163">
        <v>0</v>
      </c>
      <c r="O924" s="163">
        <v>0</v>
      </c>
      <c r="P924" s="163">
        <v>0</v>
      </c>
      <c r="Q924" s="146" t="s">
        <v>186</v>
      </c>
      <c r="T924" s="130"/>
    </row>
    <row r="925" spans="1:20" ht="10.7" customHeight="1" x14ac:dyDescent="0.2">
      <c r="A925" s="122"/>
      <c r="B925" s="161" t="s">
        <v>88</v>
      </c>
      <c r="C925" s="162">
        <v>0</v>
      </c>
      <c r="D925" s="206">
        <v>0</v>
      </c>
      <c r="E925" s="163">
        <v>0</v>
      </c>
      <c r="F925" s="163">
        <v>0</v>
      </c>
      <c r="G925" s="164">
        <v>0</v>
      </c>
      <c r="H925" s="163">
        <v>0</v>
      </c>
      <c r="I925" s="165" t="s">
        <v>119</v>
      </c>
      <c r="J925" s="164">
        <v>0</v>
      </c>
      <c r="K925" s="163">
        <v>0</v>
      </c>
      <c r="L925" s="163">
        <v>0</v>
      </c>
      <c r="M925" s="163">
        <v>0</v>
      </c>
      <c r="N925" s="163">
        <v>0</v>
      </c>
      <c r="O925" s="163" t="s">
        <v>42</v>
      </c>
      <c r="P925" s="163">
        <v>0</v>
      </c>
      <c r="Q925" s="146">
        <v>0</v>
      </c>
      <c r="T925" s="130"/>
    </row>
    <row r="926" spans="1:20" ht="10.7" customHeight="1" x14ac:dyDescent="0.2">
      <c r="A926" s="122"/>
      <c r="B926" s="161" t="s">
        <v>89</v>
      </c>
      <c r="C926" s="162">
        <v>31.4</v>
      </c>
      <c r="D926" s="206">
        <v>31.4</v>
      </c>
      <c r="E926" s="163">
        <v>0</v>
      </c>
      <c r="F926" s="163">
        <v>0</v>
      </c>
      <c r="G926" s="164">
        <v>31.4</v>
      </c>
      <c r="H926" s="163">
        <v>1.762</v>
      </c>
      <c r="I926" s="165">
        <v>5.6114649681528661</v>
      </c>
      <c r="J926" s="164">
        <v>29.637999999999998</v>
      </c>
      <c r="K926" s="163">
        <v>1.286</v>
      </c>
      <c r="L926" s="163">
        <v>0.47599999999999998</v>
      </c>
      <c r="M926" s="163">
        <v>0</v>
      </c>
      <c r="N926" s="163">
        <v>0</v>
      </c>
      <c r="O926" s="163">
        <v>0</v>
      </c>
      <c r="P926" s="163">
        <v>0.4405</v>
      </c>
      <c r="Q926" s="146" t="s">
        <v>186</v>
      </c>
      <c r="T926" s="130"/>
    </row>
    <row r="927" spans="1:20" ht="10.7" customHeight="1" x14ac:dyDescent="0.2">
      <c r="A927" s="122"/>
      <c r="B927" s="168" t="s">
        <v>91</v>
      </c>
      <c r="C927" s="162">
        <v>557.29999999999995</v>
      </c>
      <c r="D927" s="163">
        <v>565.79999999999984</v>
      </c>
      <c r="E927" s="163">
        <v>8.2000000000000028</v>
      </c>
      <c r="F927" s="163">
        <v>8.4999999999998863</v>
      </c>
      <c r="G927" s="164">
        <v>565.79999999999984</v>
      </c>
      <c r="H927" s="163">
        <v>108.72499999999999</v>
      </c>
      <c r="I927" s="165">
        <v>19.216154118062924</v>
      </c>
      <c r="J927" s="164">
        <v>457.07499999999999</v>
      </c>
      <c r="K927" s="163">
        <v>5.1280000000000046</v>
      </c>
      <c r="L927" s="163">
        <v>3.2849999999999908</v>
      </c>
      <c r="M927" s="163">
        <v>8.376000000000003</v>
      </c>
      <c r="N927" s="163">
        <v>5.5519999999999987</v>
      </c>
      <c r="O927" s="163">
        <v>0.98126546482856136</v>
      </c>
      <c r="P927" s="169">
        <v>5.5852499999999994</v>
      </c>
      <c r="Q927" s="146" t="s">
        <v>186</v>
      </c>
      <c r="T927" s="130"/>
    </row>
    <row r="928" spans="1:20" ht="10.7" customHeight="1" x14ac:dyDescent="0.2">
      <c r="A928" s="122"/>
      <c r="B928" s="168"/>
      <c r="D928" s="163"/>
      <c r="E928" s="163"/>
      <c r="F928" s="163"/>
      <c r="G928" s="164"/>
      <c r="H928" s="163"/>
      <c r="I928" s="165"/>
      <c r="J928" s="164"/>
      <c r="K928" s="163"/>
      <c r="L928" s="163"/>
      <c r="M928" s="163"/>
      <c r="N928" s="163"/>
      <c r="O928" s="163"/>
      <c r="P928" s="163"/>
      <c r="Q928" s="146"/>
      <c r="T928" s="130"/>
    </row>
    <row r="929" spans="1:20" ht="10.7" customHeight="1" x14ac:dyDescent="0.2">
      <c r="A929" s="122"/>
      <c r="B929" s="161" t="s">
        <v>92</v>
      </c>
      <c r="C929" s="162">
        <v>34.6</v>
      </c>
      <c r="D929" s="163">
        <v>35.1</v>
      </c>
      <c r="E929" s="163">
        <v>0</v>
      </c>
      <c r="F929" s="163">
        <v>0.5</v>
      </c>
      <c r="G929" s="164">
        <v>35.1</v>
      </c>
      <c r="H929" s="163">
        <v>0</v>
      </c>
      <c r="I929" s="165">
        <v>0</v>
      </c>
      <c r="J929" s="164">
        <v>35.1</v>
      </c>
      <c r="K929" s="163">
        <v>0</v>
      </c>
      <c r="L929" s="163">
        <v>0</v>
      </c>
      <c r="M929" s="163">
        <v>0</v>
      </c>
      <c r="N929" s="163">
        <v>0</v>
      </c>
      <c r="O929" s="163">
        <v>0</v>
      </c>
      <c r="P929" s="163">
        <v>0</v>
      </c>
      <c r="Q929" s="146" t="s">
        <v>186</v>
      </c>
      <c r="T929" s="130"/>
    </row>
    <row r="930" spans="1:20" ht="10.7" customHeight="1" x14ac:dyDescent="0.2">
      <c r="A930" s="122"/>
      <c r="B930" s="161" t="s">
        <v>93</v>
      </c>
      <c r="C930" s="162">
        <v>28.6</v>
      </c>
      <c r="D930" s="163">
        <v>28.6</v>
      </c>
      <c r="E930" s="163">
        <v>0</v>
      </c>
      <c r="F930" s="163">
        <v>0</v>
      </c>
      <c r="G930" s="164">
        <v>28.6</v>
      </c>
      <c r="H930" s="163">
        <v>0</v>
      </c>
      <c r="I930" s="165">
        <v>0</v>
      </c>
      <c r="J930" s="164">
        <v>28.6</v>
      </c>
      <c r="K930" s="163">
        <v>0</v>
      </c>
      <c r="L930" s="163">
        <v>0</v>
      </c>
      <c r="M930" s="163">
        <v>0</v>
      </c>
      <c r="N930" s="163">
        <v>0</v>
      </c>
      <c r="O930" s="163">
        <v>0</v>
      </c>
      <c r="P930" s="163">
        <v>0</v>
      </c>
      <c r="Q930" s="146" t="s">
        <v>186</v>
      </c>
      <c r="T930" s="130"/>
    </row>
    <row r="931" spans="1:20" ht="10.7" hidden="1" customHeight="1" x14ac:dyDescent="0.2">
      <c r="A931" s="122"/>
      <c r="B931" s="161" t="s">
        <v>94</v>
      </c>
      <c r="C931" s="162">
        <v>0</v>
      </c>
      <c r="D931" s="163">
        <v>0</v>
      </c>
      <c r="E931" s="163">
        <v>0</v>
      </c>
      <c r="F931" s="163">
        <v>0</v>
      </c>
      <c r="G931" s="164">
        <v>0</v>
      </c>
      <c r="H931" s="163">
        <v>0</v>
      </c>
      <c r="I931" s="165" t="s">
        <v>119</v>
      </c>
      <c r="J931" s="164">
        <v>0</v>
      </c>
      <c r="K931" s="163">
        <v>0</v>
      </c>
      <c r="L931" s="163">
        <v>0</v>
      </c>
      <c r="M931" s="163">
        <v>0</v>
      </c>
      <c r="N931" s="163">
        <v>0</v>
      </c>
      <c r="O931" s="163" t="s">
        <v>42</v>
      </c>
      <c r="P931" s="163">
        <v>0</v>
      </c>
      <c r="Q931" s="146">
        <v>0</v>
      </c>
      <c r="T931" s="130"/>
    </row>
    <row r="932" spans="1:20" ht="10.7" customHeight="1" x14ac:dyDescent="0.2">
      <c r="A932" s="122"/>
      <c r="B932" s="161" t="s">
        <v>95</v>
      </c>
      <c r="C932" s="162">
        <v>9.9</v>
      </c>
      <c r="D932" s="163">
        <v>9.9</v>
      </c>
      <c r="E932" s="163">
        <v>0</v>
      </c>
      <c r="F932" s="163">
        <v>0</v>
      </c>
      <c r="G932" s="164">
        <v>9.9</v>
      </c>
      <c r="H932" s="163">
        <v>0</v>
      </c>
      <c r="I932" s="165">
        <v>0</v>
      </c>
      <c r="J932" s="164">
        <v>9.9</v>
      </c>
      <c r="K932" s="163">
        <v>0</v>
      </c>
      <c r="L932" s="163">
        <v>0</v>
      </c>
      <c r="M932" s="163">
        <v>0</v>
      </c>
      <c r="N932" s="163">
        <v>0</v>
      </c>
      <c r="O932" s="163">
        <v>0</v>
      </c>
      <c r="P932" s="163">
        <v>0</v>
      </c>
      <c r="Q932" s="146" t="s">
        <v>186</v>
      </c>
      <c r="T932" s="130"/>
    </row>
    <row r="933" spans="1:20" ht="10.7" customHeight="1" x14ac:dyDescent="0.2">
      <c r="A933" s="122"/>
      <c r="B933" s="161" t="s">
        <v>96</v>
      </c>
      <c r="C933" s="162">
        <v>26.9</v>
      </c>
      <c r="D933" s="163">
        <v>17.899999999999999</v>
      </c>
      <c r="E933" s="163">
        <v>-8.1999999999999993</v>
      </c>
      <c r="F933" s="163">
        <v>-9</v>
      </c>
      <c r="G933" s="164">
        <v>17.899999999999999</v>
      </c>
      <c r="H933" s="163">
        <v>3.5169999999999999</v>
      </c>
      <c r="I933" s="165">
        <v>19.648044692737432</v>
      </c>
      <c r="J933" s="164">
        <v>14.382999999999999</v>
      </c>
      <c r="K933" s="163">
        <v>0</v>
      </c>
      <c r="L933" s="163">
        <v>0.30600000000000005</v>
      </c>
      <c r="M933" s="163">
        <v>0</v>
      </c>
      <c r="N933" s="163">
        <v>0</v>
      </c>
      <c r="O933" s="163">
        <v>0</v>
      </c>
      <c r="P933" s="163">
        <v>7.6500000000000012E-2</v>
      </c>
      <c r="Q933" s="146" t="s">
        <v>186</v>
      </c>
      <c r="T933" s="130"/>
    </row>
    <row r="934" spans="1:20" ht="10.7" customHeight="1" x14ac:dyDescent="0.2">
      <c r="A934" s="122"/>
      <c r="B934" s="161" t="s">
        <v>97</v>
      </c>
      <c r="C934" s="162">
        <v>20.9</v>
      </c>
      <c r="D934" s="163">
        <v>20.9</v>
      </c>
      <c r="E934" s="163">
        <v>0</v>
      </c>
      <c r="F934" s="163">
        <v>0</v>
      </c>
      <c r="G934" s="164">
        <v>20.9</v>
      </c>
      <c r="H934" s="163">
        <v>0</v>
      </c>
      <c r="I934" s="165">
        <v>0</v>
      </c>
      <c r="J934" s="164">
        <v>20.9</v>
      </c>
      <c r="K934" s="163">
        <v>0</v>
      </c>
      <c r="L934" s="163">
        <v>0</v>
      </c>
      <c r="M934" s="163">
        <v>0</v>
      </c>
      <c r="N934" s="163">
        <v>0</v>
      </c>
      <c r="O934" s="163">
        <v>0</v>
      </c>
      <c r="P934" s="163">
        <v>0</v>
      </c>
      <c r="Q934" s="146" t="s">
        <v>186</v>
      </c>
      <c r="T934" s="130"/>
    </row>
    <row r="935" spans="1:20" ht="10.7" customHeight="1" x14ac:dyDescent="0.2">
      <c r="A935" s="122"/>
      <c r="B935" s="161" t="s">
        <v>98</v>
      </c>
      <c r="C935" s="162">
        <v>34.799999999999997</v>
      </c>
      <c r="D935" s="163">
        <v>34.799999999999997</v>
      </c>
      <c r="E935" s="163">
        <v>0</v>
      </c>
      <c r="F935" s="163">
        <v>0</v>
      </c>
      <c r="G935" s="164">
        <v>34.799999999999997</v>
      </c>
      <c r="H935" s="163">
        <v>0</v>
      </c>
      <c r="I935" s="165">
        <v>0</v>
      </c>
      <c r="J935" s="164">
        <v>34.799999999999997</v>
      </c>
      <c r="K935" s="163">
        <v>0</v>
      </c>
      <c r="L935" s="163">
        <v>0</v>
      </c>
      <c r="M935" s="163">
        <v>0</v>
      </c>
      <c r="N935" s="163">
        <v>0</v>
      </c>
      <c r="O935" s="163">
        <v>0</v>
      </c>
      <c r="P935" s="163">
        <v>0</v>
      </c>
      <c r="Q935" s="146" t="s">
        <v>186</v>
      </c>
      <c r="T935" s="130"/>
    </row>
    <row r="936" spans="1:20" ht="10.7" customHeight="1" x14ac:dyDescent="0.2">
      <c r="A936" s="122"/>
      <c r="B936" s="161" t="s">
        <v>99</v>
      </c>
      <c r="C936" s="162">
        <v>5.5</v>
      </c>
      <c r="D936" s="163">
        <v>5.5</v>
      </c>
      <c r="E936" s="163">
        <v>0</v>
      </c>
      <c r="F936" s="163">
        <v>0</v>
      </c>
      <c r="G936" s="164">
        <v>5.5</v>
      </c>
      <c r="H936" s="163">
        <v>0</v>
      </c>
      <c r="I936" s="165">
        <v>0</v>
      </c>
      <c r="J936" s="164">
        <v>5.5</v>
      </c>
      <c r="K936" s="163">
        <v>0</v>
      </c>
      <c r="L936" s="163">
        <v>0</v>
      </c>
      <c r="M936" s="163">
        <v>0</v>
      </c>
      <c r="N936" s="163">
        <v>0</v>
      </c>
      <c r="O936" s="163">
        <v>0</v>
      </c>
      <c r="P936" s="163">
        <v>0</v>
      </c>
      <c r="Q936" s="146" t="s">
        <v>186</v>
      </c>
      <c r="T936" s="130"/>
    </row>
    <row r="937" spans="1:20" ht="10.7" customHeight="1" x14ac:dyDescent="0.2">
      <c r="A937" s="122"/>
      <c r="B937" s="161" t="s">
        <v>100</v>
      </c>
      <c r="C937" s="162">
        <v>0.5</v>
      </c>
      <c r="D937" s="163">
        <v>0.5</v>
      </c>
      <c r="E937" s="163">
        <v>0</v>
      </c>
      <c r="F937" s="163">
        <v>0</v>
      </c>
      <c r="G937" s="164">
        <v>0.5</v>
      </c>
      <c r="H937" s="163">
        <v>0</v>
      </c>
      <c r="I937" s="165">
        <v>0</v>
      </c>
      <c r="J937" s="164">
        <v>0.5</v>
      </c>
      <c r="K937" s="163">
        <v>0</v>
      </c>
      <c r="L937" s="163">
        <v>0</v>
      </c>
      <c r="M937" s="163">
        <v>0</v>
      </c>
      <c r="N937" s="163">
        <v>0</v>
      </c>
      <c r="O937" s="163">
        <v>0</v>
      </c>
      <c r="P937" s="163">
        <v>0</v>
      </c>
      <c r="Q937" s="146" t="s">
        <v>186</v>
      </c>
      <c r="T937" s="130"/>
    </row>
    <row r="938" spans="1:20" ht="10.7" customHeight="1" x14ac:dyDescent="0.2">
      <c r="A938" s="122"/>
      <c r="B938" s="161" t="s">
        <v>101</v>
      </c>
      <c r="C938" s="162">
        <v>0.1</v>
      </c>
      <c r="D938" s="163">
        <v>0.1</v>
      </c>
      <c r="E938" s="163">
        <v>0</v>
      </c>
      <c r="F938" s="163">
        <v>0</v>
      </c>
      <c r="G938" s="164">
        <v>0.1</v>
      </c>
      <c r="H938" s="163">
        <v>0</v>
      </c>
      <c r="I938" s="165">
        <v>0</v>
      </c>
      <c r="J938" s="164">
        <v>0.1</v>
      </c>
      <c r="K938" s="163">
        <v>0</v>
      </c>
      <c r="L938" s="163">
        <v>0</v>
      </c>
      <c r="M938" s="163">
        <v>0</v>
      </c>
      <c r="N938" s="163">
        <v>0</v>
      </c>
      <c r="O938" s="163">
        <v>0</v>
      </c>
      <c r="P938" s="163">
        <v>0</v>
      </c>
      <c r="Q938" s="146" t="s">
        <v>186</v>
      </c>
      <c r="T938" s="130"/>
    </row>
    <row r="939" spans="1:20" ht="10.7" customHeight="1" x14ac:dyDescent="0.2">
      <c r="A939" s="122"/>
      <c r="B939" s="161" t="s">
        <v>102</v>
      </c>
      <c r="C939" s="162">
        <v>2.2000000000000002</v>
      </c>
      <c r="D939" s="163">
        <v>2.2000000000000002</v>
      </c>
      <c r="E939" s="163">
        <v>0</v>
      </c>
      <c r="F939" s="163">
        <v>0</v>
      </c>
      <c r="G939" s="164">
        <v>2.2000000000000002</v>
      </c>
      <c r="H939" s="163">
        <v>0</v>
      </c>
      <c r="I939" s="165">
        <v>0</v>
      </c>
      <c r="J939" s="164">
        <v>2.2000000000000002</v>
      </c>
      <c r="K939" s="163">
        <v>0</v>
      </c>
      <c r="L939" s="163">
        <v>0</v>
      </c>
      <c r="M939" s="163">
        <v>0</v>
      </c>
      <c r="N939" s="163">
        <v>0</v>
      </c>
      <c r="O939" s="163">
        <v>0</v>
      </c>
      <c r="P939" s="163">
        <v>0</v>
      </c>
      <c r="Q939" s="146" t="s">
        <v>186</v>
      </c>
      <c r="T939" s="130"/>
    </row>
    <row r="940" spans="1:20" ht="10.7" customHeight="1" x14ac:dyDescent="0.2">
      <c r="A940" s="122"/>
      <c r="B940" s="161" t="s">
        <v>103</v>
      </c>
      <c r="C940" s="162">
        <v>1</v>
      </c>
      <c r="D940" s="163">
        <v>1</v>
      </c>
      <c r="E940" s="163">
        <v>0</v>
      </c>
      <c r="F940" s="163">
        <v>0</v>
      </c>
      <c r="G940" s="164">
        <v>1</v>
      </c>
      <c r="H940" s="163">
        <v>0</v>
      </c>
      <c r="I940" s="165">
        <v>0</v>
      </c>
      <c r="J940" s="164">
        <v>1</v>
      </c>
      <c r="K940" s="163">
        <v>0</v>
      </c>
      <c r="L940" s="163">
        <v>0</v>
      </c>
      <c r="M940" s="163">
        <v>0</v>
      </c>
      <c r="N940" s="163">
        <v>0</v>
      </c>
      <c r="O940" s="163">
        <v>0</v>
      </c>
      <c r="P940" s="163">
        <v>0</v>
      </c>
      <c r="Q940" s="146" t="s">
        <v>186</v>
      </c>
      <c r="T940" s="130"/>
    </row>
    <row r="941" spans="1:20" ht="10.7" customHeight="1" x14ac:dyDescent="0.2">
      <c r="A941" s="122"/>
      <c r="B941" s="1" t="s">
        <v>104</v>
      </c>
      <c r="C941" s="162">
        <v>0</v>
      </c>
      <c r="D941" s="163">
        <v>0</v>
      </c>
      <c r="E941" s="163">
        <v>0</v>
      </c>
      <c r="F941" s="163">
        <v>0</v>
      </c>
      <c r="G941" s="164">
        <v>0</v>
      </c>
      <c r="H941" s="163">
        <v>0</v>
      </c>
      <c r="I941" s="165" t="s">
        <v>119</v>
      </c>
      <c r="J941" s="164">
        <v>0</v>
      </c>
      <c r="K941" s="163">
        <v>0</v>
      </c>
      <c r="L941" s="163">
        <v>0</v>
      </c>
      <c r="M941" s="163">
        <v>0</v>
      </c>
      <c r="N941" s="163">
        <v>0</v>
      </c>
      <c r="O941" s="163" t="s">
        <v>42</v>
      </c>
      <c r="P941" s="163">
        <v>0</v>
      </c>
      <c r="Q941" s="146">
        <v>0</v>
      </c>
      <c r="T941" s="130"/>
    </row>
    <row r="942" spans="1:20" ht="10.7" customHeight="1" x14ac:dyDescent="0.2">
      <c r="A942" s="122"/>
      <c r="B942" s="168" t="s">
        <v>106</v>
      </c>
      <c r="C942" s="172">
        <v>722.3</v>
      </c>
      <c r="D942" s="208">
        <v>722.29999999999984</v>
      </c>
      <c r="E942" s="208">
        <v>0</v>
      </c>
      <c r="F942" s="163">
        <v>0</v>
      </c>
      <c r="G942" s="164">
        <v>722.29999999999984</v>
      </c>
      <c r="H942" s="163">
        <v>112.24199999999999</v>
      </c>
      <c r="I942" s="165">
        <v>15.539526512529422</v>
      </c>
      <c r="J942" s="164">
        <v>610.05799999999988</v>
      </c>
      <c r="K942" s="163">
        <v>5.1280000000000143</v>
      </c>
      <c r="L942" s="163">
        <v>3.5909999999999798</v>
      </c>
      <c r="M942" s="163">
        <v>8.376000000000019</v>
      </c>
      <c r="N942" s="163">
        <v>5.5519999999999925</v>
      </c>
      <c r="O942" s="163">
        <v>0.76865568323411237</v>
      </c>
      <c r="P942" s="163">
        <v>5.6617500000000014</v>
      </c>
      <c r="Q942" s="146" t="s">
        <v>186</v>
      </c>
      <c r="T942" s="130"/>
    </row>
    <row r="943" spans="1:20" ht="10.7" customHeight="1" x14ac:dyDescent="0.2">
      <c r="A943" s="122"/>
      <c r="B943" s="168"/>
      <c r="C943" s="162"/>
      <c r="D943" s="163"/>
      <c r="E943" s="163"/>
      <c r="F943" s="163"/>
      <c r="G943" s="164"/>
      <c r="H943" s="163"/>
      <c r="I943" s="165"/>
      <c r="J943" s="164"/>
      <c r="K943" s="163"/>
      <c r="L943" s="163"/>
      <c r="M943" s="163"/>
      <c r="N943" s="163"/>
      <c r="O943" s="163"/>
      <c r="P943" s="163"/>
      <c r="Q943" s="146"/>
      <c r="T943" s="130"/>
    </row>
    <row r="944" spans="1:20" ht="10.7" customHeight="1" x14ac:dyDescent="0.2">
      <c r="A944" s="122"/>
      <c r="B944" s="161" t="s">
        <v>107</v>
      </c>
      <c r="C944" s="162">
        <v>0.2</v>
      </c>
      <c r="D944" s="163">
        <v>0.2</v>
      </c>
      <c r="E944" s="163">
        <v>0</v>
      </c>
      <c r="F944" s="163">
        <v>0</v>
      </c>
      <c r="G944" s="164">
        <v>0.2</v>
      </c>
      <c r="H944" s="163">
        <v>0</v>
      </c>
      <c r="I944" s="165">
        <v>0</v>
      </c>
      <c r="J944" s="164">
        <v>0.2</v>
      </c>
      <c r="K944" s="163">
        <v>0</v>
      </c>
      <c r="L944" s="163">
        <v>0</v>
      </c>
      <c r="M944" s="163">
        <v>0</v>
      </c>
      <c r="N944" s="163">
        <v>0</v>
      </c>
      <c r="O944" s="163">
        <v>0</v>
      </c>
      <c r="P944" s="163">
        <v>0</v>
      </c>
      <c r="Q944" s="146" t="s">
        <v>186</v>
      </c>
      <c r="T944" s="130"/>
    </row>
    <row r="945" spans="1:20" ht="10.7" customHeight="1" x14ac:dyDescent="0.2">
      <c r="A945" s="122"/>
      <c r="B945" s="161" t="s">
        <v>108</v>
      </c>
      <c r="C945" s="162">
        <v>0.30000000000000004</v>
      </c>
      <c r="D945" s="162">
        <v>0.30000000000000004</v>
      </c>
      <c r="E945" s="173">
        <v>0</v>
      </c>
      <c r="F945" s="163">
        <v>0</v>
      </c>
      <c r="G945" s="164">
        <v>0.30000000000000004</v>
      </c>
      <c r="H945" s="163">
        <v>0</v>
      </c>
      <c r="I945" s="165">
        <v>0</v>
      </c>
      <c r="J945" s="164">
        <v>0.30000000000000004</v>
      </c>
      <c r="K945" s="163">
        <v>0</v>
      </c>
      <c r="L945" s="163">
        <v>0</v>
      </c>
      <c r="M945" s="163">
        <v>0</v>
      </c>
      <c r="N945" s="163">
        <v>0</v>
      </c>
      <c r="O945" s="163">
        <v>0</v>
      </c>
      <c r="P945" s="163">
        <v>0</v>
      </c>
      <c r="Q945" s="146" t="s">
        <v>186</v>
      </c>
      <c r="T945" s="130"/>
    </row>
    <row r="946" spans="1:20" ht="10.7" customHeight="1" x14ac:dyDescent="0.2">
      <c r="A946" s="122"/>
      <c r="B946" s="174" t="s">
        <v>109</v>
      </c>
      <c r="C946" s="162">
        <v>2</v>
      </c>
      <c r="D946" s="162">
        <v>2</v>
      </c>
      <c r="E946" s="173">
        <v>0</v>
      </c>
      <c r="F946" s="163">
        <v>0</v>
      </c>
      <c r="G946" s="164">
        <v>2</v>
      </c>
      <c r="H946" s="163">
        <v>0</v>
      </c>
      <c r="I946" s="165">
        <v>0</v>
      </c>
      <c r="J946" s="164">
        <v>2</v>
      </c>
      <c r="K946" s="163">
        <v>0</v>
      </c>
      <c r="L946" s="163">
        <v>0</v>
      </c>
      <c r="M946" s="163">
        <v>0</v>
      </c>
      <c r="N946" s="163">
        <v>0</v>
      </c>
      <c r="O946" s="163">
        <v>0</v>
      </c>
      <c r="P946" s="163">
        <v>0</v>
      </c>
      <c r="Q946" s="146" t="s">
        <v>186</v>
      </c>
      <c r="T946" s="130"/>
    </row>
    <row r="947" spans="1:20" ht="10.7" customHeight="1" x14ac:dyDescent="0.2">
      <c r="A947" s="122"/>
      <c r="B947" s="174"/>
      <c r="C947" s="162"/>
      <c r="D947" s="163"/>
      <c r="E947" s="163"/>
      <c r="F947" s="163"/>
      <c r="G947" s="164"/>
      <c r="H947" s="163"/>
      <c r="I947" s="165"/>
      <c r="J947" s="164"/>
      <c r="K947" s="163"/>
      <c r="L947" s="163"/>
      <c r="M947" s="163"/>
      <c r="N947" s="163"/>
      <c r="O947" s="163"/>
      <c r="P947" s="163"/>
      <c r="Q947" s="146"/>
      <c r="T947" s="130"/>
    </row>
    <row r="948" spans="1:20" ht="10.7" customHeight="1" x14ac:dyDescent="0.2">
      <c r="A948" s="122"/>
      <c r="B948" s="174" t="s">
        <v>111</v>
      </c>
      <c r="C948" s="162"/>
      <c r="D948" s="163">
        <v>0</v>
      </c>
      <c r="E948" s="163"/>
      <c r="F948" s="163"/>
      <c r="G948" s="164">
        <v>0</v>
      </c>
      <c r="H948" s="163"/>
      <c r="I948" s="165"/>
      <c r="J948" s="164">
        <v>0</v>
      </c>
      <c r="K948" s="163"/>
      <c r="L948" s="163"/>
      <c r="M948" s="163"/>
      <c r="N948" s="163"/>
      <c r="O948" s="163"/>
      <c r="P948" s="163"/>
      <c r="Q948" s="146"/>
      <c r="T948" s="130"/>
    </row>
    <row r="949" spans="1:20" ht="10.7" customHeight="1" x14ac:dyDescent="0.2">
      <c r="A949" s="122"/>
      <c r="B949" s="175" t="s">
        <v>112</v>
      </c>
      <c r="C949" s="176">
        <v>724.8</v>
      </c>
      <c r="D949" s="201">
        <v>724.79999999999984</v>
      </c>
      <c r="E949" s="177">
        <v>0</v>
      </c>
      <c r="F949" s="180">
        <v>0</v>
      </c>
      <c r="G949" s="189">
        <v>724.79999999999984</v>
      </c>
      <c r="H949" s="180">
        <v>112.24199999999999</v>
      </c>
      <c r="I949" s="179">
        <v>15.485927152317883</v>
      </c>
      <c r="J949" s="189">
        <v>612.55799999999988</v>
      </c>
      <c r="K949" s="180">
        <v>5.1280000000000143</v>
      </c>
      <c r="L949" s="180">
        <v>3.5909999999999798</v>
      </c>
      <c r="M949" s="180">
        <v>8.376000000000019</v>
      </c>
      <c r="N949" s="180">
        <v>5.5519999999999925</v>
      </c>
      <c r="O949" s="180">
        <v>0.76600441501103667</v>
      </c>
      <c r="P949" s="190">
        <v>5.6617500000000014</v>
      </c>
      <c r="Q949" s="153" t="s">
        <v>186</v>
      </c>
      <c r="T949" s="130"/>
    </row>
    <row r="950" spans="1:20" ht="10.7" customHeight="1" x14ac:dyDescent="0.2">
      <c r="A950" s="122"/>
      <c r="B950" s="212"/>
      <c r="C950" s="173"/>
      <c r="D950" s="206"/>
      <c r="E950" s="163"/>
      <c r="F950" s="163"/>
      <c r="G950" s="164"/>
      <c r="H950" s="163"/>
      <c r="I950" s="165"/>
      <c r="J950" s="164"/>
      <c r="K950" s="163"/>
      <c r="L950" s="163"/>
      <c r="M950" s="163"/>
      <c r="N950" s="163"/>
      <c r="O950" s="163"/>
      <c r="P950" s="163"/>
      <c r="Q950" s="182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43166</v>
      </c>
      <c r="L954" s="151">
        <v>43173</v>
      </c>
      <c r="M954" s="151">
        <v>43180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6"/>
      <c r="C956" s="193" t="s">
        <v>167</v>
      </c>
      <c r="D956" s="193"/>
      <c r="E956" s="193"/>
      <c r="F956" s="193"/>
      <c r="G956" s="193"/>
      <c r="H956" s="193"/>
      <c r="I956" s="193"/>
      <c r="J956" s="193"/>
      <c r="K956" s="193"/>
      <c r="L956" s="193"/>
      <c r="M956" s="193"/>
      <c r="N956" s="193"/>
      <c r="O956" s="193"/>
      <c r="P956" s="194"/>
      <c r="Q956" s="145"/>
      <c r="T956" s="130"/>
    </row>
    <row r="957" spans="1:20" ht="10.7" customHeight="1" x14ac:dyDescent="0.2">
      <c r="A957" s="122"/>
      <c r="B957" s="161" t="s">
        <v>80</v>
      </c>
      <c r="C957" s="162">
        <v>0</v>
      </c>
      <c r="D957" s="206">
        <v>0</v>
      </c>
      <c r="E957" s="163">
        <v>0</v>
      </c>
      <c r="F957" s="163">
        <v>0</v>
      </c>
      <c r="G957" s="164">
        <v>0</v>
      </c>
      <c r="H957" s="163">
        <v>25.17</v>
      </c>
      <c r="I957" s="165" t="s">
        <v>119</v>
      </c>
      <c r="J957" s="164">
        <v>-25.17</v>
      </c>
      <c r="K957" s="163">
        <v>2.6059999999999999</v>
      </c>
      <c r="L957" s="163">
        <v>6.782</v>
      </c>
      <c r="M957" s="163">
        <v>3.8599999999999994</v>
      </c>
      <c r="N957" s="163">
        <v>3.179000000000002</v>
      </c>
      <c r="O957" s="163" t="s">
        <v>42</v>
      </c>
      <c r="P957" s="163">
        <v>4.1067499999999999</v>
      </c>
      <c r="Q957" s="146">
        <v>0</v>
      </c>
      <c r="T957" s="130"/>
    </row>
    <row r="958" spans="1:20" ht="10.7" customHeight="1" x14ac:dyDescent="0.2">
      <c r="A958" s="122"/>
      <c r="B958" s="161" t="s">
        <v>81</v>
      </c>
      <c r="C958" s="162">
        <v>0</v>
      </c>
      <c r="D958" s="206">
        <v>0</v>
      </c>
      <c r="E958" s="163">
        <v>0</v>
      </c>
      <c r="F958" s="163">
        <v>0</v>
      </c>
      <c r="G958" s="164">
        <v>0</v>
      </c>
      <c r="H958" s="163">
        <v>2.5489999999999999</v>
      </c>
      <c r="I958" s="165" t="s">
        <v>119</v>
      </c>
      <c r="J958" s="164">
        <v>-2.5489999999999999</v>
      </c>
      <c r="K958" s="163">
        <v>0</v>
      </c>
      <c r="L958" s="163">
        <v>0</v>
      </c>
      <c r="M958" s="163">
        <v>0</v>
      </c>
      <c r="N958" s="163">
        <v>0</v>
      </c>
      <c r="O958" s="163" t="s">
        <v>42</v>
      </c>
      <c r="P958" s="163">
        <v>0</v>
      </c>
      <c r="Q958" s="146">
        <v>0</v>
      </c>
      <c r="T958" s="130"/>
    </row>
    <row r="959" spans="1:20" ht="10.7" customHeight="1" x14ac:dyDescent="0.2">
      <c r="A959" s="122"/>
      <c r="B959" s="161" t="s">
        <v>82</v>
      </c>
      <c r="C959" s="162">
        <v>0</v>
      </c>
      <c r="D959" s="206">
        <v>0</v>
      </c>
      <c r="E959" s="163">
        <v>0</v>
      </c>
      <c r="F959" s="163">
        <v>0</v>
      </c>
      <c r="G959" s="164">
        <v>0</v>
      </c>
      <c r="H959" s="163">
        <v>4.0019999999999998</v>
      </c>
      <c r="I959" s="165" t="s">
        <v>119</v>
      </c>
      <c r="J959" s="164">
        <v>-4.0019999999999998</v>
      </c>
      <c r="K959" s="163">
        <v>0.10699999999999976</v>
      </c>
      <c r="L959" s="163">
        <v>0.26500000000000012</v>
      </c>
      <c r="M959" s="163">
        <v>2.4000000000000021E-2</v>
      </c>
      <c r="N959" s="163">
        <v>1.6669999999999998</v>
      </c>
      <c r="O959" s="163" t="s">
        <v>42</v>
      </c>
      <c r="P959" s="163">
        <v>0.51574999999999993</v>
      </c>
      <c r="Q959" s="146">
        <v>0</v>
      </c>
      <c r="T959" s="130"/>
    </row>
    <row r="960" spans="1:20" ht="10.7" customHeight="1" x14ac:dyDescent="0.2">
      <c r="A960" s="122"/>
      <c r="B960" s="161" t="s">
        <v>83</v>
      </c>
      <c r="C960" s="162">
        <v>0</v>
      </c>
      <c r="D960" s="206">
        <v>0</v>
      </c>
      <c r="E960" s="163">
        <v>0</v>
      </c>
      <c r="F960" s="163">
        <v>0</v>
      </c>
      <c r="G960" s="164">
        <v>0</v>
      </c>
      <c r="H960" s="163">
        <v>1.2529999999999999</v>
      </c>
      <c r="I960" s="165" t="s">
        <v>119</v>
      </c>
      <c r="J960" s="164">
        <v>-1.2529999999999999</v>
      </c>
      <c r="K960" s="163">
        <v>0.159</v>
      </c>
      <c r="L960" s="163">
        <v>0</v>
      </c>
      <c r="M960" s="163">
        <v>0</v>
      </c>
      <c r="N960" s="163">
        <v>1.0939999999999999</v>
      </c>
      <c r="O960" s="163" t="s">
        <v>42</v>
      </c>
      <c r="P960" s="163">
        <v>0.31324999999999997</v>
      </c>
      <c r="Q960" s="146">
        <v>0</v>
      </c>
      <c r="T960" s="130"/>
    </row>
    <row r="961" spans="1:20" ht="10.7" customHeight="1" x14ac:dyDescent="0.2">
      <c r="A961" s="122"/>
      <c r="B961" s="161" t="s">
        <v>84</v>
      </c>
      <c r="C961" s="162">
        <v>0</v>
      </c>
      <c r="D961" s="206">
        <v>0</v>
      </c>
      <c r="E961" s="163">
        <v>0</v>
      </c>
      <c r="F961" s="163">
        <v>0</v>
      </c>
      <c r="G961" s="164">
        <v>0</v>
      </c>
      <c r="H961" s="163">
        <v>0</v>
      </c>
      <c r="I961" s="165" t="s">
        <v>119</v>
      </c>
      <c r="J961" s="164">
        <v>0</v>
      </c>
      <c r="K961" s="163">
        <v>0</v>
      </c>
      <c r="L961" s="163">
        <v>0</v>
      </c>
      <c r="M961" s="163">
        <v>0</v>
      </c>
      <c r="N961" s="163">
        <v>0</v>
      </c>
      <c r="O961" s="163" t="s">
        <v>42</v>
      </c>
      <c r="P961" s="163">
        <v>0</v>
      </c>
      <c r="Q961" s="146">
        <v>0</v>
      </c>
      <c r="T961" s="130"/>
    </row>
    <row r="962" spans="1:20" ht="10.7" customHeight="1" x14ac:dyDescent="0.2">
      <c r="A962" s="122"/>
      <c r="B962" s="161" t="s">
        <v>85</v>
      </c>
      <c r="C962" s="162">
        <v>0</v>
      </c>
      <c r="D962" s="206">
        <v>0</v>
      </c>
      <c r="E962" s="163">
        <v>0</v>
      </c>
      <c r="F962" s="163">
        <v>0</v>
      </c>
      <c r="G962" s="164">
        <v>0</v>
      </c>
      <c r="H962" s="163">
        <v>2.5000000000000001E-2</v>
      </c>
      <c r="I962" s="165" t="s">
        <v>119</v>
      </c>
      <c r="J962" s="164">
        <v>-2.5000000000000001E-2</v>
      </c>
      <c r="K962" s="163">
        <v>0</v>
      </c>
      <c r="L962" s="163">
        <v>1.0000000000000009E-3</v>
      </c>
      <c r="M962" s="163">
        <v>0</v>
      </c>
      <c r="N962" s="163">
        <v>0</v>
      </c>
      <c r="O962" s="163" t="s">
        <v>42</v>
      </c>
      <c r="P962" s="163">
        <v>2.5000000000000022E-4</v>
      </c>
      <c r="Q962" s="146">
        <v>0</v>
      </c>
      <c r="T962" s="130"/>
    </row>
    <row r="963" spans="1:20" ht="10.7" customHeight="1" x14ac:dyDescent="0.2">
      <c r="A963" s="122"/>
      <c r="B963" s="161" t="s">
        <v>86</v>
      </c>
      <c r="C963" s="162">
        <v>0</v>
      </c>
      <c r="D963" s="206">
        <v>0</v>
      </c>
      <c r="E963" s="163">
        <v>0</v>
      </c>
      <c r="F963" s="163">
        <v>0</v>
      </c>
      <c r="G963" s="164">
        <v>0</v>
      </c>
      <c r="H963" s="163">
        <v>3.496</v>
      </c>
      <c r="I963" s="165" t="s">
        <v>119</v>
      </c>
      <c r="J963" s="164">
        <v>-3.496</v>
      </c>
      <c r="K963" s="163">
        <v>2.0340000000000003</v>
      </c>
      <c r="L963" s="163">
        <v>0.71700000000000008</v>
      </c>
      <c r="M963" s="163">
        <v>0.43399999999999972</v>
      </c>
      <c r="N963" s="163">
        <v>0.21700000000000008</v>
      </c>
      <c r="O963" s="163" t="s">
        <v>42</v>
      </c>
      <c r="P963" s="163">
        <v>0.85050000000000003</v>
      </c>
      <c r="Q963" s="146">
        <v>0</v>
      </c>
      <c r="T963" s="130"/>
    </row>
    <row r="964" spans="1:20" ht="10.7" customHeight="1" x14ac:dyDescent="0.2">
      <c r="A964" s="122"/>
      <c r="B964" s="161" t="s">
        <v>87</v>
      </c>
      <c r="C964" s="162">
        <v>0</v>
      </c>
      <c r="D964" s="206">
        <v>0</v>
      </c>
      <c r="E964" s="163">
        <v>0</v>
      </c>
      <c r="F964" s="163">
        <v>0</v>
      </c>
      <c r="G964" s="164">
        <v>0</v>
      </c>
      <c r="H964" s="163">
        <v>0</v>
      </c>
      <c r="I964" s="165" t="s">
        <v>119</v>
      </c>
      <c r="J964" s="164">
        <v>0</v>
      </c>
      <c r="K964" s="163">
        <v>0</v>
      </c>
      <c r="L964" s="163">
        <v>0</v>
      </c>
      <c r="M964" s="163">
        <v>0</v>
      </c>
      <c r="N964" s="163">
        <v>0</v>
      </c>
      <c r="O964" s="163" t="s">
        <v>42</v>
      </c>
      <c r="P964" s="163">
        <v>0</v>
      </c>
      <c r="Q964" s="146" t="s">
        <v>162</v>
      </c>
      <c r="T964" s="130"/>
    </row>
    <row r="965" spans="1:20" ht="10.7" customHeight="1" x14ac:dyDescent="0.2">
      <c r="A965" s="122"/>
      <c r="B965" s="161" t="s">
        <v>88</v>
      </c>
      <c r="C965" s="162">
        <v>0</v>
      </c>
      <c r="D965" s="206">
        <v>0</v>
      </c>
      <c r="E965" s="163">
        <v>0</v>
      </c>
      <c r="F965" s="163">
        <v>0</v>
      </c>
      <c r="G965" s="164">
        <v>0</v>
      </c>
      <c r="H965" s="163">
        <v>0</v>
      </c>
      <c r="I965" s="165" t="s">
        <v>119</v>
      </c>
      <c r="J965" s="164">
        <v>0</v>
      </c>
      <c r="K965" s="163">
        <v>0</v>
      </c>
      <c r="L965" s="163">
        <v>0</v>
      </c>
      <c r="M965" s="163">
        <v>0</v>
      </c>
      <c r="N965" s="163">
        <v>0</v>
      </c>
      <c r="O965" s="163" t="s">
        <v>42</v>
      </c>
      <c r="P965" s="163">
        <v>0</v>
      </c>
      <c r="Q965" s="146" t="s">
        <v>162</v>
      </c>
      <c r="T965" s="130"/>
    </row>
    <row r="966" spans="1:20" ht="10.7" customHeight="1" x14ac:dyDescent="0.2">
      <c r="A966" s="122"/>
      <c r="B966" s="161" t="s">
        <v>89</v>
      </c>
      <c r="C966" s="162">
        <v>0</v>
      </c>
      <c r="D966" s="206">
        <v>0</v>
      </c>
      <c r="E966" s="163">
        <v>0</v>
      </c>
      <c r="F966" s="163">
        <v>0</v>
      </c>
      <c r="G966" s="164">
        <v>0</v>
      </c>
      <c r="H966" s="163">
        <v>0.24299999999999999</v>
      </c>
      <c r="I966" s="165" t="s">
        <v>119</v>
      </c>
      <c r="J966" s="164">
        <v>-0.24299999999999999</v>
      </c>
      <c r="K966" s="163">
        <v>0.24299999999999999</v>
      </c>
      <c r="L966" s="163">
        <v>0</v>
      </c>
      <c r="M966" s="163">
        <v>0</v>
      </c>
      <c r="N966" s="163">
        <v>0</v>
      </c>
      <c r="O966" s="163" t="s">
        <v>42</v>
      </c>
      <c r="P966" s="163">
        <v>6.0749999999999998E-2</v>
      </c>
      <c r="Q966" s="146"/>
      <c r="T966" s="130"/>
    </row>
    <row r="967" spans="1:20" ht="10.7" customHeight="1" x14ac:dyDescent="0.2">
      <c r="A967" s="122"/>
      <c r="B967" s="168" t="s">
        <v>91</v>
      </c>
      <c r="C967" s="162">
        <v>0</v>
      </c>
      <c r="D967" s="206">
        <v>0</v>
      </c>
      <c r="E967" s="163">
        <v>0</v>
      </c>
      <c r="F967" s="163">
        <v>0</v>
      </c>
      <c r="G967" s="164">
        <v>0</v>
      </c>
      <c r="H967" s="163">
        <v>36.738</v>
      </c>
      <c r="I967" s="165" t="s">
        <v>119</v>
      </c>
      <c r="J967" s="164">
        <v>-36.738</v>
      </c>
      <c r="K967" s="163">
        <v>5.149</v>
      </c>
      <c r="L967" s="163">
        <v>7.7650000000000006</v>
      </c>
      <c r="M967" s="163">
        <v>4.3179999999999996</v>
      </c>
      <c r="N967" s="163">
        <v>6.1570000000000018</v>
      </c>
      <c r="O967" s="163" t="s">
        <v>42</v>
      </c>
      <c r="P967" s="169">
        <v>5.8472499999999998</v>
      </c>
      <c r="Q967" s="146">
        <v>0</v>
      </c>
      <c r="T967" s="130"/>
    </row>
    <row r="968" spans="1:20" ht="10.7" customHeight="1" x14ac:dyDescent="0.2">
      <c r="A968" s="122"/>
      <c r="B968" s="168"/>
      <c r="D968" s="206"/>
      <c r="E968" s="163"/>
      <c r="F968" s="163"/>
      <c r="G968" s="164"/>
      <c r="H968" s="163"/>
      <c r="I968" s="165"/>
      <c r="J968" s="164"/>
      <c r="K968" s="163"/>
      <c r="L968" s="163"/>
      <c r="M968" s="163"/>
      <c r="N968" s="163"/>
      <c r="O968" s="163"/>
      <c r="P968" s="163"/>
      <c r="Q968" s="146"/>
      <c r="T968" s="130"/>
    </row>
    <row r="969" spans="1:20" ht="10.7" customHeight="1" x14ac:dyDescent="0.2">
      <c r="A969" s="122"/>
      <c r="B969" s="161" t="s">
        <v>92</v>
      </c>
      <c r="C969" s="162">
        <v>0</v>
      </c>
      <c r="D969" s="206">
        <v>0</v>
      </c>
      <c r="E969" s="163">
        <v>0</v>
      </c>
      <c r="F969" s="163">
        <v>0</v>
      </c>
      <c r="G969" s="164">
        <v>0</v>
      </c>
      <c r="H969" s="163">
        <v>0.98</v>
      </c>
      <c r="I969" s="165" t="s">
        <v>119</v>
      </c>
      <c r="J969" s="164">
        <v>-0.98</v>
      </c>
      <c r="K969" s="163">
        <v>0</v>
      </c>
      <c r="L969" s="163">
        <v>0.92</v>
      </c>
      <c r="M969" s="163">
        <v>0</v>
      </c>
      <c r="N969" s="163">
        <v>5.9999999999999942E-2</v>
      </c>
      <c r="O969" s="163" t="s">
        <v>42</v>
      </c>
      <c r="P969" s="163">
        <v>0.245</v>
      </c>
      <c r="Q969" s="146">
        <v>0</v>
      </c>
      <c r="T969" s="130"/>
    </row>
    <row r="970" spans="1:20" ht="10.7" customHeight="1" x14ac:dyDescent="0.2">
      <c r="A970" s="122"/>
      <c r="B970" s="161" t="s">
        <v>93</v>
      </c>
      <c r="C970" s="162">
        <v>0</v>
      </c>
      <c r="D970" s="206">
        <v>0</v>
      </c>
      <c r="E970" s="163">
        <v>0</v>
      </c>
      <c r="F970" s="163">
        <v>0</v>
      </c>
      <c r="G970" s="164">
        <v>0</v>
      </c>
      <c r="H970" s="163">
        <v>1.3211999999999999</v>
      </c>
      <c r="I970" s="165" t="s">
        <v>119</v>
      </c>
      <c r="J970" s="164">
        <v>-1.3211999999999999</v>
      </c>
      <c r="K970" s="163">
        <v>0.85</v>
      </c>
      <c r="L970" s="163">
        <v>0</v>
      </c>
      <c r="M970" s="163">
        <v>0</v>
      </c>
      <c r="N970" s="163">
        <v>0.42399999999999993</v>
      </c>
      <c r="O970" s="163" t="s">
        <v>42</v>
      </c>
      <c r="P970" s="163">
        <v>0.31850000000000001</v>
      </c>
      <c r="Q970" s="146">
        <v>0</v>
      </c>
      <c r="T970" s="130"/>
    </row>
    <row r="971" spans="1:20" ht="10.7" hidden="1" customHeight="1" x14ac:dyDescent="0.2">
      <c r="A971" s="122"/>
      <c r="B971" s="161" t="s">
        <v>94</v>
      </c>
      <c r="C971" s="162">
        <v>0</v>
      </c>
      <c r="D971" s="206">
        <v>0</v>
      </c>
      <c r="E971" s="163">
        <v>0</v>
      </c>
      <c r="F971" s="163">
        <v>0</v>
      </c>
      <c r="G971" s="164">
        <v>0</v>
      </c>
      <c r="H971" s="163">
        <v>0</v>
      </c>
      <c r="I971" s="165" t="s">
        <v>119</v>
      </c>
      <c r="J971" s="164">
        <v>0</v>
      </c>
      <c r="K971" s="163">
        <v>0</v>
      </c>
      <c r="L971" s="163">
        <v>0</v>
      </c>
      <c r="M971" s="163">
        <v>0</v>
      </c>
      <c r="N971" s="163">
        <v>0</v>
      </c>
      <c r="O971" s="163" t="s">
        <v>42</v>
      </c>
      <c r="P971" s="163">
        <v>0</v>
      </c>
      <c r="Q971" s="146">
        <v>0</v>
      </c>
      <c r="T971" s="130"/>
    </row>
    <row r="972" spans="1:20" ht="10.7" customHeight="1" x14ac:dyDescent="0.2">
      <c r="A972" s="122"/>
      <c r="B972" s="161" t="s">
        <v>95</v>
      </c>
      <c r="C972" s="162">
        <v>0</v>
      </c>
      <c r="D972" s="206">
        <v>0</v>
      </c>
      <c r="E972" s="163">
        <v>0</v>
      </c>
      <c r="F972" s="163">
        <v>0</v>
      </c>
      <c r="G972" s="164">
        <v>0</v>
      </c>
      <c r="H972" s="163">
        <v>0</v>
      </c>
      <c r="I972" s="165" t="s">
        <v>119</v>
      </c>
      <c r="J972" s="164">
        <v>0</v>
      </c>
      <c r="K972" s="163">
        <v>0</v>
      </c>
      <c r="L972" s="163">
        <v>0</v>
      </c>
      <c r="M972" s="163">
        <v>0</v>
      </c>
      <c r="N972" s="163">
        <v>0</v>
      </c>
      <c r="O972" s="163" t="s">
        <v>42</v>
      </c>
      <c r="P972" s="163">
        <v>0</v>
      </c>
      <c r="Q972" s="146">
        <v>0</v>
      </c>
      <c r="T972" s="130"/>
    </row>
    <row r="973" spans="1:20" ht="10.7" customHeight="1" x14ac:dyDescent="0.2">
      <c r="A973" s="122"/>
      <c r="B973" s="161" t="s">
        <v>96</v>
      </c>
      <c r="C973" s="162">
        <v>0</v>
      </c>
      <c r="D973" s="206">
        <v>0</v>
      </c>
      <c r="E973" s="163">
        <v>0</v>
      </c>
      <c r="F973" s="163">
        <v>0</v>
      </c>
      <c r="G973" s="164">
        <v>0</v>
      </c>
      <c r="H973" s="163">
        <v>0.21199999999999999</v>
      </c>
      <c r="I973" s="165" t="s">
        <v>119</v>
      </c>
      <c r="J973" s="164">
        <v>-0.21199999999999999</v>
      </c>
      <c r="K973" s="163">
        <v>0</v>
      </c>
      <c r="L973" s="163">
        <v>0</v>
      </c>
      <c r="M973" s="163">
        <v>0</v>
      </c>
      <c r="N973" s="163">
        <v>0.21199999999999999</v>
      </c>
      <c r="O973" s="163" t="s">
        <v>42</v>
      </c>
      <c r="P973" s="163">
        <v>5.2999999999999999E-2</v>
      </c>
      <c r="Q973" s="146">
        <v>0</v>
      </c>
      <c r="T973" s="130"/>
    </row>
    <row r="974" spans="1:20" ht="10.7" customHeight="1" x14ac:dyDescent="0.2">
      <c r="A974" s="122"/>
      <c r="B974" s="161" t="s">
        <v>97</v>
      </c>
      <c r="C974" s="162">
        <v>0</v>
      </c>
      <c r="D974" s="206">
        <v>0</v>
      </c>
      <c r="E974" s="163">
        <v>0</v>
      </c>
      <c r="F974" s="163">
        <v>0</v>
      </c>
      <c r="G974" s="164">
        <v>0</v>
      </c>
      <c r="H974" s="163">
        <v>0</v>
      </c>
      <c r="I974" s="165" t="s">
        <v>119</v>
      </c>
      <c r="J974" s="164">
        <v>0</v>
      </c>
      <c r="K974" s="163">
        <v>0</v>
      </c>
      <c r="L974" s="163">
        <v>0</v>
      </c>
      <c r="M974" s="163">
        <v>0</v>
      </c>
      <c r="N974" s="163">
        <v>0</v>
      </c>
      <c r="O974" s="163" t="s">
        <v>42</v>
      </c>
      <c r="P974" s="163">
        <v>0</v>
      </c>
      <c r="Q974" s="146">
        <v>0</v>
      </c>
      <c r="T974" s="130"/>
    </row>
    <row r="975" spans="1:20" ht="10.7" customHeight="1" x14ac:dyDescent="0.2">
      <c r="A975" s="122"/>
      <c r="B975" s="161" t="s">
        <v>98</v>
      </c>
      <c r="C975" s="162">
        <v>0</v>
      </c>
      <c r="D975" s="206">
        <v>0</v>
      </c>
      <c r="E975" s="163">
        <v>0</v>
      </c>
      <c r="F975" s="163">
        <v>0</v>
      </c>
      <c r="G975" s="164">
        <v>0</v>
      </c>
      <c r="H975" s="163">
        <v>0</v>
      </c>
      <c r="I975" s="165" t="s">
        <v>119</v>
      </c>
      <c r="J975" s="164">
        <v>0</v>
      </c>
      <c r="K975" s="163">
        <v>0</v>
      </c>
      <c r="L975" s="163">
        <v>0</v>
      </c>
      <c r="M975" s="163">
        <v>0</v>
      </c>
      <c r="N975" s="163">
        <v>0</v>
      </c>
      <c r="O975" s="163" t="s">
        <v>42</v>
      </c>
      <c r="P975" s="163">
        <v>0</v>
      </c>
      <c r="Q975" s="146">
        <v>0</v>
      </c>
      <c r="T975" s="130"/>
    </row>
    <row r="976" spans="1:20" ht="10.7" customHeight="1" x14ac:dyDescent="0.2">
      <c r="A976" s="122"/>
      <c r="B976" s="161" t="s">
        <v>99</v>
      </c>
      <c r="C976" s="162">
        <v>0</v>
      </c>
      <c r="D976" s="206">
        <v>0</v>
      </c>
      <c r="E976" s="163">
        <v>0</v>
      </c>
      <c r="F976" s="163">
        <v>0</v>
      </c>
      <c r="G976" s="164">
        <v>0</v>
      </c>
      <c r="H976" s="163">
        <v>0</v>
      </c>
      <c r="I976" s="165" t="s">
        <v>119</v>
      </c>
      <c r="J976" s="164">
        <v>0</v>
      </c>
      <c r="K976" s="163">
        <v>0</v>
      </c>
      <c r="L976" s="163">
        <v>0</v>
      </c>
      <c r="M976" s="163">
        <v>0</v>
      </c>
      <c r="N976" s="163">
        <v>0</v>
      </c>
      <c r="O976" s="163" t="s">
        <v>42</v>
      </c>
      <c r="P976" s="163">
        <v>0</v>
      </c>
      <c r="Q976" s="146">
        <v>0</v>
      </c>
      <c r="T976" s="130"/>
    </row>
    <row r="977" spans="1:20" ht="10.7" customHeight="1" x14ac:dyDescent="0.2">
      <c r="A977" s="122"/>
      <c r="B977" s="161" t="s">
        <v>100</v>
      </c>
      <c r="C977" s="162">
        <v>0</v>
      </c>
      <c r="D977" s="206">
        <v>0</v>
      </c>
      <c r="E977" s="163">
        <v>0</v>
      </c>
      <c r="F977" s="163">
        <v>0</v>
      </c>
      <c r="G977" s="164">
        <v>0</v>
      </c>
      <c r="H977" s="163">
        <v>0</v>
      </c>
      <c r="I977" s="165" t="s">
        <v>119</v>
      </c>
      <c r="J977" s="164">
        <v>0</v>
      </c>
      <c r="K977" s="163">
        <v>0</v>
      </c>
      <c r="L977" s="163">
        <v>0</v>
      </c>
      <c r="M977" s="163">
        <v>0</v>
      </c>
      <c r="N977" s="163">
        <v>0</v>
      </c>
      <c r="O977" s="163" t="s">
        <v>42</v>
      </c>
      <c r="P977" s="163">
        <v>0</v>
      </c>
      <c r="Q977" s="146">
        <v>0</v>
      </c>
      <c r="T977" s="130"/>
    </row>
    <row r="978" spans="1:20" ht="10.7" customHeight="1" x14ac:dyDescent="0.2">
      <c r="A978" s="122"/>
      <c r="B978" s="161" t="s">
        <v>101</v>
      </c>
      <c r="C978" s="162">
        <v>0</v>
      </c>
      <c r="D978" s="206">
        <v>0</v>
      </c>
      <c r="E978" s="163">
        <v>0</v>
      </c>
      <c r="F978" s="163">
        <v>0</v>
      </c>
      <c r="G978" s="164">
        <v>0</v>
      </c>
      <c r="H978" s="163">
        <v>0</v>
      </c>
      <c r="I978" s="165" t="s">
        <v>119</v>
      </c>
      <c r="J978" s="164">
        <v>0</v>
      </c>
      <c r="K978" s="163">
        <v>0</v>
      </c>
      <c r="L978" s="163">
        <v>0</v>
      </c>
      <c r="M978" s="163">
        <v>0</v>
      </c>
      <c r="N978" s="163">
        <v>0</v>
      </c>
      <c r="O978" s="163" t="s">
        <v>42</v>
      </c>
      <c r="P978" s="163">
        <v>0</v>
      </c>
      <c r="Q978" s="146">
        <v>0</v>
      </c>
      <c r="T978" s="130"/>
    </row>
    <row r="979" spans="1:20" ht="10.7" customHeight="1" x14ac:dyDescent="0.2">
      <c r="A979" s="122"/>
      <c r="B979" s="161" t="s">
        <v>102</v>
      </c>
      <c r="C979" s="162">
        <v>0</v>
      </c>
      <c r="D979" s="206">
        <v>0</v>
      </c>
      <c r="E979" s="163">
        <v>0</v>
      </c>
      <c r="F979" s="163">
        <v>0</v>
      </c>
      <c r="G979" s="164">
        <v>0</v>
      </c>
      <c r="H979" s="163">
        <v>0</v>
      </c>
      <c r="I979" s="165" t="s">
        <v>119</v>
      </c>
      <c r="J979" s="164">
        <v>0</v>
      </c>
      <c r="K979" s="163">
        <v>0</v>
      </c>
      <c r="L979" s="163">
        <v>0</v>
      </c>
      <c r="M979" s="163">
        <v>0</v>
      </c>
      <c r="N979" s="163">
        <v>0</v>
      </c>
      <c r="O979" s="163" t="s">
        <v>42</v>
      </c>
      <c r="P979" s="163">
        <v>0</v>
      </c>
      <c r="Q979" s="146">
        <v>0</v>
      </c>
      <c r="T979" s="130"/>
    </row>
    <row r="980" spans="1:20" ht="10.7" customHeight="1" x14ac:dyDescent="0.2">
      <c r="A980" s="122"/>
      <c r="B980" s="161" t="s">
        <v>103</v>
      </c>
      <c r="C980" s="162">
        <v>0</v>
      </c>
      <c r="D980" s="206">
        <v>0</v>
      </c>
      <c r="E980" s="163">
        <v>0</v>
      </c>
      <c r="F980" s="163">
        <v>0</v>
      </c>
      <c r="G980" s="164">
        <v>0</v>
      </c>
      <c r="H980" s="163">
        <v>0</v>
      </c>
      <c r="I980" s="165" t="s">
        <v>119</v>
      </c>
      <c r="J980" s="164">
        <v>0</v>
      </c>
      <c r="K980" s="163">
        <v>0</v>
      </c>
      <c r="L980" s="163">
        <v>0</v>
      </c>
      <c r="M980" s="163">
        <v>0</v>
      </c>
      <c r="N980" s="163">
        <v>0</v>
      </c>
      <c r="O980" s="163" t="s">
        <v>42</v>
      </c>
      <c r="P980" s="163">
        <v>0</v>
      </c>
      <c r="Q980" s="146">
        <v>0</v>
      </c>
      <c r="T980" s="130"/>
    </row>
    <row r="981" spans="1:20" ht="10.7" customHeight="1" x14ac:dyDescent="0.2">
      <c r="A981" s="122"/>
      <c r="B981" s="1" t="s">
        <v>104</v>
      </c>
      <c r="C981" s="162">
        <v>0</v>
      </c>
      <c r="D981" s="206">
        <v>0</v>
      </c>
      <c r="E981" s="163">
        <v>0</v>
      </c>
      <c r="F981" s="163">
        <v>0</v>
      </c>
      <c r="G981" s="164">
        <v>0</v>
      </c>
      <c r="H981" s="163">
        <v>0</v>
      </c>
      <c r="I981" s="165" t="s">
        <v>119</v>
      </c>
      <c r="J981" s="164">
        <v>0</v>
      </c>
      <c r="K981" s="163">
        <v>0</v>
      </c>
      <c r="L981" s="163">
        <v>0</v>
      </c>
      <c r="M981" s="163">
        <v>0</v>
      </c>
      <c r="N981" s="163">
        <v>0</v>
      </c>
      <c r="O981" s="163" t="s">
        <v>42</v>
      </c>
      <c r="P981" s="163">
        <v>0</v>
      </c>
      <c r="Q981" s="146">
        <v>0</v>
      </c>
      <c r="T981" s="130"/>
    </row>
    <row r="982" spans="1:20" ht="10.7" customHeight="1" x14ac:dyDescent="0.2">
      <c r="A982" s="122"/>
      <c r="B982" s="168" t="s">
        <v>106</v>
      </c>
      <c r="C982" s="172">
        <v>0</v>
      </c>
      <c r="D982" s="206">
        <v>0</v>
      </c>
      <c r="E982" s="163">
        <v>0</v>
      </c>
      <c r="F982" s="163">
        <v>0</v>
      </c>
      <c r="G982" s="164">
        <v>0</v>
      </c>
      <c r="H982" s="163">
        <v>39.251199999999997</v>
      </c>
      <c r="I982" s="165" t="s">
        <v>119</v>
      </c>
      <c r="J982" s="164">
        <v>-39.251199999999997</v>
      </c>
      <c r="K982" s="163">
        <v>5.9990000000000006</v>
      </c>
      <c r="L982" s="163">
        <v>8.6849999999999987</v>
      </c>
      <c r="M982" s="163">
        <v>4.3179999999999978</v>
      </c>
      <c r="N982" s="163">
        <v>6.8530000000000015</v>
      </c>
      <c r="O982" s="163" t="s">
        <v>42</v>
      </c>
      <c r="P982" s="163">
        <v>6.4637499999999992</v>
      </c>
      <c r="Q982" s="146">
        <v>0</v>
      </c>
      <c r="T982" s="130"/>
    </row>
    <row r="983" spans="1:20" ht="10.7" customHeight="1" x14ac:dyDescent="0.2">
      <c r="A983" s="122"/>
      <c r="B983" s="168"/>
      <c r="C983" s="162"/>
      <c r="D983" s="206"/>
      <c r="E983" s="163"/>
      <c r="F983" s="163"/>
      <c r="G983" s="164"/>
      <c r="H983" s="163"/>
      <c r="I983" s="165"/>
      <c r="J983" s="164"/>
      <c r="K983" s="163"/>
      <c r="L983" s="163"/>
      <c r="M983" s="163"/>
      <c r="N983" s="163"/>
      <c r="O983" s="163"/>
      <c r="P983" s="163"/>
      <c r="Q983" s="146"/>
      <c r="T983" s="130"/>
    </row>
    <row r="984" spans="1:20" ht="10.7" customHeight="1" x14ac:dyDescent="0.2">
      <c r="A984" s="122"/>
      <c r="B984" s="161" t="s">
        <v>107</v>
      </c>
      <c r="C984" s="162">
        <v>0</v>
      </c>
      <c r="D984" s="206">
        <v>0</v>
      </c>
      <c r="E984" s="163">
        <v>0</v>
      </c>
      <c r="F984" s="163">
        <v>0</v>
      </c>
      <c r="G984" s="164">
        <v>0</v>
      </c>
      <c r="H984" s="163">
        <v>0</v>
      </c>
      <c r="I984" s="165" t="s">
        <v>119</v>
      </c>
      <c r="J984" s="164">
        <v>0</v>
      </c>
      <c r="K984" s="163">
        <v>0</v>
      </c>
      <c r="L984" s="163">
        <v>0</v>
      </c>
      <c r="M984" s="163">
        <v>0</v>
      </c>
      <c r="N984" s="163">
        <v>0</v>
      </c>
      <c r="O984" s="163" t="s">
        <v>42</v>
      </c>
      <c r="P984" s="163">
        <v>0</v>
      </c>
      <c r="Q984" s="146">
        <v>0</v>
      </c>
      <c r="T984" s="130"/>
    </row>
    <row r="985" spans="1:20" ht="10.7" customHeight="1" x14ac:dyDescent="0.2">
      <c r="A985" s="122"/>
      <c r="B985" s="161" t="s">
        <v>108</v>
      </c>
      <c r="C985" s="162">
        <v>0</v>
      </c>
      <c r="D985" s="162">
        <v>0</v>
      </c>
      <c r="E985" s="173">
        <v>0</v>
      </c>
      <c r="F985" s="163">
        <v>0</v>
      </c>
      <c r="G985" s="164">
        <v>0</v>
      </c>
      <c r="H985" s="163">
        <v>0</v>
      </c>
      <c r="I985" s="165" t="s">
        <v>119</v>
      </c>
      <c r="J985" s="164">
        <v>0</v>
      </c>
      <c r="K985" s="163">
        <v>0</v>
      </c>
      <c r="L985" s="163">
        <v>0</v>
      </c>
      <c r="M985" s="163">
        <v>0</v>
      </c>
      <c r="N985" s="163">
        <v>0</v>
      </c>
      <c r="O985" s="163" t="s">
        <v>42</v>
      </c>
      <c r="P985" s="163">
        <v>0</v>
      </c>
      <c r="Q985" s="146">
        <v>0</v>
      </c>
      <c r="T985" s="130"/>
    </row>
    <row r="986" spans="1:20" ht="10.7" customHeight="1" x14ac:dyDescent="0.2">
      <c r="A986" s="122"/>
      <c r="B986" s="174" t="s">
        <v>109</v>
      </c>
      <c r="C986" s="162">
        <v>0</v>
      </c>
      <c r="D986" s="162">
        <v>0</v>
      </c>
      <c r="E986" s="173">
        <v>0</v>
      </c>
      <c r="F986" s="163">
        <v>0</v>
      </c>
      <c r="G986" s="164">
        <v>0</v>
      </c>
      <c r="H986" s="163">
        <v>0</v>
      </c>
      <c r="I986" s="165" t="s">
        <v>119</v>
      </c>
      <c r="J986" s="164">
        <v>0</v>
      </c>
      <c r="K986" s="163">
        <v>0</v>
      </c>
      <c r="L986" s="163">
        <v>0</v>
      </c>
      <c r="M986" s="163">
        <v>0</v>
      </c>
      <c r="N986" s="163">
        <v>0</v>
      </c>
      <c r="O986" s="163" t="s">
        <v>42</v>
      </c>
      <c r="P986" s="163">
        <v>0</v>
      </c>
      <c r="Q986" s="146">
        <v>0</v>
      </c>
      <c r="T986" s="130"/>
    </row>
    <row r="987" spans="1:20" ht="10.7" customHeight="1" x14ac:dyDescent="0.2">
      <c r="A987" s="122"/>
      <c r="B987" s="174"/>
      <c r="C987" s="162"/>
      <c r="D987" s="163"/>
      <c r="E987" s="163"/>
      <c r="F987" s="163"/>
      <c r="G987" s="164"/>
      <c r="H987" s="163"/>
      <c r="I987" s="165"/>
      <c r="J987" s="164"/>
      <c r="K987" s="163"/>
      <c r="L987" s="163"/>
      <c r="M987" s="163"/>
      <c r="N987" s="163"/>
      <c r="O987" s="163"/>
      <c r="P987" s="163"/>
      <c r="Q987" s="146"/>
      <c r="T987" s="130"/>
    </row>
    <row r="988" spans="1:20" ht="10.7" customHeight="1" x14ac:dyDescent="0.2">
      <c r="A988" s="122"/>
      <c r="B988" s="174" t="s">
        <v>111</v>
      </c>
      <c r="C988" s="162">
        <v>0</v>
      </c>
      <c r="D988" s="163"/>
      <c r="E988" s="163"/>
      <c r="F988" s="163"/>
      <c r="G988" s="164">
        <v>0</v>
      </c>
      <c r="H988" s="163"/>
      <c r="I988" s="165"/>
      <c r="J988" s="164">
        <v>0</v>
      </c>
      <c r="K988" s="163"/>
      <c r="L988" s="163"/>
      <c r="M988" s="163"/>
      <c r="N988" s="163"/>
      <c r="O988" s="163"/>
      <c r="P988" s="163"/>
      <c r="Q988" s="146"/>
      <c r="T988" s="130"/>
    </row>
    <row r="989" spans="1:20" ht="10.7" customHeight="1" x14ac:dyDescent="0.2">
      <c r="A989" s="122"/>
      <c r="B989" s="175" t="s">
        <v>112</v>
      </c>
      <c r="C989" s="176">
        <v>0</v>
      </c>
      <c r="D989" s="180">
        <v>122</v>
      </c>
      <c r="E989" s="180">
        <v>0</v>
      </c>
      <c r="F989" s="180">
        <v>122</v>
      </c>
      <c r="G989" s="189">
        <v>122</v>
      </c>
      <c r="H989" s="180">
        <v>39.251199999999997</v>
      </c>
      <c r="I989" s="179">
        <v>32.173114754098357</v>
      </c>
      <c r="J989" s="189">
        <v>82.748800000000003</v>
      </c>
      <c r="K989" s="180">
        <v>5.9990000000000006</v>
      </c>
      <c r="L989" s="180">
        <v>8.6849999999999987</v>
      </c>
      <c r="M989" s="180">
        <v>4.3179999999999978</v>
      </c>
      <c r="N989" s="180">
        <v>6.8530000000000015</v>
      </c>
      <c r="O989" s="180">
        <v>5.6172131147540991</v>
      </c>
      <c r="P989" s="190">
        <v>6.4637499999999992</v>
      </c>
      <c r="Q989" s="153">
        <v>10.801980274608395</v>
      </c>
      <c r="T989" s="130"/>
    </row>
    <row r="990" spans="1:20" ht="10.7" customHeight="1" x14ac:dyDescent="0.2">
      <c r="A990" s="122"/>
      <c r="B990" s="191" t="s">
        <v>241</v>
      </c>
      <c r="C990" s="181"/>
      <c r="D990" s="163"/>
      <c r="E990" s="163"/>
      <c r="F990" s="163"/>
      <c r="G990" s="164"/>
      <c r="H990" s="163"/>
      <c r="I990" s="2"/>
      <c r="J990" s="164"/>
      <c r="K990" s="163"/>
      <c r="L990" s="163"/>
      <c r="M990" s="163"/>
      <c r="N990" s="163"/>
      <c r="O990" s="163"/>
      <c r="P990" s="163"/>
      <c r="Q990" s="182"/>
      <c r="T990" s="130"/>
    </row>
    <row r="991" spans="1:20" ht="10.7" customHeight="1" x14ac:dyDescent="0.2">
      <c r="A991" s="122"/>
      <c r="B991" s="123" t="s">
        <v>114</v>
      </c>
      <c r="C991" s="181"/>
      <c r="D991" s="135"/>
      <c r="E991" s="183"/>
      <c r="F991" s="183"/>
      <c r="G991" s="184"/>
      <c r="H991" s="183"/>
      <c r="I991" s="163"/>
      <c r="J991" s="184"/>
      <c r="K991" s="185"/>
      <c r="L991" s="185"/>
      <c r="M991" s="185"/>
      <c r="N991" s="185"/>
      <c r="O991" s="173"/>
      <c r="P991" s="183"/>
      <c r="Q991" s="182"/>
      <c r="T991" s="130"/>
    </row>
    <row r="992" spans="1:20" ht="10.7" customHeight="1" x14ac:dyDescent="0.2">
      <c r="A992" s="122"/>
      <c r="B992" s="123"/>
      <c r="C992" s="181"/>
      <c r="D992" s="183"/>
      <c r="E992" s="183"/>
      <c r="F992" s="183"/>
      <c r="G992" s="184"/>
      <c r="H992" s="183"/>
      <c r="I992" s="163"/>
      <c r="J992" s="184"/>
      <c r="K992" s="185"/>
      <c r="L992" s="185"/>
      <c r="M992" s="185"/>
      <c r="N992" s="185"/>
      <c r="O992" s="173"/>
      <c r="P992" s="183"/>
      <c r="Q992" s="182"/>
      <c r="T992" s="130"/>
    </row>
    <row r="993" spans="1:21" ht="10.7" customHeight="1" x14ac:dyDescent="0.2">
      <c r="A993" s="122"/>
      <c r="B993" s="123"/>
      <c r="C993" s="181"/>
      <c r="D993" s="183"/>
      <c r="E993" s="183"/>
      <c r="F993" s="183"/>
      <c r="G993" s="184"/>
      <c r="H993" s="183"/>
      <c r="I993" s="163"/>
      <c r="J993" s="184"/>
      <c r="K993" s="185"/>
      <c r="L993" s="185"/>
      <c r="M993" s="185"/>
      <c r="N993" s="185"/>
      <c r="O993" s="173"/>
      <c r="P993" s="183"/>
      <c r="Q993" s="182"/>
      <c r="T993" s="130"/>
    </row>
    <row r="994" spans="1:21" ht="10.7" customHeight="1" x14ac:dyDescent="0.2">
      <c r="A994" s="122"/>
      <c r="B994" s="123" t="s">
        <v>185</v>
      </c>
      <c r="C994" s="181"/>
      <c r="D994" s="183"/>
      <c r="E994" s="183"/>
      <c r="F994" s="183"/>
      <c r="G994" s="184"/>
      <c r="H994" s="183"/>
      <c r="I994" s="163"/>
      <c r="J994" s="184"/>
      <c r="K994" s="185"/>
      <c r="L994" s="185"/>
      <c r="M994" s="185"/>
      <c r="N994" s="185"/>
      <c r="O994" s="173"/>
      <c r="P994" s="183"/>
      <c r="Q994" s="182"/>
      <c r="T994" s="130"/>
    </row>
    <row r="995" spans="1:21" ht="10.7" customHeight="1" x14ac:dyDescent="0.2">
      <c r="A995" s="122"/>
      <c r="B995" s="131" t="s">
        <v>240</v>
      </c>
      <c r="C995" s="181"/>
      <c r="D995" s="183"/>
      <c r="E995" s="183"/>
      <c r="F995" s="183"/>
      <c r="G995" s="184"/>
      <c r="H995" s="183"/>
      <c r="I995" s="163"/>
      <c r="J995" s="184"/>
      <c r="K995" s="185"/>
      <c r="L995" s="185"/>
      <c r="M995" s="185"/>
      <c r="N995" s="185"/>
      <c r="O995" s="173"/>
      <c r="P995" s="183"/>
      <c r="Q995" s="182"/>
      <c r="T995" s="130"/>
    </row>
    <row r="996" spans="1:21" ht="10.7" customHeight="1" x14ac:dyDescent="0.2">
      <c r="A996" s="122"/>
      <c r="B996" s="123"/>
      <c r="C996" s="181"/>
      <c r="D996" s="183"/>
      <c r="E996" s="183"/>
      <c r="F996" s="183"/>
      <c r="G996" s="184"/>
      <c r="H996" s="183"/>
      <c r="I996" s="163"/>
      <c r="J996" s="184"/>
      <c r="K996" s="185"/>
      <c r="L996" s="185"/>
      <c r="M996" s="185"/>
      <c r="N996" s="185"/>
      <c r="O996" s="173"/>
      <c r="P996" s="183"/>
      <c r="Q996" s="182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202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203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203" t="s">
        <v>74</v>
      </c>
      <c r="J999" s="147" t="s">
        <v>75</v>
      </c>
      <c r="K999" s="151">
        <v>43166</v>
      </c>
      <c r="L999" s="151">
        <v>43173</v>
      </c>
      <c r="M999" s="151">
        <v>43180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204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6"/>
      <c r="C1001" s="193" t="s">
        <v>158</v>
      </c>
      <c r="D1001" s="193"/>
      <c r="E1001" s="193"/>
      <c r="F1001" s="193"/>
      <c r="G1001" s="193"/>
      <c r="H1001" s="193"/>
      <c r="I1001" s="193"/>
      <c r="J1001" s="193"/>
      <c r="K1001" s="193"/>
      <c r="L1001" s="193"/>
      <c r="M1001" s="193"/>
      <c r="N1001" s="193"/>
      <c r="O1001" s="193"/>
      <c r="P1001" s="194"/>
      <c r="Q1001" s="145"/>
      <c r="T1001" s="130"/>
    </row>
    <row r="1002" spans="1:21" ht="10.7" customHeight="1" x14ac:dyDescent="0.2">
      <c r="A1002" s="188"/>
      <c r="B1002" s="161" t="s">
        <v>80</v>
      </c>
      <c r="C1002" s="162">
        <v>1130.8</v>
      </c>
      <c r="D1002" s="206">
        <v>1174.8999999999999</v>
      </c>
      <c r="E1002" s="163">
        <v>7.7999999999999545</v>
      </c>
      <c r="F1002" s="163">
        <v>44.099999999999909</v>
      </c>
      <c r="G1002" s="164">
        <v>1174.8999999999999</v>
      </c>
      <c r="H1002" s="163">
        <v>700.43359999999996</v>
      </c>
      <c r="I1002" s="165">
        <v>59.616443952676832</v>
      </c>
      <c r="J1002" s="164">
        <v>474.46639999999991</v>
      </c>
      <c r="K1002" s="163">
        <v>58.569999999999993</v>
      </c>
      <c r="L1002" s="163">
        <v>52.812000000000012</v>
      </c>
      <c r="M1002" s="163">
        <v>51.048999999999978</v>
      </c>
      <c r="N1002" s="163">
        <v>68.640999999999963</v>
      </c>
      <c r="O1002" s="163">
        <v>5.8422844497404007</v>
      </c>
      <c r="P1002" s="163">
        <v>57.767999999999986</v>
      </c>
      <c r="Q1002" s="146">
        <v>6.213308406037946</v>
      </c>
      <c r="T1002" s="130"/>
      <c r="U1002" s="213"/>
    </row>
    <row r="1003" spans="1:21" ht="10.7" customHeight="1" x14ac:dyDescent="0.2">
      <c r="A1003" s="122"/>
      <c r="B1003" s="161" t="s">
        <v>81</v>
      </c>
      <c r="C1003" s="162">
        <v>224.4</v>
      </c>
      <c r="D1003" s="206">
        <v>224.4</v>
      </c>
      <c r="E1003" s="163">
        <v>0</v>
      </c>
      <c r="F1003" s="163">
        <v>0</v>
      </c>
      <c r="G1003" s="164">
        <v>224.4</v>
      </c>
      <c r="H1003" s="163">
        <v>20.919799999999999</v>
      </c>
      <c r="I1003" s="165">
        <v>9.3225490196078429</v>
      </c>
      <c r="J1003" s="164">
        <v>203.4802</v>
      </c>
      <c r="K1003" s="163">
        <v>0.49830000000000041</v>
      </c>
      <c r="L1003" s="163">
        <v>0.33549999999999969</v>
      </c>
      <c r="M1003" s="163">
        <v>0</v>
      </c>
      <c r="N1003" s="163">
        <v>0</v>
      </c>
      <c r="O1003" s="163">
        <v>0</v>
      </c>
      <c r="P1003" s="163">
        <v>0.20845000000000002</v>
      </c>
      <c r="Q1003" s="146" t="s">
        <v>186</v>
      </c>
      <c r="T1003" s="130"/>
    </row>
    <row r="1004" spans="1:21" ht="10.7" customHeight="1" x14ac:dyDescent="0.2">
      <c r="A1004" s="122"/>
      <c r="B1004" s="161" t="s">
        <v>82</v>
      </c>
      <c r="C1004" s="162">
        <v>245.6</v>
      </c>
      <c r="D1004" s="206">
        <v>253.5</v>
      </c>
      <c r="E1004" s="163">
        <v>-1.0999999999999943</v>
      </c>
      <c r="F1004" s="163">
        <v>7.9000000000000057</v>
      </c>
      <c r="G1004" s="164">
        <v>253.5</v>
      </c>
      <c r="H1004" s="163">
        <v>37.115000000000002</v>
      </c>
      <c r="I1004" s="165">
        <v>14.641025641025641</v>
      </c>
      <c r="J1004" s="164">
        <v>216.38499999999999</v>
      </c>
      <c r="K1004" s="163">
        <v>4.1550000000000002</v>
      </c>
      <c r="L1004" s="163">
        <v>9.032</v>
      </c>
      <c r="M1004" s="163">
        <v>21.965000000000003</v>
      </c>
      <c r="N1004" s="163">
        <v>1.0120000000000005</v>
      </c>
      <c r="O1004" s="163">
        <v>0.39921104536489171</v>
      </c>
      <c r="P1004" s="163">
        <v>9.0410000000000004</v>
      </c>
      <c r="Q1004" s="146">
        <v>21.933746267005858</v>
      </c>
      <c r="T1004" s="130"/>
    </row>
    <row r="1005" spans="1:21" ht="10.7" customHeight="1" x14ac:dyDescent="0.2">
      <c r="A1005" s="122"/>
      <c r="B1005" s="161" t="s">
        <v>83</v>
      </c>
      <c r="C1005" s="162">
        <v>447.8</v>
      </c>
      <c r="D1005" s="206">
        <v>447.8</v>
      </c>
      <c r="E1005" s="163">
        <v>0</v>
      </c>
      <c r="F1005" s="163">
        <v>0</v>
      </c>
      <c r="G1005" s="164">
        <v>447.8</v>
      </c>
      <c r="H1005" s="163">
        <v>48.94</v>
      </c>
      <c r="I1005" s="165">
        <v>10.928986154533273</v>
      </c>
      <c r="J1005" s="164">
        <v>398.86</v>
      </c>
      <c r="K1005" s="163">
        <v>6.8540000000000001</v>
      </c>
      <c r="L1005" s="163">
        <v>13.013000000000002</v>
      </c>
      <c r="M1005" s="163">
        <v>5.6759999999999984</v>
      </c>
      <c r="N1005" s="163">
        <v>23.396999999999998</v>
      </c>
      <c r="O1005" s="163">
        <v>5.2248771773112992</v>
      </c>
      <c r="P1005" s="163">
        <v>12.234999999999999</v>
      </c>
      <c r="Q1005" s="146">
        <v>30.599918267266041</v>
      </c>
      <c r="T1005" s="130"/>
    </row>
    <row r="1006" spans="1:21" ht="10.7" customHeight="1" x14ac:dyDescent="0.2">
      <c r="A1006" s="122"/>
      <c r="B1006" s="161" t="s">
        <v>84</v>
      </c>
      <c r="C1006" s="162">
        <v>2.8</v>
      </c>
      <c r="D1006" s="206">
        <v>2.8</v>
      </c>
      <c r="E1006" s="163">
        <v>0</v>
      </c>
      <c r="F1006" s="163">
        <v>0</v>
      </c>
      <c r="G1006" s="164">
        <v>2.8</v>
      </c>
      <c r="H1006" s="163">
        <v>0</v>
      </c>
      <c r="I1006" s="165">
        <v>0</v>
      </c>
      <c r="J1006" s="164">
        <v>2.8</v>
      </c>
      <c r="K1006" s="163">
        <v>0</v>
      </c>
      <c r="L1006" s="163">
        <v>0</v>
      </c>
      <c r="M1006" s="163">
        <v>0</v>
      </c>
      <c r="N1006" s="163">
        <v>0</v>
      </c>
      <c r="O1006" s="163">
        <v>0</v>
      </c>
      <c r="P1006" s="163">
        <v>0</v>
      </c>
      <c r="Q1006" s="146" t="s">
        <v>162</v>
      </c>
      <c r="T1006" s="130"/>
    </row>
    <row r="1007" spans="1:21" ht="10.7" customHeight="1" x14ac:dyDescent="0.2">
      <c r="A1007" s="122"/>
      <c r="B1007" s="161" t="s">
        <v>85</v>
      </c>
      <c r="C1007" s="162">
        <v>13.1</v>
      </c>
      <c r="D1007" s="206">
        <v>19.799999999999997</v>
      </c>
      <c r="E1007" s="163">
        <v>5.6999999999999975</v>
      </c>
      <c r="F1007" s="163">
        <v>6.6999999999999975</v>
      </c>
      <c r="G1007" s="164">
        <v>19.799999999999997</v>
      </c>
      <c r="H1007" s="163">
        <v>0.97599999999999998</v>
      </c>
      <c r="I1007" s="165">
        <v>4.9292929292929299</v>
      </c>
      <c r="J1007" s="164">
        <v>18.823999999999998</v>
      </c>
      <c r="K1007" s="163">
        <v>0</v>
      </c>
      <c r="L1007" s="163">
        <v>0</v>
      </c>
      <c r="M1007" s="163">
        <v>0</v>
      </c>
      <c r="N1007" s="163">
        <v>0</v>
      </c>
      <c r="O1007" s="163">
        <v>0</v>
      </c>
      <c r="P1007" s="163">
        <v>0</v>
      </c>
      <c r="Q1007" s="146" t="s">
        <v>186</v>
      </c>
      <c r="T1007" s="130"/>
    </row>
    <row r="1008" spans="1:21" ht="10.7" customHeight="1" x14ac:dyDescent="0.2">
      <c r="A1008" s="122"/>
      <c r="B1008" s="161" t="s">
        <v>86</v>
      </c>
      <c r="C1008" s="162">
        <v>158.9</v>
      </c>
      <c r="D1008" s="206">
        <v>158.20000000000002</v>
      </c>
      <c r="E1008" s="163">
        <v>0</v>
      </c>
      <c r="F1008" s="163">
        <v>-0.69999999999998863</v>
      </c>
      <c r="G1008" s="164">
        <v>158.20000000000002</v>
      </c>
      <c r="H1008" s="163">
        <v>35.180999999999997</v>
      </c>
      <c r="I1008" s="165">
        <v>22.238305941845763</v>
      </c>
      <c r="J1008" s="164">
        <v>123.01900000000002</v>
      </c>
      <c r="K1008" s="163">
        <v>10.341000000000001</v>
      </c>
      <c r="L1008" s="163">
        <v>5.5969999999999978</v>
      </c>
      <c r="M1008" s="163">
        <v>8.2859999999999978</v>
      </c>
      <c r="N1008" s="163">
        <v>0.32900000000000063</v>
      </c>
      <c r="O1008" s="163">
        <v>0.20796460176991188</v>
      </c>
      <c r="P1008" s="163">
        <v>6.1382499999999993</v>
      </c>
      <c r="Q1008" s="146">
        <v>18.041379872113392</v>
      </c>
      <c r="T1008" s="130"/>
    </row>
    <row r="1009" spans="1:20" ht="10.7" customHeight="1" x14ac:dyDescent="0.2">
      <c r="A1009" s="122"/>
      <c r="B1009" s="161" t="s">
        <v>87</v>
      </c>
      <c r="C1009" s="162">
        <v>26.7</v>
      </c>
      <c r="D1009" s="206">
        <v>26.7</v>
      </c>
      <c r="E1009" s="163">
        <v>0</v>
      </c>
      <c r="F1009" s="163">
        <v>0</v>
      </c>
      <c r="G1009" s="164">
        <v>26.7</v>
      </c>
      <c r="H1009" s="163">
        <v>0</v>
      </c>
      <c r="I1009" s="165">
        <v>0</v>
      </c>
      <c r="J1009" s="164">
        <v>26.7</v>
      </c>
      <c r="K1009" s="163">
        <v>0</v>
      </c>
      <c r="L1009" s="163">
        <v>0</v>
      </c>
      <c r="M1009" s="163">
        <v>0</v>
      </c>
      <c r="N1009" s="163">
        <v>0</v>
      </c>
      <c r="O1009" s="163">
        <v>0</v>
      </c>
      <c r="P1009" s="163">
        <v>0</v>
      </c>
      <c r="Q1009" s="146" t="s">
        <v>186</v>
      </c>
      <c r="T1009" s="130"/>
    </row>
    <row r="1010" spans="1:20" ht="10.7" customHeight="1" x14ac:dyDescent="0.2">
      <c r="A1010" s="122"/>
      <c r="B1010" s="161" t="s">
        <v>88</v>
      </c>
      <c r="C1010" s="162">
        <v>0</v>
      </c>
      <c r="D1010" s="206">
        <v>0</v>
      </c>
      <c r="E1010" s="163">
        <v>0</v>
      </c>
      <c r="F1010" s="163">
        <v>0</v>
      </c>
      <c r="G1010" s="164">
        <v>0</v>
      </c>
      <c r="H1010" s="163">
        <v>0</v>
      </c>
      <c r="I1010" s="165" t="s">
        <v>119</v>
      </c>
      <c r="J1010" s="164">
        <v>0</v>
      </c>
      <c r="K1010" s="163">
        <v>0</v>
      </c>
      <c r="L1010" s="163">
        <v>0</v>
      </c>
      <c r="M1010" s="163">
        <v>0</v>
      </c>
      <c r="N1010" s="163">
        <v>0</v>
      </c>
      <c r="O1010" s="163" t="s">
        <v>42</v>
      </c>
      <c r="P1010" s="163">
        <v>0</v>
      </c>
      <c r="Q1010" s="146" t="s">
        <v>162</v>
      </c>
      <c r="T1010" s="130"/>
    </row>
    <row r="1011" spans="1:20" ht="10.7" customHeight="1" x14ac:dyDescent="0.2">
      <c r="A1011" s="122"/>
      <c r="B1011" s="161" t="s">
        <v>89</v>
      </c>
      <c r="C1011" s="162">
        <v>128.30000000000001</v>
      </c>
      <c r="D1011" s="206">
        <v>189.10000000000002</v>
      </c>
      <c r="E1011" s="163">
        <v>0</v>
      </c>
      <c r="F1011" s="163">
        <v>60.800000000000011</v>
      </c>
      <c r="G1011" s="164">
        <v>189.10000000000002</v>
      </c>
      <c r="H1011" s="163">
        <v>52.173000000000002</v>
      </c>
      <c r="I1011" s="165">
        <v>27.590163934426226</v>
      </c>
      <c r="J1011" s="164">
        <v>136.92700000000002</v>
      </c>
      <c r="K1011" s="163">
        <v>28.195</v>
      </c>
      <c r="L1011" s="163">
        <v>23.978000000000002</v>
      </c>
      <c r="M1011" s="163">
        <v>0</v>
      </c>
      <c r="N1011" s="163">
        <v>0</v>
      </c>
      <c r="O1011" s="163">
        <v>0</v>
      </c>
      <c r="P1011" s="163">
        <v>13.04325</v>
      </c>
      <c r="Q1011" s="146">
        <v>8.4979203802733227</v>
      </c>
      <c r="T1011" s="130"/>
    </row>
    <row r="1012" spans="1:20" ht="10.7" customHeight="1" x14ac:dyDescent="0.2">
      <c r="A1012" s="122"/>
      <c r="B1012" s="168" t="s">
        <v>91</v>
      </c>
      <c r="C1012" s="162">
        <v>2378.4</v>
      </c>
      <c r="D1012" s="206">
        <v>2497.1999999999998</v>
      </c>
      <c r="E1012" s="163">
        <v>12.399999999999958</v>
      </c>
      <c r="F1012" s="163">
        <v>118.79999999999973</v>
      </c>
      <c r="G1012" s="164">
        <v>2497.1999999999998</v>
      </c>
      <c r="H1012" s="163">
        <v>895.73840000000007</v>
      </c>
      <c r="I1012" s="165">
        <v>35.869710075284324</v>
      </c>
      <c r="J1012" s="164">
        <v>1601.4616000000001</v>
      </c>
      <c r="K1012" s="163">
        <v>108.61329999999998</v>
      </c>
      <c r="L1012" s="163">
        <v>104.76750000000001</v>
      </c>
      <c r="M1012" s="163">
        <v>86.975999999999985</v>
      </c>
      <c r="N1012" s="163">
        <v>93.378999999999962</v>
      </c>
      <c r="O1012" s="163">
        <v>3.739348069838218</v>
      </c>
      <c r="P1012" s="169">
        <v>98.433949999999982</v>
      </c>
      <c r="Q1012" s="146">
        <v>14.269402985453702</v>
      </c>
      <c r="T1012" s="130"/>
    </row>
    <row r="1013" spans="1:20" ht="10.7" customHeight="1" x14ac:dyDescent="0.2">
      <c r="A1013" s="122"/>
      <c r="B1013" s="168"/>
      <c r="D1013" s="206"/>
      <c r="E1013" s="163"/>
      <c r="F1013" s="163"/>
      <c r="G1013" s="164"/>
      <c r="H1013" s="163"/>
      <c r="I1013" s="165"/>
      <c r="J1013" s="164"/>
      <c r="K1013" s="163"/>
      <c r="L1013" s="163"/>
      <c r="M1013" s="163"/>
      <c r="N1013" s="163"/>
      <c r="O1013" s="163"/>
      <c r="P1013" s="163"/>
      <c r="Q1013" s="146"/>
      <c r="T1013" s="130"/>
    </row>
    <row r="1014" spans="1:20" ht="10.7" customHeight="1" x14ac:dyDescent="0.2">
      <c r="A1014" s="122"/>
      <c r="B1014" s="161" t="s">
        <v>92</v>
      </c>
      <c r="C1014" s="162">
        <v>95.1</v>
      </c>
      <c r="D1014" s="206">
        <v>57.099999999999994</v>
      </c>
      <c r="E1014" s="163">
        <v>0</v>
      </c>
      <c r="F1014" s="163">
        <v>-38</v>
      </c>
      <c r="G1014" s="164">
        <v>57.099999999999994</v>
      </c>
      <c r="H1014" s="163">
        <v>24.024999999999999</v>
      </c>
      <c r="I1014" s="165">
        <v>42.075306479859897</v>
      </c>
      <c r="J1014" s="164">
        <v>33.074999999999996</v>
      </c>
      <c r="K1014" s="163">
        <v>0</v>
      </c>
      <c r="L1014" s="163">
        <v>14.029</v>
      </c>
      <c r="M1014" s="163">
        <v>0</v>
      </c>
      <c r="N1014" s="163">
        <v>9.9959999999999987</v>
      </c>
      <c r="O1014" s="163">
        <v>17.506129597197898</v>
      </c>
      <c r="P1014" s="163">
        <v>6.0062499999999996</v>
      </c>
      <c r="Q1014" s="146">
        <v>3.5067637877211233</v>
      </c>
      <c r="T1014" s="130"/>
    </row>
    <row r="1015" spans="1:20" ht="10.7" customHeight="1" x14ac:dyDescent="0.2">
      <c r="A1015" s="122"/>
      <c r="B1015" s="161" t="s">
        <v>93</v>
      </c>
      <c r="C1015" s="162">
        <v>132.19999999999999</v>
      </c>
      <c r="D1015" s="206">
        <v>127.89999999999999</v>
      </c>
      <c r="E1015" s="163">
        <v>0</v>
      </c>
      <c r="F1015" s="163">
        <v>-4.2999999999999972</v>
      </c>
      <c r="G1015" s="164">
        <v>127.89999999999999</v>
      </c>
      <c r="H1015" s="163">
        <v>26.076899999999998</v>
      </c>
      <c r="I1015" s="165">
        <v>20.388506645817046</v>
      </c>
      <c r="J1015" s="164">
        <v>101.8231</v>
      </c>
      <c r="K1015" s="163">
        <v>25.880100000000002</v>
      </c>
      <c r="L1015" s="163">
        <v>0</v>
      </c>
      <c r="M1015" s="163">
        <v>0</v>
      </c>
      <c r="N1015" s="163">
        <v>0.13379999999999725</v>
      </c>
      <c r="O1015" s="163">
        <v>0.10461297888975547</v>
      </c>
      <c r="P1015" s="163">
        <v>6.5034749999999999</v>
      </c>
      <c r="Q1015" s="146">
        <v>13.656721983247417</v>
      </c>
      <c r="T1015" s="130"/>
    </row>
    <row r="1016" spans="1:20" ht="10.7" hidden="1" customHeight="1" x14ac:dyDescent="0.2">
      <c r="A1016" s="122"/>
      <c r="B1016" s="161" t="s">
        <v>94</v>
      </c>
      <c r="C1016" s="162">
        <v>0</v>
      </c>
      <c r="D1016" s="206">
        <v>0</v>
      </c>
      <c r="E1016" s="163">
        <v>0</v>
      </c>
      <c r="F1016" s="163">
        <v>0</v>
      </c>
      <c r="G1016" s="164">
        <v>0</v>
      </c>
      <c r="H1016" s="163">
        <v>0</v>
      </c>
      <c r="I1016" s="165" t="s">
        <v>119</v>
      </c>
      <c r="J1016" s="164">
        <v>0</v>
      </c>
      <c r="K1016" s="163">
        <v>0</v>
      </c>
      <c r="L1016" s="163">
        <v>0</v>
      </c>
      <c r="M1016" s="163">
        <v>0</v>
      </c>
      <c r="N1016" s="163">
        <v>0</v>
      </c>
      <c r="O1016" s="163" t="s">
        <v>42</v>
      </c>
      <c r="P1016" s="163">
        <v>0</v>
      </c>
      <c r="Q1016" s="146">
        <v>0</v>
      </c>
      <c r="T1016" s="130"/>
    </row>
    <row r="1017" spans="1:20" ht="10.7" customHeight="1" x14ac:dyDescent="0.2">
      <c r="A1017" s="188"/>
      <c r="B1017" s="161" t="s">
        <v>95</v>
      </c>
      <c r="C1017" s="162">
        <v>574.1</v>
      </c>
      <c r="D1017" s="206">
        <v>574.1</v>
      </c>
      <c r="E1017" s="163">
        <v>0</v>
      </c>
      <c r="F1017" s="163">
        <v>0</v>
      </c>
      <c r="G1017" s="164">
        <v>574.1</v>
      </c>
      <c r="H1017" s="163">
        <v>0</v>
      </c>
      <c r="I1017" s="165">
        <v>0</v>
      </c>
      <c r="J1017" s="164">
        <v>574.1</v>
      </c>
      <c r="K1017" s="163">
        <v>0</v>
      </c>
      <c r="L1017" s="163">
        <v>0</v>
      </c>
      <c r="M1017" s="163">
        <v>0</v>
      </c>
      <c r="N1017" s="163">
        <v>0</v>
      </c>
      <c r="O1017" s="163">
        <v>0</v>
      </c>
      <c r="P1017" s="163">
        <v>0</v>
      </c>
      <c r="Q1017" s="146" t="s">
        <v>186</v>
      </c>
      <c r="T1017" s="130"/>
    </row>
    <row r="1018" spans="1:20" ht="10.7" customHeight="1" x14ac:dyDescent="0.2">
      <c r="A1018" s="122"/>
      <c r="B1018" s="161" t="s">
        <v>96</v>
      </c>
      <c r="C1018" s="162">
        <v>93.8</v>
      </c>
      <c r="D1018" s="206">
        <v>66.599999999999994</v>
      </c>
      <c r="E1018" s="163">
        <v>-24.400000000000006</v>
      </c>
      <c r="F1018" s="163">
        <v>-27.200000000000003</v>
      </c>
      <c r="G1018" s="164">
        <v>66.599999999999994</v>
      </c>
      <c r="H1018" s="163">
        <v>47.541600000000003</v>
      </c>
      <c r="I1018" s="165">
        <v>71.383783783783784</v>
      </c>
      <c r="J1018" s="164">
        <v>19.058399999999992</v>
      </c>
      <c r="K1018" s="163">
        <v>27.369999999999997</v>
      </c>
      <c r="L1018" s="163">
        <v>2.6219999999999999</v>
      </c>
      <c r="M1018" s="163">
        <v>0</v>
      </c>
      <c r="N1018" s="163">
        <v>7.5160000000000053</v>
      </c>
      <c r="O1018" s="163">
        <v>11.285285285285294</v>
      </c>
      <c r="P1018" s="163">
        <v>9.3770000000000007</v>
      </c>
      <c r="Q1018" s="146">
        <v>3.2462408019621414E-2</v>
      </c>
      <c r="T1018" s="130"/>
    </row>
    <row r="1019" spans="1:20" ht="10.7" customHeight="1" x14ac:dyDescent="0.2">
      <c r="A1019" s="122"/>
      <c r="B1019" s="161" t="s">
        <v>97</v>
      </c>
      <c r="C1019" s="162">
        <v>77.400000000000006</v>
      </c>
      <c r="D1019" s="206">
        <v>77.400000000000006</v>
      </c>
      <c r="E1019" s="163">
        <v>0</v>
      </c>
      <c r="F1019" s="163">
        <v>0</v>
      </c>
      <c r="G1019" s="164">
        <v>77.400000000000006</v>
      </c>
      <c r="H1019" s="163">
        <v>8.3000000000000001E-3</v>
      </c>
      <c r="I1019" s="165">
        <v>1.0723514211886304E-2</v>
      </c>
      <c r="J1019" s="164">
        <v>77.3917</v>
      </c>
      <c r="K1019" s="163">
        <v>0</v>
      </c>
      <c r="L1019" s="163">
        <v>0</v>
      </c>
      <c r="M1019" s="163">
        <v>0</v>
      </c>
      <c r="N1019" s="163">
        <v>0</v>
      </c>
      <c r="O1019" s="163">
        <v>0</v>
      </c>
      <c r="P1019" s="163">
        <v>0</v>
      </c>
      <c r="Q1019" s="146" t="s">
        <v>186</v>
      </c>
      <c r="T1019" s="130"/>
    </row>
    <row r="1020" spans="1:20" ht="10.7" customHeight="1" x14ac:dyDescent="0.2">
      <c r="A1020" s="122"/>
      <c r="B1020" s="161" t="s">
        <v>98</v>
      </c>
      <c r="C1020" s="162">
        <v>170.9</v>
      </c>
      <c r="D1020" s="206">
        <v>173.60000000000002</v>
      </c>
      <c r="E1020" s="163">
        <v>12.000000000000028</v>
      </c>
      <c r="F1020" s="163">
        <v>2.7000000000000171</v>
      </c>
      <c r="G1020" s="164">
        <v>173.60000000000002</v>
      </c>
      <c r="H1020" s="163">
        <v>0</v>
      </c>
      <c r="I1020" s="165">
        <v>0</v>
      </c>
      <c r="J1020" s="164">
        <v>173.60000000000002</v>
      </c>
      <c r="K1020" s="163">
        <v>0</v>
      </c>
      <c r="L1020" s="163">
        <v>0</v>
      </c>
      <c r="M1020" s="163">
        <v>0</v>
      </c>
      <c r="N1020" s="163">
        <v>0</v>
      </c>
      <c r="O1020" s="163">
        <v>0</v>
      </c>
      <c r="P1020" s="163">
        <v>0</v>
      </c>
      <c r="Q1020" s="146" t="s">
        <v>186</v>
      </c>
      <c r="T1020" s="130"/>
    </row>
    <row r="1021" spans="1:20" ht="10.7" customHeight="1" x14ac:dyDescent="0.2">
      <c r="A1021" s="122"/>
      <c r="B1021" s="161" t="s">
        <v>99</v>
      </c>
      <c r="C1021" s="162">
        <v>14.1</v>
      </c>
      <c r="D1021" s="206">
        <v>14.1</v>
      </c>
      <c r="E1021" s="163">
        <v>0</v>
      </c>
      <c r="F1021" s="163">
        <v>0</v>
      </c>
      <c r="G1021" s="164">
        <v>14.1</v>
      </c>
      <c r="H1021" s="163">
        <v>0</v>
      </c>
      <c r="I1021" s="165">
        <v>0</v>
      </c>
      <c r="J1021" s="164">
        <v>14.1</v>
      </c>
      <c r="K1021" s="163">
        <v>0</v>
      </c>
      <c r="L1021" s="163">
        <v>0</v>
      </c>
      <c r="M1021" s="163">
        <v>0</v>
      </c>
      <c r="N1021" s="163">
        <v>0</v>
      </c>
      <c r="O1021" s="163">
        <v>0</v>
      </c>
      <c r="P1021" s="163">
        <v>0</v>
      </c>
      <c r="Q1021" s="146" t="s">
        <v>186</v>
      </c>
      <c r="T1021" s="130"/>
    </row>
    <row r="1022" spans="1:20" ht="10.7" customHeight="1" x14ac:dyDescent="0.2">
      <c r="A1022" s="122"/>
      <c r="B1022" s="161" t="s">
        <v>100</v>
      </c>
      <c r="C1022" s="162">
        <v>2.6</v>
      </c>
      <c r="D1022" s="206">
        <v>2.6</v>
      </c>
      <c r="E1022" s="163">
        <v>0</v>
      </c>
      <c r="F1022" s="163">
        <v>0</v>
      </c>
      <c r="G1022" s="164">
        <v>2.6</v>
      </c>
      <c r="H1022" s="163">
        <v>0</v>
      </c>
      <c r="I1022" s="165">
        <v>0</v>
      </c>
      <c r="J1022" s="164">
        <v>2.6</v>
      </c>
      <c r="K1022" s="163">
        <v>0</v>
      </c>
      <c r="L1022" s="163">
        <v>0</v>
      </c>
      <c r="M1022" s="163">
        <v>0</v>
      </c>
      <c r="N1022" s="163">
        <v>0</v>
      </c>
      <c r="O1022" s="163">
        <v>0</v>
      </c>
      <c r="P1022" s="163">
        <v>0</v>
      </c>
      <c r="Q1022" s="146" t="s">
        <v>186</v>
      </c>
      <c r="T1022" s="130"/>
    </row>
    <row r="1023" spans="1:20" ht="10.7" customHeight="1" x14ac:dyDescent="0.2">
      <c r="A1023" s="122"/>
      <c r="B1023" s="161" t="s">
        <v>101</v>
      </c>
      <c r="C1023" s="162">
        <v>1.3</v>
      </c>
      <c r="D1023" s="206">
        <v>1.3</v>
      </c>
      <c r="E1023" s="163">
        <v>0</v>
      </c>
      <c r="F1023" s="163">
        <v>0</v>
      </c>
      <c r="G1023" s="164">
        <v>1.3</v>
      </c>
      <c r="H1023" s="163">
        <v>0</v>
      </c>
      <c r="I1023" s="165">
        <v>0</v>
      </c>
      <c r="J1023" s="164">
        <v>1.3</v>
      </c>
      <c r="K1023" s="163">
        <v>0</v>
      </c>
      <c r="L1023" s="163">
        <v>0</v>
      </c>
      <c r="M1023" s="163">
        <v>0</v>
      </c>
      <c r="N1023" s="163">
        <v>0</v>
      </c>
      <c r="O1023" s="163">
        <v>0</v>
      </c>
      <c r="P1023" s="163">
        <v>0</v>
      </c>
      <c r="Q1023" s="146" t="s">
        <v>186</v>
      </c>
      <c r="T1023" s="130"/>
    </row>
    <row r="1024" spans="1:20" ht="10.7" customHeight="1" x14ac:dyDescent="0.2">
      <c r="A1024" s="122"/>
      <c r="B1024" s="161" t="s">
        <v>102</v>
      </c>
      <c r="C1024" s="162">
        <v>34.799999999999997</v>
      </c>
      <c r="D1024" s="206">
        <v>34.799999999999997</v>
      </c>
      <c r="E1024" s="163">
        <v>0</v>
      </c>
      <c r="F1024" s="163">
        <v>0</v>
      </c>
      <c r="G1024" s="164">
        <v>34.799999999999997</v>
      </c>
      <c r="H1024" s="163">
        <v>0</v>
      </c>
      <c r="I1024" s="165">
        <v>0</v>
      </c>
      <c r="J1024" s="164">
        <v>34.799999999999997</v>
      </c>
      <c r="K1024" s="163">
        <v>0</v>
      </c>
      <c r="L1024" s="163">
        <v>0</v>
      </c>
      <c r="M1024" s="163">
        <v>0</v>
      </c>
      <c r="N1024" s="163">
        <v>0</v>
      </c>
      <c r="O1024" s="163">
        <v>0</v>
      </c>
      <c r="P1024" s="163">
        <v>0</v>
      </c>
      <c r="Q1024" s="146" t="s">
        <v>186</v>
      </c>
      <c r="T1024" s="130"/>
    </row>
    <row r="1025" spans="1:20" ht="10.7" customHeight="1" x14ac:dyDescent="0.2">
      <c r="A1025" s="122"/>
      <c r="B1025" s="161" t="s">
        <v>103</v>
      </c>
      <c r="C1025" s="162">
        <v>2.9</v>
      </c>
      <c r="D1025" s="206">
        <v>2.9</v>
      </c>
      <c r="E1025" s="163">
        <v>0</v>
      </c>
      <c r="F1025" s="163">
        <v>0</v>
      </c>
      <c r="G1025" s="164">
        <v>2.9</v>
      </c>
      <c r="H1025" s="163">
        <v>0</v>
      </c>
      <c r="I1025" s="165">
        <v>0</v>
      </c>
      <c r="J1025" s="164">
        <v>2.9</v>
      </c>
      <c r="K1025" s="163">
        <v>0</v>
      </c>
      <c r="L1025" s="163">
        <v>0</v>
      </c>
      <c r="M1025" s="163">
        <v>0</v>
      </c>
      <c r="N1025" s="163">
        <v>0</v>
      </c>
      <c r="O1025" s="163">
        <v>0</v>
      </c>
      <c r="P1025" s="163">
        <v>0</v>
      </c>
      <c r="Q1025" s="146" t="s">
        <v>186</v>
      </c>
      <c r="T1025" s="130"/>
    </row>
    <row r="1026" spans="1:20" ht="10.7" customHeight="1" x14ac:dyDescent="0.2">
      <c r="A1026" s="122"/>
      <c r="B1026" s="1" t="s">
        <v>104</v>
      </c>
      <c r="C1026" s="162">
        <v>1.4</v>
      </c>
      <c r="D1026" s="206">
        <v>1.4</v>
      </c>
      <c r="E1026" s="163">
        <v>0</v>
      </c>
      <c r="F1026" s="163">
        <v>0</v>
      </c>
      <c r="G1026" s="164">
        <v>1.4</v>
      </c>
      <c r="H1026" s="163">
        <v>0.65469999999999995</v>
      </c>
      <c r="I1026" s="165">
        <v>46.76428571428572</v>
      </c>
      <c r="J1026" s="164">
        <v>0.74529999999999996</v>
      </c>
      <c r="K1026" s="163">
        <v>0</v>
      </c>
      <c r="L1026" s="163">
        <v>0</v>
      </c>
      <c r="M1026" s="163">
        <v>0</v>
      </c>
      <c r="N1026" s="163">
        <v>0</v>
      </c>
      <c r="O1026" s="163">
        <v>0</v>
      </c>
      <c r="P1026" s="163">
        <v>0</v>
      </c>
      <c r="Q1026" s="146" t="s">
        <v>186</v>
      </c>
      <c r="T1026" s="130"/>
    </row>
    <row r="1027" spans="1:20" ht="10.7" customHeight="1" x14ac:dyDescent="0.2">
      <c r="A1027" s="122"/>
      <c r="B1027" s="168" t="s">
        <v>106</v>
      </c>
      <c r="C1027" s="172">
        <v>3579</v>
      </c>
      <c r="D1027" s="206">
        <v>3631</v>
      </c>
      <c r="E1027" s="163">
        <v>0</v>
      </c>
      <c r="F1027" s="163">
        <v>52</v>
      </c>
      <c r="G1027" s="164">
        <v>3631</v>
      </c>
      <c r="H1027" s="163">
        <v>994.0449000000001</v>
      </c>
      <c r="I1027" s="165">
        <v>27.37661525750482</v>
      </c>
      <c r="J1027" s="164">
        <v>2636.9551000000001</v>
      </c>
      <c r="K1027" s="163">
        <v>161.86340000000007</v>
      </c>
      <c r="L1027" s="163">
        <v>121.41849999999988</v>
      </c>
      <c r="M1027" s="163">
        <v>86.975999999999885</v>
      </c>
      <c r="N1027" s="163">
        <v>111.02480000000025</v>
      </c>
      <c r="O1027" s="163">
        <v>3.0576920958413729</v>
      </c>
      <c r="P1027" s="163">
        <v>120.32067500000002</v>
      </c>
      <c r="Q1027" s="146">
        <v>19.916059729551879</v>
      </c>
      <c r="T1027" s="130"/>
    </row>
    <row r="1028" spans="1:20" ht="10.7" customHeight="1" x14ac:dyDescent="0.2">
      <c r="A1028" s="122"/>
      <c r="B1028" s="168"/>
      <c r="C1028" s="162"/>
      <c r="D1028" s="206"/>
      <c r="E1028" s="163"/>
      <c r="F1028" s="163"/>
      <c r="G1028" s="164"/>
      <c r="H1028" s="163"/>
      <c r="I1028" s="165"/>
      <c r="J1028" s="164"/>
      <c r="K1028" s="163"/>
      <c r="L1028" s="163"/>
      <c r="M1028" s="163"/>
      <c r="N1028" s="163"/>
      <c r="O1028" s="163"/>
      <c r="P1028" s="163"/>
      <c r="Q1028" s="146"/>
      <c r="T1028" s="130"/>
    </row>
    <row r="1029" spans="1:20" ht="11.25" x14ac:dyDescent="0.2">
      <c r="A1029" s="122"/>
      <c r="B1029" s="161" t="s">
        <v>107</v>
      </c>
      <c r="C1029" s="162">
        <v>0</v>
      </c>
      <c r="D1029" s="206">
        <v>0</v>
      </c>
      <c r="E1029" s="163">
        <v>0</v>
      </c>
      <c r="F1029" s="163">
        <v>0</v>
      </c>
      <c r="G1029" s="164">
        <v>0</v>
      </c>
      <c r="H1029" s="163">
        <v>0</v>
      </c>
      <c r="I1029" s="165" t="s">
        <v>119</v>
      </c>
      <c r="J1029" s="164">
        <v>0</v>
      </c>
      <c r="K1029" s="163">
        <v>0</v>
      </c>
      <c r="L1029" s="163">
        <v>0</v>
      </c>
      <c r="M1029" s="163">
        <v>0</v>
      </c>
      <c r="N1029" s="163">
        <v>0</v>
      </c>
      <c r="O1029" s="163" t="s">
        <v>42</v>
      </c>
      <c r="P1029" s="163">
        <v>0</v>
      </c>
      <c r="Q1029" s="146">
        <v>0</v>
      </c>
      <c r="T1029" s="130"/>
    </row>
    <row r="1030" spans="1:20" ht="10.7" customHeight="1" x14ac:dyDescent="0.2">
      <c r="A1030" s="122"/>
      <c r="B1030" s="161" t="s">
        <v>108</v>
      </c>
      <c r="C1030" s="162">
        <v>17.5</v>
      </c>
      <c r="D1030" s="162">
        <v>17.5</v>
      </c>
      <c r="E1030" s="173">
        <v>0</v>
      </c>
      <c r="F1030" s="163">
        <v>0</v>
      </c>
      <c r="G1030" s="164">
        <v>17.5</v>
      </c>
      <c r="H1030" s="163">
        <v>0</v>
      </c>
      <c r="I1030" s="165">
        <v>0</v>
      </c>
      <c r="J1030" s="164">
        <v>17.5</v>
      </c>
      <c r="K1030" s="163">
        <v>0</v>
      </c>
      <c r="L1030" s="163">
        <v>0</v>
      </c>
      <c r="M1030" s="163">
        <v>0</v>
      </c>
      <c r="N1030" s="163">
        <v>0</v>
      </c>
      <c r="O1030" s="163">
        <v>0</v>
      </c>
      <c r="P1030" s="163">
        <v>0</v>
      </c>
      <c r="Q1030" s="146" t="s">
        <v>186</v>
      </c>
      <c r="T1030" s="130"/>
    </row>
    <row r="1031" spans="1:20" ht="10.7" customHeight="1" x14ac:dyDescent="0.2">
      <c r="A1031" s="122"/>
      <c r="B1031" s="174" t="s">
        <v>109</v>
      </c>
      <c r="C1031" s="162">
        <v>37.29999999999999</v>
      </c>
      <c r="D1031" s="162">
        <v>37.29999999999999</v>
      </c>
      <c r="E1031" s="173">
        <v>0</v>
      </c>
      <c r="F1031" s="163">
        <v>0</v>
      </c>
      <c r="G1031" s="164">
        <v>37.29999999999999</v>
      </c>
      <c r="H1031" s="163">
        <v>0</v>
      </c>
      <c r="I1031" s="165">
        <v>0</v>
      </c>
      <c r="J1031" s="164">
        <v>37.29999999999999</v>
      </c>
      <c r="K1031" s="163">
        <v>0</v>
      </c>
      <c r="L1031" s="163">
        <v>0</v>
      </c>
      <c r="M1031" s="163">
        <v>0</v>
      </c>
      <c r="N1031" s="163">
        <v>0</v>
      </c>
      <c r="O1031" s="163">
        <v>0</v>
      </c>
      <c r="P1031" s="163">
        <v>0</v>
      </c>
      <c r="Q1031" s="146" t="s">
        <v>186</v>
      </c>
      <c r="T1031" s="130"/>
    </row>
    <row r="1032" spans="1:20" ht="10.7" customHeight="1" x14ac:dyDescent="0.2">
      <c r="A1032" s="122"/>
      <c r="B1032" s="174"/>
      <c r="C1032" s="162"/>
      <c r="D1032" s="206"/>
      <c r="E1032" s="163"/>
      <c r="F1032" s="163"/>
      <c r="G1032" s="164"/>
      <c r="H1032" s="163"/>
      <c r="I1032" s="165"/>
      <c r="J1032" s="164"/>
      <c r="K1032" s="163"/>
      <c r="L1032" s="163"/>
      <c r="M1032" s="163"/>
      <c r="N1032" s="163"/>
      <c r="O1032" s="163"/>
      <c r="P1032" s="163"/>
      <c r="Q1032" s="146"/>
      <c r="T1032" s="130"/>
    </row>
    <row r="1033" spans="1:20" ht="10.7" customHeight="1" x14ac:dyDescent="0.2">
      <c r="A1033" s="122"/>
      <c r="B1033" s="174" t="s">
        <v>111</v>
      </c>
      <c r="C1033" s="162"/>
      <c r="D1033" s="206"/>
      <c r="E1033" s="163"/>
      <c r="F1033" s="163"/>
      <c r="G1033" s="164">
        <v>0</v>
      </c>
      <c r="H1033" s="163"/>
      <c r="I1033" s="165"/>
      <c r="J1033" s="164">
        <v>0</v>
      </c>
      <c r="K1033" s="163"/>
      <c r="L1033" s="163"/>
      <c r="M1033" s="163"/>
      <c r="N1033" s="163"/>
      <c r="O1033" s="163"/>
      <c r="P1033" s="163"/>
      <c r="Q1033" s="146"/>
      <c r="T1033" s="130"/>
    </row>
    <row r="1034" spans="1:20" ht="10.7" customHeight="1" x14ac:dyDescent="0.2">
      <c r="A1034" s="122"/>
      <c r="B1034" s="175" t="s">
        <v>112</v>
      </c>
      <c r="C1034" s="176">
        <v>3633.8</v>
      </c>
      <c r="D1034" s="178">
        <v>3685.8</v>
      </c>
      <c r="E1034" s="177">
        <v>0</v>
      </c>
      <c r="F1034" s="180">
        <v>52</v>
      </c>
      <c r="G1034" s="189">
        <v>3685.8</v>
      </c>
      <c r="H1034" s="180">
        <v>994.0449000000001</v>
      </c>
      <c r="I1034" s="179">
        <v>26.969583265505452</v>
      </c>
      <c r="J1034" s="189">
        <v>2691.7551000000003</v>
      </c>
      <c r="K1034" s="180">
        <v>161.86340000000007</v>
      </c>
      <c r="L1034" s="180">
        <v>121.41849999999988</v>
      </c>
      <c r="M1034" s="180">
        <v>86.975999999999885</v>
      </c>
      <c r="N1034" s="180">
        <v>111.02480000000025</v>
      </c>
      <c r="O1034" s="180">
        <v>3.0122307233165189</v>
      </c>
      <c r="P1034" s="180">
        <v>120.32067500000002</v>
      </c>
      <c r="Q1034" s="153">
        <v>20.371509302121183</v>
      </c>
      <c r="T1034" s="130"/>
    </row>
    <row r="1035" spans="1:20" ht="10.7" customHeight="1" x14ac:dyDescent="0.2">
      <c r="A1035" s="122"/>
      <c r="B1035" s="212"/>
      <c r="C1035" s="173"/>
      <c r="D1035" s="206"/>
      <c r="E1035" s="163"/>
      <c r="F1035" s="163"/>
      <c r="G1035" s="164"/>
      <c r="H1035" s="163"/>
      <c r="I1035" s="165"/>
      <c r="J1035" s="164"/>
      <c r="K1035" s="163"/>
      <c r="L1035" s="163"/>
      <c r="M1035" s="163"/>
      <c r="N1035" s="163"/>
      <c r="O1035" s="163"/>
      <c r="P1035" s="163"/>
      <c r="Q1035" s="182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202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203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203" t="s">
        <v>74</v>
      </c>
      <c r="J1039" s="147" t="s">
        <v>75</v>
      </c>
      <c r="K1039" s="151">
        <v>43166</v>
      </c>
      <c r="L1039" s="151">
        <v>43173</v>
      </c>
      <c r="M1039" s="151">
        <v>43180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204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6"/>
      <c r="C1041" s="193" t="s">
        <v>126</v>
      </c>
      <c r="D1041" s="193"/>
      <c r="E1041" s="193"/>
      <c r="F1041" s="193"/>
      <c r="G1041" s="193"/>
      <c r="H1041" s="193"/>
      <c r="I1041" s="193"/>
      <c r="J1041" s="193"/>
      <c r="K1041" s="193"/>
      <c r="L1041" s="193"/>
      <c r="M1041" s="193"/>
      <c r="N1041" s="193"/>
      <c r="O1041" s="193"/>
      <c r="P1041" s="194"/>
      <c r="Q1041" s="145"/>
      <c r="T1041" s="130"/>
    </row>
    <row r="1042" spans="1:20" ht="10.7" customHeight="1" x14ac:dyDescent="0.2">
      <c r="A1042" s="122"/>
      <c r="B1042" s="161" t="s">
        <v>80</v>
      </c>
      <c r="C1042" s="162">
        <v>261.7</v>
      </c>
      <c r="D1042" s="206">
        <v>262</v>
      </c>
      <c r="E1042" s="163">
        <v>0.30000000000001137</v>
      </c>
      <c r="F1042" s="163">
        <v>0.30000000000001137</v>
      </c>
      <c r="G1042" s="164">
        <v>262</v>
      </c>
      <c r="H1042" s="163">
        <v>5.0289999999999999</v>
      </c>
      <c r="I1042" s="165">
        <v>1.9194656488549617</v>
      </c>
      <c r="J1042" s="164">
        <v>256.971</v>
      </c>
      <c r="K1042" s="163">
        <v>0.40400000000000014</v>
      </c>
      <c r="L1042" s="163">
        <v>1.6890000000000001</v>
      </c>
      <c r="M1042" s="163">
        <v>0.32100000000000017</v>
      </c>
      <c r="N1042" s="163">
        <v>0.72199999999999953</v>
      </c>
      <c r="O1042" s="163">
        <v>0.27557251908396929</v>
      </c>
      <c r="P1042" s="163">
        <v>0.78399999999999992</v>
      </c>
      <c r="Q1042" s="146" t="s">
        <v>186</v>
      </c>
      <c r="T1042" s="130"/>
    </row>
    <row r="1043" spans="1:20" ht="10.7" customHeight="1" x14ac:dyDescent="0.2">
      <c r="A1043" s="122"/>
      <c r="B1043" s="161" t="s">
        <v>81</v>
      </c>
      <c r="C1043" s="162">
        <v>17.8</v>
      </c>
      <c r="D1043" s="206">
        <v>17.8</v>
      </c>
      <c r="E1043" s="163">
        <v>0</v>
      </c>
      <c r="F1043" s="163">
        <v>0</v>
      </c>
      <c r="G1043" s="164">
        <v>17.8</v>
      </c>
      <c r="H1043" s="163">
        <v>1.0691999999999999</v>
      </c>
      <c r="I1043" s="165">
        <v>6.0067415730337066</v>
      </c>
      <c r="J1043" s="164">
        <v>16.730800000000002</v>
      </c>
      <c r="K1043" s="163">
        <v>0.24819999999999998</v>
      </c>
      <c r="L1043" s="163">
        <v>0.18799999999999994</v>
      </c>
      <c r="M1043" s="163">
        <v>0</v>
      </c>
      <c r="N1043" s="163">
        <v>0</v>
      </c>
      <c r="O1043" s="163">
        <v>0</v>
      </c>
      <c r="P1043" s="163">
        <v>0.10904999999999998</v>
      </c>
      <c r="Q1043" s="146" t="s">
        <v>186</v>
      </c>
      <c r="T1043" s="130"/>
    </row>
    <row r="1044" spans="1:20" ht="10.7" customHeight="1" x14ac:dyDescent="0.2">
      <c r="A1044" s="122"/>
      <c r="B1044" s="161" t="s">
        <v>82</v>
      </c>
      <c r="C1044" s="162">
        <v>20</v>
      </c>
      <c r="D1044" s="206">
        <v>20.100000000000001</v>
      </c>
      <c r="E1044" s="163">
        <v>0</v>
      </c>
      <c r="F1044" s="163">
        <v>0.10000000000000142</v>
      </c>
      <c r="G1044" s="164">
        <v>20.100000000000001</v>
      </c>
      <c r="H1044" s="163">
        <v>2.2879999999999998</v>
      </c>
      <c r="I1044" s="165">
        <v>11.383084577114426</v>
      </c>
      <c r="J1044" s="164">
        <v>17.812000000000001</v>
      </c>
      <c r="K1044" s="163">
        <v>0.39200000000000002</v>
      </c>
      <c r="L1044" s="163">
        <v>0.53300000000000003</v>
      </c>
      <c r="M1044" s="163">
        <v>5.7999999999999829E-2</v>
      </c>
      <c r="N1044" s="163">
        <v>0.77899999999999991</v>
      </c>
      <c r="O1044" s="163">
        <v>3.8756218905472628</v>
      </c>
      <c r="P1044" s="163">
        <v>0.44049999999999995</v>
      </c>
      <c r="Q1044" s="146">
        <v>38.435868331441554</v>
      </c>
      <c r="T1044" s="130"/>
    </row>
    <row r="1045" spans="1:20" ht="10.7" customHeight="1" x14ac:dyDescent="0.2">
      <c r="A1045" s="122"/>
      <c r="B1045" s="161" t="s">
        <v>83</v>
      </c>
      <c r="C1045" s="162">
        <v>17.7</v>
      </c>
      <c r="D1045" s="206">
        <v>17.7</v>
      </c>
      <c r="E1045" s="163">
        <v>0</v>
      </c>
      <c r="F1045" s="163">
        <v>0</v>
      </c>
      <c r="G1045" s="164">
        <v>17.7</v>
      </c>
      <c r="H1045" s="163">
        <v>5.8000000000000003E-2</v>
      </c>
      <c r="I1045" s="165">
        <v>0.32768361581920907</v>
      </c>
      <c r="J1045" s="164">
        <v>17.641999999999999</v>
      </c>
      <c r="K1045" s="163">
        <v>0</v>
      </c>
      <c r="L1045" s="163">
        <v>0</v>
      </c>
      <c r="M1045" s="163">
        <v>0</v>
      </c>
      <c r="N1045" s="163">
        <v>5.8000000000000003E-2</v>
      </c>
      <c r="O1045" s="163">
        <v>0.32768361581920907</v>
      </c>
      <c r="P1045" s="163">
        <v>1.4500000000000001E-2</v>
      </c>
      <c r="Q1045" s="146" t="s">
        <v>186</v>
      </c>
      <c r="T1045" s="130"/>
    </row>
    <row r="1046" spans="1:20" ht="10.7" customHeight="1" x14ac:dyDescent="0.2">
      <c r="A1046" s="122"/>
      <c r="B1046" s="161" t="s">
        <v>84</v>
      </c>
      <c r="C1046" s="162">
        <v>0.9</v>
      </c>
      <c r="D1046" s="206">
        <v>0.9</v>
      </c>
      <c r="E1046" s="163">
        <v>0</v>
      </c>
      <c r="F1046" s="163">
        <v>0</v>
      </c>
      <c r="G1046" s="164">
        <v>0.9</v>
      </c>
      <c r="H1046" s="163">
        <v>0.14599999999999999</v>
      </c>
      <c r="I1046" s="165">
        <v>16.222222222222221</v>
      </c>
      <c r="J1046" s="164">
        <v>0.754</v>
      </c>
      <c r="K1046" s="163">
        <v>0</v>
      </c>
      <c r="L1046" s="163">
        <v>0</v>
      </c>
      <c r="M1046" s="163">
        <v>0</v>
      </c>
      <c r="N1046" s="163">
        <v>0.14599999999999999</v>
      </c>
      <c r="O1046" s="163">
        <v>16.222222222222221</v>
      </c>
      <c r="P1046" s="163">
        <v>3.6499999999999998E-2</v>
      </c>
      <c r="Q1046" s="146">
        <v>18.657534246575345</v>
      </c>
      <c r="T1046" s="130"/>
    </row>
    <row r="1047" spans="1:20" ht="10.7" customHeight="1" x14ac:dyDescent="0.2">
      <c r="A1047" s="122"/>
      <c r="B1047" s="161" t="s">
        <v>85</v>
      </c>
      <c r="C1047" s="162">
        <v>5.8</v>
      </c>
      <c r="D1047" s="206">
        <v>7.1999999999999993</v>
      </c>
      <c r="E1047" s="163">
        <v>1.3999999999999995</v>
      </c>
      <c r="F1047" s="163">
        <v>1.3999999999999995</v>
      </c>
      <c r="G1047" s="164">
        <v>7.1999999999999993</v>
      </c>
      <c r="H1047" s="163">
        <v>0.08</v>
      </c>
      <c r="I1047" s="165">
        <v>1.1111111111111112</v>
      </c>
      <c r="J1047" s="164">
        <v>7.1199999999999992</v>
      </c>
      <c r="K1047" s="163">
        <v>0</v>
      </c>
      <c r="L1047" s="163">
        <v>9.0000000000000011E-3</v>
      </c>
      <c r="M1047" s="163">
        <v>0</v>
      </c>
      <c r="N1047" s="163">
        <v>2.5000000000000001E-2</v>
      </c>
      <c r="O1047" s="163">
        <v>0.34722222222222227</v>
      </c>
      <c r="P1047" s="163">
        <v>8.5000000000000006E-3</v>
      </c>
      <c r="Q1047" s="146" t="s">
        <v>186</v>
      </c>
      <c r="T1047" s="130"/>
    </row>
    <row r="1048" spans="1:20" ht="10.7" customHeight="1" x14ac:dyDescent="0.2">
      <c r="A1048" s="122"/>
      <c r="B1048" s="161" t="s">
        <v>86</v>
      </c>
      <c r="C1048" s="162">
        <v>11.1</v>
      </c>
      <c r="D1048" s="206">
        <v>10.799999999999999</v>
      </c>
      <c r="E1048" s="163">
        <v>0</v>
      </c>
      <c r="F1048" s="163">
        <v>-0.30000000000000071</v>
      </c>
      <c r="G1048" s="164">
        <v>10.799999999999999</v>
      </c>
      <c r="H1048" s="163">
        <v>4.2000000000000003E-2</v>
      </c>
      <c r="I1048" s="165">
        <v>0.38888888888888895</v>
      </c>
      <c r="J1048" s="164">
        <v>10.757999999999999</v>
      </c>
      <c r="K1048" s="163">
        <v>0</v>
      </c>
      <c r="L1048" s="163">
        <v>0</v>
      </c>
      <c r="M1048" s="163">
        <v>4.2000000000000003E-2</v>
      </c>
      <c r="N1048" s="163">
        <v>0</v>
      </c>
      <c r="O1048" s="163">
        <v>0</v>
      </c>
      <c r="P1048" s="163">
        <v>1.0500000000000001E-2</v>
      </c>
      <c r="Q1048" s="146" t="s">
        <v>186</v>
      </c>
      <c r="T1048" s="130"/>
    </row>
    <row r="1049" spans="1:20" ht="10.7" customHeight="1" x14ac:dyDescent="0.2">
      <c r="A1049" s="122"/>
      <c r="B1049" s="161" t="s">
        <v>87</v>
      </c>
      <c r="C1049" s="162">
        <v>8</v>
      </c>
      <c r="D1049" s="206">
        <v>8</v>
      </c>
      <c r="E1049" s="163">
        <v>0</v>
      </c>
      <c r="F1049" s="163">
        <v>0</v>
      </c>
      <c r="G1049" s="164">
        <v>8</v>
      </c>
      <c r="H1049" s="163">
        <v>9.1999999999999998E-2</v>
      </c>
      <c r="I1049" s="165">
        <v>1.1499999999999999</v>
      </c>
      <c r="J1049" s="164">
        <v>7.9080000000000004</v>
      </c>
      <c r="K1049" s="163">
        <v>4.2000000000000003E-2</v>
      </c>
      <c r="L1049" s="163">
        <v>0</v>
      </c>
      <c r="M1049" s="163">
        <v>4.9999999999999996E-2</v>
      </c>
      <c r="N1049" s="163">
        <v>0</v>
      </c>
      <c r="O1049" s="163">
        <v>0</v>
      </c>
      <c r="P1049" s="163">
        <v>2.3E-2</v>
      </c>
      <c r="Q1049" s="146" t="s">
        <v>186</v>
      </c>
      <c r="T1049" s="130"/>
    </row>
    <row r="1050" spans="1:20" ht="10.7" customHeight="1" x14ac:dyDescent="0.2">
      <c r="A1050" s="122"/>
      <c r="B1050" s="161" t="s">
        <v>88</v>
      </c>
      <c r="C1050" s="162">
        <v>0</v>
      </c>
      <c r="D1050" s="206">
        <v>0</v>
      </c>
      <c r="E1050" s="163">
        <v>0</v>
      </c>
      <c r="F1050" s="163">
        <v>0</v>
      </c>
      <c r="G1050" s="164">
        <v>0</v>
      </c>
      <c r="H1050" s="163">
        <v>0</v>
      </c>
      <c r="I1050" s="165" t="s">
        <v>119</v>
      </c>
      <c r="J1050" s="164">
        <v>0</v>
      </c>
      <c r="K1050" s="163">
        <v>0</v>
      </c>
      <c r="L1050" s="163">
        <v>0</v>
      </c>
      <c r="M1050" s="163">
        <v>0</v>
      </c>
      <c r="N1050" s="163">
        <v>0</v>
      </c>
      <c r="O1050" s="163" t="s">
        <v>42</v>
      </c>
      <c r="P1050" s="163">
        <v>0</v>
      </c>
      <c r="Q1050" s="146" t="s">
        <v>162</v>
      </c>
      <c r="T1050" s="130"/>
    </row>
    <row r="1051" spans="1:20" ht="10.7" customHeight="1" x14ac:dyDescent="0.2">
      <c r="A1051" s="122"/>
      <c r="B1051" s="161" t="s">
        <v>89</v>
      </c>
      <c r="C1051" s="162">
        <v>3.6</v>
      </c>
      <c r="D1051" s="206">
        <v>5.4</v>
      </c>
      <c r="E1051" s="163">
        <v>0</v>
      </c>
      <c r="F1051" s="163">
        <v>1.8000000000000003</v>
      </c>
      <c r="G1051" s="164">
        <v>5.4</v>
      </c>
      <c r="H1051" s="163">
        <v>0</v>
      </c>
      <c r="I1051" s="165">
        <v>0</v>
      </c>
      <c r="J1051" s="164">
        <v>5.4</v>
      </c>
      <c r="K1051" s="163">
        <v>0</v>
      </c>
      <c r="L1051" s="163">
        <v>0</v>
      </c>
      <c r="M1051" s="163">
        <v>0</v>
      </c>
      <c r="N1051" s="163">
        <v>0</v>
      </c>
      <c r="O1051" s="163">
        <v>0</v>
      </c>
      <c r="P1051" s="163">
        <v>0</v>
      </c>
      <c r="Q1051" s="146" t="s">
        <v>186</v>
      </c>
      <c r="T1051" s="130"/>
    </row>
    <row r="1052" spans="1:20" ht="10.7" customHeight="1" x14ac:dyDescent="0.2">
      <c r="A1052" s="122"/>
      <c r="B1052" s="168" t="s">
        <v>91</v>
      </c>
      <c r="C1052" s="162">
        <v>346.6</v>
      </c>
      <c r="D1052" s="206">
        <v>349.9</v>
      </c>
      <c r="E1052" s="163">
        <v>1.7000000000000108</v>
      </c>
      <c r="F1052" s="163">
        <v>3.2999999999999545</v>
      </c>
      <c r="G1052" s="164">
        <v>349.9</v>
      </c>
      <c r="H1052" s="163">
        <v>8.8042000000000016</v>
      </c>
      <c r="I1052" s="165">
        <v>2.5162046298942564</v>
      </c>
      <c r="J1052" s="164">
        <v>341.0958</v>
      </c>
      <c r="K1052" s="163">
        <v>1.0862000000000001</v>
      </c>
      <c r="L1052" s="163">
        <v>2.419</v>
      </c>
      <c r="M1052" s="163">
        <v>0.47099999999999997</v>
      </c>
      <c r="N1052" s="163">
        <v>1.7299999999999993</v>
      </c>
      <c r="O1052" s="163">
        <v>0.49442697913689609</v>
      </c>
      <c r="P1052" s="169">
        <v>1.4265499999999995</v>
      </c>
      <c r="Q1052" s="146" t="s">
        <v>186</v>
      </c>
      <c r="T1052" s="130"/>
    </row>
    <row r="1053" spans="1:20" ht="10.7" customHeight="1" x14ac:dyDescent="0.2">
      <c r="A1053" s="122"/>
      <c r="B1053" s="168"/>
      <c r="D1053" s="206"/>
      <c r="E1053" s="163"/>
      <c r="F1053" s="163"/>
      <c r="G1053" s="164"/>
      <c r="H1053" s="163"/>
      <c r="I1053" s="165"/>
      <c r="J1053" s="164"/>
      <c r="K1053" s="163"/>
      <c r="L1053" s="163"/>
      <c r="M1053" s="163"/>
      <c r="N1053" s="163"/>
      <c r="O1053" s="163"/>
      <c r="P1053" s="163"/>
      <c r="Q1053" s="146"/>
      <c r="T1053" s="130"/>
    </row>
    <row r="1054" spans="1:20" ht="10.7" customHeight="1" x14ac:dyDescent="0.2">
      <c r="A1054" s="122"/>
      <c r="B1054" s="161" t="s">
        <v>92</v>
      </c>
      <c r="C1054" s="162">
        <v>10.9</v>
      </c>
      <c r="D1054" s="206">
        <v>9.4</v>
      </c>
      <c r="E1054" s="163">
        <v>0</v>
      </c>
      <c r="F1054" s="163">
        <v>-1.5</v>
      </c>
      <c r="G1054" s="164">
        <v>9.4</v>
      </c>
      <c r="H1054" s="163">
        <v>9.5000000000000001E-2</v>
      </c>
      <c r="I1054" s="165">
        <v>1.0106382978723405</v>
      </c>
      <c r="J1054" s="164">
        <v>9.3049999999999997</v>
      </c>
      <c r="K1054" s="163">
        <v>0</v>
      </c>
      <c r="L1054" s="163">
        <v>9.5000000000000001E-2</v>
      </c>
      <c r="M1054" s="163">
        <v>0</v>
      </c>
      <c r="N1054" s="163">
        <v>0</v>
      </c>
      <c r="O1054" s="163">
        <v>0</v>
      </c>
      <c r="P1054" s="163">
        <v>2.375E-2</v>
      </c>
      <c r="Q1054" s="146" t="s">
        <v>186</v>
      </c>
      <c r="T1054" s="130"/>
    </row>
    <row r="1055" spans="1:20" ht="10.7" customHeight="1" x14ac:dyDescent="0.2">
      <c r="A1055" s="122"/>
      <c r="B1055" s="161" t="s">
        <v>93</v>
      </c>
      <c r="C1055" s="162">
        <v>14.3</v>
      </c>
      <c r="D1055" s="206">
        <v>14.600000000000001</v>
      </c>
      <c r="E1055" s="163">
        <v>0</v>
      </c>
      <c r="F1055" s="163">
        <v>0.30000000000000071</v>
      </c>
      <c r="G1055" s="164">
        <v>14.600000000000001</v>
      </c>
      <c r="H1055" s="163">
        <v>0.51270000000000004</v>
      </c>
      <c r="I1055" s="165">
        <v>3.5116438356164381</v>
      </c>
      <c r="J1055" s="164">
        <v>14.087300000000001</v>
      </c>
      <c r="K1055" s="163">
        <v>0</v>
      </c>
      <c r="L1055" s="163">
        <v>0</v>
      </c>
      <c r="M1055" s="163">
        <v>0</v>
      </c>
      <c r="N1055" s="163">
        <v>0.35920000000000007</v>
      </c>
      <c r="O1055" s="163">
        <v>2.4602739726027401</v>
      </c>
      <c r="P1055" s="163">
        <v>8.9800000000000019E-2</v>
      </c>
      <c r="Q1055" s="146" t="s">
        <v>186</v>
      </c>
      <c r="T1055" s="130"/>
    </row>
    <row r="1056" spans="1:20" ht="10.7" hidden="1" customHeight="1" x14ac:dyDescent="0.2">
      <c r="A1056" s="122"/>
      <c r="B1056" s="161" t="s">
        <v>94</v>
      </c>
      <c r="C1056" s="162">
        <v>0</v>
      </c>
      <c r="D1056" s="206">
        <v>0</v>
      </c>
      <c r="E1056" s="163">
        <v>0</v>
      </c>
      <c r="F1056" s="163">
        <v>0</v>
      </c>
      <c r="G1056" s="164">
        <v>0</v>
      </c>
      <c r="H1056" s="163">
        <v>0</v>
      </c>
      <c r="I1056" s="165" t="s">
        <v>119</v>
      </c>
      <c r="J1056" s="164">
        <v>0</v>
      </c>
      <c r="K1056" s="163">
        <v>0</v>
      </c>
      <c r="L1056" s="163">
        <v>0</v>
      </c>
      <c r="M1056" s="163">
        <v>0</v>
      </c>
      <c r="N1056" s="163">
        <v>0</v>
      </c>
      <c r="O1056" s="163" t="s">
        <v>42</v>
      </c>
      <c r="P1056" s="163">
        <v>0</v>
      </c>
      <c r="Q1056" s="146">
        <v>0</v>
      </c>
      <c r="T1056" s="130"/>
    </row>
    <row r="1057" spans="1:20" ht="10.7" customHeight="1" x14ac:dyDescent="0.2">
      <c r="A1057" s="122"/>
      <c r="B1057" s="161" t="s">
        <v>95</v>
      </c>
      <c r="C1057" s="162">
        <v>2</v>
      </c>
      <c r="D1057" s="206">
        <v>2</v>
      </c>
      <c r="E1057" s="163">
        <v>0</v>
      </c>
      <c r="F1057" s="163">
        <v>0</v>
      </c>
      <c r="G1057" s="164">
        <v>2</v>
      </c>
      <c r="H1057" s="163">
        <v>0</v>
      </c>
      <c r="I1057" s="165">
        <v>0</v>
      </c>
      <c r="J1057" s="164">
        <v>2</v>
      </c>
      <c r="K1057" s="163">
        <v>0</v>
      </c>
      <c r="L1057" s="163">
        <v>0</v>
      </c>
      <c r="M1057" s="163">
        <v>0</v>
      </c>
      <c r="N1057" s="163">
        <v>0</v>
      </c>
      <c r="O1057" s="163">
        <v>0</v>
      </c>
      <c r="P1057" s="163">
        <v>0</v>
      </c>
      <c r="Q1057" s="146" t="s">
        <v>186</v>
      </c>
      <c r="T1057" s="130"/>
    </row>
    <row r="1058" spans="1:20" ht="10.7" customHeight="1" x14ac:dyDescent="0.2">
      <c r="A1058" s="122"/>
      <c r="B1058" s="161" t="s">
        <v>96</v>
      </c>
      <c r="C1058" s="162">
        <v>10.4</v>
      </c>
      <c r="D1058" s="206">
        <v>9.7000000000000011</v>
      </c>
      <c r="E1058" s="163">
        <v>-0.29999999999999893</v>
      </c>
      <c r="F1058" s="163">
        <v>-0.69999999999999929</v>
      </c>
      <c r="G1058" s="164">
        <v>9.7000000000000011</v>
      </c>
      <c r="H1058" s="163">
        <v>0</v>
      </c>
      <c r="I1058" s="165">
        <v>0</v>
      </c>
      <c r="J1058" s="164">
        <v>9.7000000000000011</v>
      </c>
      <c r="K1058" s="163">
        <v>0</v>
      </c>
      <c r="L1058" s="163">
        <v>0</v>
      </c>
      <c r="M1058" s="163">
        <v>0</v>
      </c>
      <c r="N1058" s="163">
        <v>0</v>
      </c>
      <c r="O1058" s="163">
        <v>0</v>
      </c>
      <c r="P1058" s="163">
        <v>0</v>
      </c>
      <c r="Q1058" s="146" t="s">
        <v>186</v>
      </c>
      <c r="T1058" s="130"/>
    </row>
    <row r="1059" spans="1:20" ht="10.7" customHeight="1" x14ac:dyDescent="0.2">
      <c r="A1059" s="122"/>
      <c r="B1059" s="161" t="s">
        <v>97</v>
      </c>
      <c r="C1059" s="162">
        <v>11.1</v>
      </c>
      <c r="D1059" s="206">
        <v>11.1</v>
      </c>
      <c r="E1059" s="163">
        <v>0</v>
      </c>
      <c r="F1059" s="163">
        <v>0</v>
      </c>
      <c r="G1059" s="164">
        <v>11.1</v>
      </c>
      <c r="H1059" s="163">
        <v>0</v>
      </c>
      <c r="I1059" s="165">
        <v>0</v>
      </c>
      <c r="J1059" s="164">
        <v>11.1</v>
      </c>
      <c r="K1059" s="163">
        <v>0</v>
      </c>
      <c r="L1059" s="163">
        <v>0</v>
      </c>
      <c r="M1059" s="163">
        <v>0</v>
      </c>
      <c r="N1059" s="163">
        <v>0</v>
      </c>
      <c r="O1059" s="163">
        <v>0</v>
      </c>
      <c r="P1059" s="163">
        <v>0</v>
      </c>
      <c r="Q1059" s="146" t="s">
        <v>186</v>
      </c>
      <c r="T1059" s="130"/>
    </row>
    <row r="1060" spans="1:20" ht="10.7" customHeight="1" x14ac:dyDescent="0.2">
      <c r="A1060" s="122"/>
      <c r="B1060" s="161" t="s">
        <v>98</v>
      </c>
      <c r="C1060" s="162">
        <v>15.8</v>
      </c>
      <c r="D1060" s="206">
        <v>15.8</v>
      </c>
      <c r="E1060" s="163">
        <v>0</v>
      </c>
      <c r="F1060" s="163">
        <v>0</v>
      </c>
      <c r="G1060" s="164">
        <v>15.8</v>
      </c>
      <c r="H1060" s="163">
        <v>0</v>
      </c>
      <c r="I1060" s="165">
        <v>0</v>
      </c>
      <c r="J1060" s="164">
        <v>15.8</v>
      </c>
      <c r="K1060" s="163">
        <v>0</v>
      </c>
      <c r="L1060" s="163">
        <v>0</v>
      </c>
      <c r="M1060" s="163">
        <v>0</v>
      </c>
      <c r="N1060" s="163">
        <v>0</v>
      </c>
      <c r="O1060" s="163">
        <v>0</v>
      </c>
      <c r="P1060" s="163">
        <v>0</v>
      </c>
      <c r="Q1060" s="146" t="s">
        <v>186</v>
      </c>
      <c r="T1060" s="130"/>
    </row>
    <row r="1061" spans="1:20" ht="10.7" customHeight="1" x14ac:dyDescent="0.2">
      <c r="A1061" s="122"/>
      <c r="B1061" s="161" t="s">
        <v>99</v>
      </c>
      <c r="C1061" s="162">
        <v>4.4000000000000004</v>
      </c>
      <c r="D1061" s="206">
        <v>3.0000000000000004</v>
      </c>
      <c r="E1061" s="163">
        <v>-1.4</v>
      </c>
      <c r="F1061" s="163">
        <v>-1.4</v>
      </c>
      <c r="G1061" s="164">
        <v>3.0000000000000004</v>
      </c>
      <c r="H1061" s="163">
        <v>0</v>
      </c>
      <c r="I1061" s="165">
        <v>0</v>
      </c>
      <c r="J1061" s="164">
        <v>3.0000000000000004</v>
      </c>
      <c r="K1061" s="163">
        <v>0</v>
      </c>
      <c r="L1061" s="163">
        <v>0</v>
      </c>
      <c r="M1061" s="163">
        <v>0</v>
      </c>
      <c r="N1061" s="163">
        <v>0</v>
      </c>
      <c r="O1061" s="163">
        <v>0</v>
      </c>
      <c r="P1061" s="163">
        <v>0</v>
      </c>
      <c r="Q1061" s="146" t="s">
        <v>186</v>
      </c>
      <c r="T1061" s="130"/>
    </row>
    <row r="1062" spans="1:20" ht="10.7" customHeight="1" x14ac:dyDescent="0.2">
      <c r="A1062" s="122"/>
      <c r="B1062" s="161" t="s">
        <v>100</v>
      </c>
      <c r="C1062" s="162">
        <v>0.2</v>
      </c>
      <c r="D1062" s="206">
        <v>0.2</v>
      </c>
      <c r="E1062" s="163">
        <v>0</v>
      </c>
      <c r="F1062" s="163">
        <v>0</v>
      </c>
      <c r="G1062" s="164">
        <v>0.2</v>
      </c>
      <c r="H1062" s="163">
        <v>0</v>
      </c>
      <c r="I1062" s="165">
        <v>0</v>
      </c>
      <c r="J1062" s="164">
        <v>0.2</v>
      </c>
      <c r="K1062" s="163">
        <v>0</v>
      </c>
      <c r="L1062" s="163">
        <v>0</v>
      </c>
      <c r="M1062" s="163">
        <v>0</v>
      </c>
      <c r="N1062" s="163">
        <v>0</v>
      </c>
      <c r="O1062" s="163">
        <v>0</v>
      </c>
      <c r="P1062" s="163">
        <v>0</v>
      </c>
      <c r="Q1062" s="146" t="s">
        <v>186</v>
      </c>
      <c r="T1062" s="130"/>
    </row>
    <row r="1063" spans="1:20" ht="10.7" customHeight="1" x14ac:dyDescent="0.2">
      <c r="A1063" s="122"/>
      <c r="B1063" s="161" t="s">
        <v>101</v>
      </c>
      <c r="C1063" s="162">
        <v>0.2</v>
      </c>
      <c r="D1063" s="206">
        <v>0.2</v>
      </c>
      <c r="E1063" s="163">
        <v>0</v>
      </c>
      <c r="F1063" s="163">
        <v>0</v>
      </c>
      <c r="G1063" s="164">
        <v>0.2</v>
      </c>
      <c r="H1063" s="163">
        <v>0</v>
      </c>
      <c r="I1063" s="165">
        <v>0</v>
      </c>
      <c r="J1063" s="164">
        <v>0.2</v>
      </c>
      <c r="K1063" s="163">
        <v>0</v>
      </c>
      <c r="L1063" s="163">
        <v>0</v>
      </c>
      <c r="M1063" s="163">
        <v>0</v>
      </c>
      <c r="N1063" s="163">
        <v>0</v>
      </c>
      <c r="O1063" s="163">
        <v>0</v>
      </c>
      <c r="P1063" s="163">
        <v>0</v>
      </c>
      <c r="Q1063" s="146" t="s">
        <v>186</v>
      </c>
      <c r="T1063" s="130"/>
    </row>
    <row r="1064" spans="1:20" ht="10.7" customHeight="1" x14ac:dyDescent="0.2">
      <c r="A1064" s="122"/>
      <c r="B1064" s="161" t="s">
        <v>102</v>
      </c>
      <c r="C1064" s="162">
        <v>7.9</v>
      </c>
      <c r="D1064" s="206">
        <v>7.9</v>
      </c>
      <c r="E1064" s="163">
        <v>0</v>
      </c>
      <c r="F1064" s="163">
        <v>0</v>
      </c>
      <c r="G1064" s="164">
        <v>7.9</v>
      </c>
      <c r="H1064" s="163">
        <v>0</v>
      </c>
      <c r="I1064" s="165">
        <v>0</v>
      </c>
      <c r="J1064" s="164">
        <v>7.9</v>
      </c>
      <c r="K1064" s="163">
        <v>0</v>
      </c>
      <c r="L1064" s="163">
        <v>0</v>
      </c>
      <c r="M1064" s="163">
        <v>0</v>
      </c>
      <c r="N1064" s="163">
        <v>0</v>
      </c>
      <c r="O1064" s="163">
        <v>0</v>
      </c>
      <c r="P1064" s="163">
        <v>0</v>
      </c>
      <c r="Q1064" s="146" t="s">
        <v>186</v>
      </c>
      <c r="T1064" s="130"/>
    </row>
    <row r="1065" spans="1:20" ht="10.7" customHeight="1" x14ac:dyDescent="0.2">
      <c r="A1065" s="122"/>
      <c r="B1065" s="161" t="s">
        <v>103</v>
      </c>
      <c r="C1065" s="162">
        <v>0.9</v>
      </c>
      <c r="D1065" s="206">
        <v>0.9</v>
      </c>
      <c r="E1065" s="163">
        <v>0</v>
      </c>
      <c r="F1065" s="163">
        <v>0</v>
      </c>
      <c r="G1065" s="164">
        <v>0.9</v>
      </c>
      <c r="H1065" s="163">
        <v>0</v>
      </c>
      <c r="I1065" s="165">
        <v>0</v>
      </c>
      <c r="J1065" s="164">
        <v>0.9</v>
      </c>
      <c r="K1065" s="163">
        <v>0</v>
      </c>
      <c r="L1065" s="163">
        <v>0</v>
      </c>
      <c r="M1065" s="163">
        <v>0</v>
      </c>
      <c r="N1065" s="163">
        <v>0</v>
      </c>
      <c r="O1065" s="163">
        <v>0</v>
      </c>
      <c r="P1065" s="163">
        <v>0</v>
      </c>
      <c r="Q1065" s="146" t="s">
        <v>186</v>
      </c>
      <c r="T1065" s="130"/>
    </row>
    <row r="1066" spans="1:20" ht="10.7" customHeight="1" x14ac:dyDescent="0.2">
      <c r="A1066" s="122"/>
      <c r="B1066" s="1" t="s">
        <v>104</v>
      </c>
      <c r="C1066" s="162">
        <v>0.1</v>
      </c>
      <c r="D1066" s="206">
        <v>0.1</v>
      </c>
      <c r="E1066" s="163">
        <v>0</v>
      </c>
      <c r="F1066" s="163">
        <v>0</v>
      </c>
      <c r="G1066" s="164">
        <v>0.1</v>
      </c>
      <c r="H1066" s="163">
        <v>0</v>
      </c>
      <c r="I1066" s="165">
        <v>0</v>
      </c>
      <c r="J1066" s="164">
        <v>0.1</v>
      </c>
      <c r="K1066" s="163">
        <v>0</v>
      </c>
      <c r="L1066" s="163">
        <v>0</v>
      </c>
      <c r="M1066" s="163">
        <v>0</v>
      </c>
      <c r="N1066" s="163">
        <v>0</v>
      </c>
      <c r="O1066" s="163">
        <v>0</v>
      </c>
      <c r="P1066" s="163">
        <v>0</v>
      </c>
      <c r="Q1066" s="146" t="s">
        <v>186</v>
      </c>
      <c r="T1066" s="130"/>
    </row>
    <row r="1067" spans="1:20" ht="10.7" customHeight="1" x14ac:dyDescent="0.2">
      <c r="A1067" s="122"/>
      <c r="B1067" s="168" t="s">
        <v>106</v>
      </c>
      <c r="C1067" s="172">
        <v>424.80000000000007</v>
      </c>
      <c r="D1067" s="206">
        <v>424.79999999999995</v>
      </c>
      <c r="E1067" s="163">
        <v>0</v>
      </c>
      <c r="F1067" s="163">
        <v>0</v>
      </c>
      <c r="G1067" s="164">
        <v>424.79999999999995</v>
      </c>
      <c r="H1067" s="163">
        <v>9.411900000000001</v>
      </c>
      <c r="I1067" s="165">
        <v>2.2156073446327689</v>
      </c>
      <c r="J1067" s="164">
        <v>415.38809999999995</v>
      </c>
      <c r="K1067" s="163">
        <v>1.0862000000000003</v>
      </c>
      <c r="L1067" s="163">
        <v>2.5139999999999993</v>
      </c>
      <c r="M1067" s="163">
        <v>0.4709999999999992</v>
      </c>
      <c r="N1067" s="163">
        <v>2.0892000000000026</v>
      </c>
      <c r="O1067" s="163">
        <v>0.49180790960452042</v>
      </c>
      <c r="P1067" s="163">
        <v>1.5401000000000005</v>
      </c>
      <c r="Q1067" s="146" t="s">
        <v>186</v>
      </c>
      <c r="T1067" s="130"/>
    </row>
    <row r="1068" spans="1:20" ht="10.7" customHeight="1" x14ac:dyDescent="0.2">
      <c r="A1068" s="122"/>
      <c r="B1068" s="168"/>
      <c r="C1068" s="162"/>
      <c r="D1068" s="206"/>
      <c r="E1068" s="163"/>
      <c r="F1068" s="163"/>
      <c r="G1068" s="164"/>
      <c r="H1068" s="163"/>
      <c r="I1068" s="165"/>
      <c r="J1068" s="164"/>
      <c r="K1068" s="163"/>
      <c r="L1068" s="163"/>
      <c r="M1068" s="163"/>
      <c r="N1068" s="163"/>
      <c r="O1068" s="163"/>
      <c r="P1068" s="163"/>
      <c r="Q1068" s="146"/>
      <c r="T1068" s="130"/>
    </row>
    <row r="1069" spans="1:20" ht="10.7" customHeight="1" x14ac:dyDescent="0.2">
      <c r="A1069" s="122"/>
      <c r="B1069" s="161" t="s">
        <v>107</v>
      </c>
      <c r="C1069" s="162">
        <v>0.5</v>
      </c>
      <c r="D1069" s="206">
        <v>0.5</v>
      </c>
      <c r="E1069" s="163">
        <v>0</v>
      </c>
      <c r="F1069" s="163">
        <v>0</v>
      </c>
      <c r="G1069" s="164">
        <v>0.5</v>
      </c>
      <c r="H1069" s="163">
        <v>0</v>
      </c>
      <c r="I1069" s="165">
        <v>0</v>
      </c>
      <c r="J1069" s="164">
        <v>0.5</v>
      </c>
      <c r="K1069" s="163">
        <v>0</v>
      </c>
      <c r="L1069" s="163">
        <v>0</v>
      </c>
      <c r="M1069" s="163">
        <v>0</v>
      </c>
      <c r="N1069" s="163">
        <v>0</v>
      </c>
      <c r="O1069" s="163">
        <v>0</v>
      </c>
      <c r="P1069" s="163">
        <v>0</v>
      </c>
      <c r="Q1069" s="146" t="s">
        <v>186</v>
      </c>
      <c r="T1069" s="130"/>
    </row>
    <row r="1070" spans="1:20" ht="10.7" customHeight="1" x14ac:dyDescent="0.2">
      <c r="A1070" s="122"/>
      <c r="B1070" s="161" t="s">
        <v>108</v>
      </c>
      <c r="C1070" s="162">
        <v>0.2</v>
      </c>
      <c r="D1070" s="162">
        <v>0.2</v>
      </c>
      <c r="E1070" s="173">
        <v>0</v>
      </c>
      <c r="F1070" s="163">
        <v>0</v>
      </c>
      <c r="G1070" s="164">
        <v>0.2</v>
      </c>
      <c r="H1070" s="163">
        <v>0</v>
      </c>
      <c r="I1070" s="165">
        <v>0</v>
      </c>
      <c r="J1070" s="164">
        <v>0.2</v>
      </c>
      <c r="K1070" s="163">
        <v>0</v>
      </c>
      <c r="L1070" s="163">
        <v>0</v>
      </c>
      <c r="M1070" s="163">
        <v>0</v>
      </c>
      <c r="N1070" s="163">
        <v>0</v>
      </c>
      <c r="O1070" s="163">
        <v>0</v>
      </c>
      <c r="P1070" s="163">
        <v>0</v>
      </c>
      <c r="Q1070" s="146" t="s">
        <v>186</v>
      </c>
      <c r="T1070" s="130"/>
    </row>
    <row r="1071" spans="1:20" ht="10.7" customHeight="1" x14ac:dyDescent="0.2">
      <c r="A1071" s="122"/>
      <c r="B1071" s="174" t="s">
        <v>109</v>
      </c>
      <c r="C1071" s="162">
        <v>5</v>
      </c>
      <c r="D1071" s="162">
        <v>5</v>
      </c>
      <c r="E1071" s="173">
        <v>0</v>
      </c>
      <c r="F1071" s="163">
        <v>0</v>
      </c>
      <c r="G1071" s="164">
        <v>5</v>
      </c>
      <c r="H1071" s="163">
        <v>0</v>
      </c>
      <c r="I1071" s="165">
        <v>0</v>
      </c>
      <c r="J1071" s="164">
        <v>5</v>
      </c>
      <c r="K1071" s="163">
        <v>0</v>
      </c>
      <c r="L1071" s="163">
        <v>0</v>
      </c>
      <c r="M1071" s="163">
        <v>0</v>
      </c>
      <c r="N1071" s="163">
        <v>0</v>
      </c>
      <c r="O1071" s="163">
        <v>0</v>
      </c>
      <c r="P1071" s="163">
        <v>0</v>
      </c>
      <c r="Q1071" s="146" t="s">
        <v>186</v>
      </c>
      <c r="T1071" s="130"/>
    </row>
    <row r="1072" spans="1:20" ht="10.7" customHeight="1" x14ac:dyDescent="0.2">
      <c r="A1072" s="122"/>
      <c r="B1072" s="174"/>
      <c r="C1072" s="162"/>
      <c r="D1072" s="206"/>
      <c r="E1072" s="163"/>
      <c r="F1072" s="163"/>
      <c r="G1072" s="164"/>
      <c r="H1072" s="163"/>
      <c r="I1072" s="165"/>
      <c r="J1072" s="164"/>
      <c r="K1072" s="163"/>
      <c r="L1072" s="163"/>
      <c r="M1072" s="163"/>
      <c r="N1072" s="163"/>
      <c r="O1072" s="163"/>
      <c r="P1072" s="163"/>
      <c r="Q1072" s="146"/>
      <c r="T1072" s="130"/>
    </row>
    <row r="1073" spans="1:20" ht="10.7" customHeight="1" x14ac:dyDescent="0.2">
      <c r="A1073" s="122"/>
      <c r="B1073" s="174" t="s">
        <v>111</v>
      </c>
      <c r="C1073" s="162"/>
      <c r="D1073" s="206"/>
      <c r="E1073" s="163"/>
      <c r="F1073" s="163"/>
      <c r="G1073" s="164">
        <v>0</v>
      </c>
      <c r="H1073" s="163"/>
      <c r="I1073" s="165"/>
      <c r="J1073" s="164"/>
      <c r="K1073" s="163"/>
      <c r="L1073" s="163"/>
      <c r="M1073" s="163"/>
      <c r="N1073" s="163"/>
      <c r="O1073" s="163"/>
      <c r="P1073" s="163"/>
      <c r="Q1073" s="146"/>
      <c r="T1073" s="130"/>
    </row>
    <row r="1074" spans="1:20" ht="10.7" customHeight="1" x14ac:dyDescent="0.2">
      <c r="A1074" s="122"/>
      <c r="B1074" s="175" t="s">
        <v>112</v>
      </c>
      <c r="C1074" s="176">
        <v>430.50000000000006</v>
      </c>
      <c r="D1074" s="178">
        <v>430.49999999999994</v>
      </c>
      <c r="E1074" s="177">
        <v>0</v>
      </c>
      <c r="F1074" s="180">
        <v>0</v>
      </c>
      <c r="G1074" s="189">
        <v>430.49999999999994</v>
      </c>
      <c r="H1074" s="180">
        <v>9.411900000000001</v>
      </c>
      <c r="I1074" s="179">
        <v>2.1862717770034847</v>
      </c>
      <c r="J1074" s="189">
        <v>421.08809999999994</v>
      </c>
      <c r="K1074" s="180">
        <v>1.0862000000000003</v>
      </c>
      <c r="L1074" s="180">
        <v>2.5139999999999993</v>
      </c>
      <c r="M1074" s="180">
        <v>0.4709999999999992</v>
      </c>
      <c r="N1074" s="180">
        <v>2.0892000000000026</v>
      </c>
      <c r="O1074" s="180">
        <v>0.48529616724738744</v>
      </c>
      <c r="P1074" s="180">
        <v>1.5401000000000005</v>
      </c>
      <c r="Q1074" s="153" t="s">
        <v>186</v>
      </c>
      <c r="T1074" s="130"/>
    </row>
    <row r="1075" spans="1:20" ht="10.7" customHeight="1" x14ac:dyDescent="0.2">
      <c r="A1075" s="122"/>
      <c r="B1075" s="191" t="s">
        <v>241</v>
      </c>
      <c r="C1075" s="173"/>
      <c r="D1075" s="206"/>
      <c r="E1075" s="163"/>
      <c r="F1075" s="163"/>
      <c r="G1075" s="164"/>
      <c r="H1075" s="163"/>
      <c r="I1075" s="165"/>
      <c r="J1075" s="164"/>
      <c r="K1075" s="163"/>
      <c r="L1075" s="163"/>
      <c r="M1075" s="163"/>
      <c r="N1075" s="163"/>
      <c r="O1075" s="163"/>
      <c r="P1075" s="163"/>
      <c r="Q1075" s="182"/>
      <c r="T1075" s="130"/>
    </row>
    <row r="1076" spans="1:20" ht="10.7" customHeight="1" x14ac:dyDescent="0.2">
      <c r="A1076" s="122"/>
      <c r="B1076" s="123" t="s">
        <v>114</v>
      </c>
      <c r="C1076" s="173"/>
      <c r="D1076" s="206"/>
      <c r="E1076" s="163"/>
      <c r="F1076" s="163"/>
      <c r="G1076" s="164"/>
      <c r="H1076" s="163"/>
      <c r="I1076" s="165"/>
      <c r="J1076" s="164"/>
      <c r="K1076" s="163"/>
      <c r="L1076" s="163"/>
      <c r="M1076" s="163"/>
      <c r="N1076" s="163"/>
      <c r="O1076" s="163"/>
      <c r="P1076" s="163"/>
      <c r="Q1076" s="182"/>
      <c r="T1076" s="130"/>
    </row>
    <row r="1077" spans="1:20" ht="10.7" customHeight="1" x14ac:dyDescent="0.2">
      <c r="A1077" s="122"/>
      <c r="C1077" s="173"/>
      <c r="D1077" s="206"/>
      <c r="E1077" s="163"/>
      <c r="F1077" s="163"/>
      <c r="G1077" s="164"/>
      <c r="H1077" s="163"/>
      <c r="I1077" s="165"/>
      <c r="J1077" s="164"/>
      <c r="K1077" s="163"/>
      <c r="L1077" s="163"/>
      <c r="M1077" s="163"/>
      <c r="N1077" s="163"/>
      <c r="O1077" s="163"/>
      <c r="P1077" s="163"/>
      <c r="Q1077" s="182"/>
      <c r="T1077" s="130"/>
    </row>
    <row r="1078" spans="1:20" ht="10.7" customHeight="1" x14ac:dyDescent="0.2">
      <c r="A1078" s="122"/>
      <c r="C1078" s="173"/>
      <c r="D1078" s="206"/>
      <c r="E1078" s="163"/>
      <c r="F1078" s="163"/>
      <c r="G1078" s="164"/>
      <c r="H1078" s="163"/>
      <c r="I1078" s="165"/>
      <c r="J1078" s="164"/>
      <c r="K1078" s="163"/>
      <c r="L1078" s="163"/>
      <c r="M1078" s="163"/>
      <c r="N1078" s="163"/>
      <c r="O1078" s="163"/>
      <c r="P1078" s="163"/>
      <c r="Q1078" s="182"/>
      <c r="T1078" s="130"/>
    </row>
    <row r="1079" spans="1:20" ht="10.7" customHeight="1" x14ac:dyDescent="0.2">
      <c r="A1079" s="122"/>
      <c r="B1079" s="123" t="s">
        <v>185</v>
      </c>
      <c r="C1079" s="173"/>
      <c r="D1079" s="206"/>
      <c r="E1079" s="163"/>
      <c r="F1079" s="163"/>
      <c r="G1079" s="164"/>
      <c r="H1079" s="163"/>
      <c r="I1079" s="165"/>
      <c r="J1079" s="164"/>
      <c r="K1079" s="163"/>
      <c r="L1079" s="163"/>
      <c r="M1079" s="163"/>
      <c r="N1079" s="163"/>
      <c r="O1079" s="163"/>
      <c r="P1079" s="163"/>
      <c r="Q1079" s="182"/>
      <c r="T1079" s="130"/>
    </row>
    <row r="1080" spans="1:20" ht="10.7" customHeight="1" x14ac:dyDescent="0.2">
      <c r="A1080" s="122"/>
      <c r="B1080" s="131" t="s">
        <v>240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43166</v>
      </c>
      <c r="L1084" s="151">
        <v>43173</v>
      </c>
      <c r="M1084" s="151">
        <v>43180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6"/>
      <c r="C1086" s="193" t="s">
        <v>127</v>
      </c>
      <c r="D1086" s="193"/>
      <c r="E1086" s="193"/>
      <c r="F1086" s="193"/>
      <c r="G1086" s="193"/>
      <c r="H1086" s="193"/>
      <c r="I1086" s="193"/>
      <c r="J1086" s="193"/>
      <c r="K1086" s="193"/>
      <c r="L1086" s="193"/>
      <c r="M1086" s="193"/>
      <c r="N1086" s="193"/>
      <c r="O1086" s="193"/>
      <c r="P1086" s="194"/>
      <c r="Q1086" s="145"/>
      <c r="T1086" s="130"/>
    </row>
    <row r="1087" spans="1:20" ht="10.7" customHeight="1" x14ac:dyDescent="0.2">
      <c r="A1087" s="122"/>
      <c r="B1087" s="161" t="s">
        <v>80</v>
      </c>
      <c r="C1087" s="162">
        <v>3.4</v>
      </c>
      <c r="D1087" s="206">
        <v>3.4</v>
      </c>
      <c r="E1087" s="163">
        <v>0</v>
      </c>
      <c r="F1087" s="163">
        <v>0</v>
      </c>
      <c r="G1087" s="164">
        <v>3.4</v>
      </c>
      <c r="H1087" s="163">
        <v>1.2E-2</v>
      </c>
      <c r="I1087" s="165">
        <v>0.35294117647058826</v>
      </c>
      <c r="J1087" s="164">
        <v>3.3879999999999999</v>
      </c>
      <c r="K1087" s="163">
        <v>0</v>
      </c>
      <c r="L1087" s="163">
        <v>0</v>
      </c>
      <c r="M1087" s="163">
        <v>0</v>
      </c>
      <c r="N1087" s="163">
        <v>0</v>
      </c>
      <c r="O1087" s="163">
        <v>0</v>
      </c>
      <c r="P1087" s="163">
        <v>0</v>
      </c>
      <c r="Q1087" s="146" t="s">
        <v>186</v>
      </c>
      <c r="T1087" s="130"/>
    </row>
    <row r="1088" spans="1:20" ht="10.7" customHeight="1" x14ac:dyDescent="0.2">
      <c r="A1088" s="122"/>
      <c r="B1088" s="161" t="s">
        <v>81</v>
      </c>
      <c r="C1088" s="162">
        <v>0.2</v>
      </c>
      <c r="D1088" s="206">
        <v>0.2</v>
      </c>
      <c r="E1088" s="163">
        <v>0</v>
      </c>
      <c r="F1088" s="163">
        <v>0</v>
      </c>
      <c r="G1088" s="164">
        <v>0.2</v>
      </c>
      <c r="H1088" s="163">
        <v>0</v>
      </c>
      <c r="I1088" s="165">
        <v>0</v>
      </c>
      <c r="J1088" s="164">
        <v>0.2</v>
      </c>
      <c r="K1088" s="163">
        <v>0</v>
      </c>
      <c r="L1088" s="163">
        <v>0</v>
      </c>
      <c r="M1088" s="163">
        <v>0</v>
      </c>
      <c r="N1088" s="163">
        <v>0</v>
      </c>
      <c r="O1088" s="163">
        <v>0</v>
      </c>
      <c r="P1088" s="163">
        <v>0</v>
      </c>
      <c r="Q1088" s="146" t="s">
        <v>162</v>
      </c>
      <c r="T1088" s="130"/>
    </row>
    <row r="1089" spans="1:20" ht="10.7" customHeight="1" x14ac:dyDescent="0.2">
      <c r="A1089" s="122"/>
      <c r="B1089" s="161" t="s">
        <v>82</v>
      </c>
      <c r="C1089" s="162">
        <v>0.3</v>
      </c>
      <c r="D1089" s="206">
        <v>0.3</v>
      </c>
      <c r="E1089" s="163">
        <v>0</v>
      </c>
      <c r="F1089" s="163">
        <v>0</v>
      </c>
      <c r="G1089" s="164">
        <v>0.3</v>
      </c>
      <c r="H1089" s="163">
        <v>0</v>
      </c>
      <c r="I1089" s="165">
        <v>0</v>
      </c>
      <c r="J1089" s="164">
        <v>0.3</v>
      </c>
      <c r="K1089" s="163">
        <v>0</v>
      </c>
      <c r="L1089" s="163">
        <v>0</v>
      </c>
      <c r="M1089" s="163">
        <v>0</v>
      </c>
      <c r="N1089" s="163">
        <v>0</v>
      </c>
      <c r="O1089" s="163">
        <v>0</v>
      </c>
      <c r="P1089" s="163">
        <v>0</v>
      </c>
      <c r="Q1089" s="146" t="s">
        <v>162</v>
      </c>
      <c r="T1089" s="130"/>
    </row>
    <row r="1090" spans="1:20" ht="10.7" customHeight="1" x14ac:dyDescent="0.2">
      <c r="A1090" s="122"/>
      <c r="B1090" s="161" t="s">
        <v>83</v>
      </c>
      <c r="C1090" s="162">
        <v>0.1</v>
      </c>
      <c r="D1090" s="206">
        <v>0.1</v>
      </c>
      <c r="E1090" s="163">
        <v>0</v>
      </c>
      <c r="F1090" s="163">
        <v>0</v>
      </c>
      <c r="G1090" s="164">
        <v>0.1</v>
      </c>
      <c r="H1090" s="163">
        <v>0</v>
      </c>
      <c r="I1090" s="165">
        <v>0</v>
      </c>
      <c r="J1090" s="164">
        <v>0.1</v>
      </c>
      <c r="K1090" s="163">
        <v>0</v>
      </c>
      <c r="L1090" s="163">
        <v>0</v>
      </c>
      <c r="M1090" s="163">
        <v>0</v>
      </c>
      <c r="N1090" s="163">
        <v>0</v>
      </c>
      <c r="O1090" s="163">
        <v>0</v>
      </c>
      <c r="P1090" s="163">
        <v>0</v>
      </c>
      <c r="Q1090" s="146" t="s">
        <v>186</v>
      </c>
      <c r="T1090" s="130"/>
    </row>
    <row r="1091" spans="1:20" ht="10.7" customHeight="1" x14ac:dyDescent="0.2">
      <c r="A1091" s="122"/>
      <c r="B1091" s="161" t="s">
        <v>84</v>
      </c>
      <c r="C1091" s="162">
        <v>0</v>
      </c>
      <c r="D1091" s="206">
        <v>0</v>
      </c>
      <c r="E1091" s="163">
        <v>0</v>
      </c>
      <c r="F1091" s="163">
        <v>0</v>
      </c>
      <c r="G1091" s="164">
        <v>0</v>
      </c>
      <c r="H1091" s="163">
        <v>0</v>
      </c>
      <c r="I1091" s="165" t="s">
        <v>119</v>
      </c>
      <c r="J1091" s="164">
        <v>0</v>
      </c>
      <c r="K1091" s="163">
        <v>0</v>
      </c>
      <c r="L1091" s="163">
        <v>0</v>
      </c>
      <c r="M1091" s="163">
        <v>0</v>
      </c>
      <c r="N1091" s="163">
        <v>0</v>
      </c>
      <c r="O1091" s="163" t="s">
        <v>42</v>
      </c>
      <c r="P1091" s="163">
        <v>0</v>
      </c>
      <c r="Q1091" s="146" t="s">
        <v>162</v>
      </c>
      <c r="T1091" s="130"/>
    </row>
    <row r="1092" spans="1:20" ht="10.7" customHeight="1" x14ac:dyDescent="0.2">
      <c r="A1092" s="122"/>
      <c r="B1092" s="161" t="s">
        <v>85</v>
      </c>
      <c r="C1092" s="162">
        <v>0.2</v>
      </c>
      <c r="D1092" s="206">
        <v>2.1</v>
      </c>
      <c r="E1092" s="163">
        <v>1.9000000000000001</v>
      </c>
      <c r="F1092" s="163">
        <v>1.9000000000000001</v>
      </c>
      <c r="G1092" s="164">
        <v>2.1</v>
      </c>
      <c r="H1092" s="163">
        <v>7.0000000000000001E-3</v>
      </c>
      <c r="I1092" s="165">
        <v>0.33333333333333337</v>
      </c>
      <c r="J1092" s="164">
        <v>2.093</v>
      </c>
      <c r="K1092" s="163">
        <v>0</v>
      </c>
      <c r="L1092" s="163">
        <v>5.0000000000000001E-3</v>
      </c>
      <c r="M1092" s="163">
        <v>0</v>
      </c>
      <c r="N1092" s="163">
        <v>0</v>
      </c>
      <c r="O1092" s="163">
        <v>0</v>
      </c>
      <c r="P1092" s="163">
        <v>1.25E-3</v>
      </c>
      <c r="Q1092" s="146" t="s">
        <v>186</v>
      </c>
      <c r="T1092" s="130"/>
    </row>
    <row r="1093" spans="1:20" ht="10.7" customHeight="1" x14ac:dyDescent="0.2">
      <c r="A1093" s="122"/>
      <c r="B1093" s="161" t="s">
        <v>86</v>
      </c>
      <c r="C1093" s="162">
        <v>0</v>
      </c>
      <c r="D1093" s="206">
        <v>0</v>
      </c>
      <c r="E1093" s="163">
        <v>0</v>
      </c>
      <c r="F1093" s="163">
        <v>0</v>
      </c>
      <c r="G1093" s="164">
        <v>0</v>
      </c>
      <c r="H1093" s="163">
        <v>0</v>
      </c>
      <c r="I1093" s="165" t="s">
        <v>119</v>
      </c>
      <c r="J1093" s="164">
        <v>0</v>
      </c>
      <c r="K1093" s="163">
        <v>0</v>
      </c>
      <c r="L1093" s="163">
        <v>0</v>
      </c>
      <c r="M1093" s="163">
        <v>0</v>
      </c>
      <c r="N1093" s="163">
        <v>0</v>
      </c>
      <c r="O1093" s="163" t="s">
        <v>42</v>
      </c>
      <c r="P1093" s="163">
        <v>0</v>
      </c>
      <c r="Q1093" s="146" t="s">
        <v>162</v>
      </c>
      <c r="T1093" s="130"/>
    </row>
    <row r="1094" spans="1:20" ht="10.7" customHeight="1" x14ac:dyDescent="0.2">
      <c r="A1094" s="122"/>
      <c r="B1094" s="161" t="s">
        <v>87</v>
      </c>
      <c r="C1094" s="162">
        <v>0.2</v>
      </c>
      <c r="D1094" s="206">
        <v>0.2</v>
      </c>
      <c r="E1094" s="163">
        <v>0</v>
      </c>
      <c r="F1094" s="163">
        <v>0</v>
      </c>
      <c r="G1094" s="164">
        <v>0.2</v>
      </c>
      <c r="H1094" s="163">
        <v>0</v>
      </c>
      <c r="I1094" s="165">
        <v>0</v>
      </c>
      <c r="J1094" s="164">
        <v>0.2</v>
      </c>
      <c r="K1094" s="163">
        <v>0</v>
      </c>
      <c r="L1094" s="163">
        <v>0</v>
      </c>
      <c r="M1094" s="163">
        <v>0</v>
      </c>
      <c r="N1094" s="163">
        <v>0</v>
      </c>
      <c r="O1094" s="163">
        <v>0</v>
      </c>
      <c r="P1094" s="163">
        <v>0</v>
      </c>
      <c r="Q1094" s="146" t="s">
        <v>186</v>
      </c>
      <c r="T1094" s="130"/>
    </row>
    <row r="1095" spans="1:20" ht="10.7" customHeight="1" x14ac:dyDescent="0.2">
      <c r="A1095" s="122"/>
      <c r="B1095" s="161" t="s">
        <v>88</v>
      </c>
      <c r="C1095" s="162">
        <v>0</v>
      </c>
      <c r="D1095" s="206">
        <v>0</v>
      </c>
      <c r="E1095" s="163">
        <v>0</v>
      </c>
      <c r="F1095" s="163">
        <v>0</v>
      </c>
      <c r="G1095" s="164">
        <v>0</v>
      </c>
      <c r="H1095" s="163">
        <v>0</v>
      </c>
      <c r="I1095" s="165" t="s">
        <v>119</v>
      </c>
      <c r="J1095" s="164">
        <v>0</v>
      </c>
      <c r="K1095" s="163">
        <v>0</v>
      </c>
      <c r="L1095" s="163">
        <v>0</v>
      </c>
      <c r="M1095" s="163">
        <v>0</v>
      </c>
      <c r="N1095" s="163">
        <v>0</v>
      </c>
      <c r="O1095" s="163" t="s">
        <v>42</v>
      </c>
      <c r="P1095" s="163">
        <v>0</v>
      </c>
      <c r="Q1095" s="146" t="s">
        <v>162</v>
      </c>
      <c r="T1095" s="130"/>
    </row>
    <row r="1096" spans="1:20" ht="10.7" customHeight="1" x14ac:dyDescent="0.2">
      <c r="A1096" s="122"/>
      <c r="B1096" s="161" t="s">
        <v>89</v>
      </c>
      <c r="C1096" s="162">
        <v>0</v>
      </c>
      <c r="D1096" s="206">
        <v>0</v>
      </c>
      <c r="E1096" s="163">
        <v>0</v>
      </c>
      <c r="F1096" s="163">
        <v>0</v>
      </c>
      <c r="G1096" s="164">
        <v>0</v>
      </c>
      <c r="H1096" s="163">
        <v>0</v>
      </c>
      <c r="I1096" s="165" t="s">
        <v>119</v>
      </c>
      <c r="J1096" s="164">
        <v>0</v>
      </c>
      <c r="K1096" s="163">
        <v>0</v>
      </c>
      <c r="L1096" s="163">
        <v>0</v>
      </c>
      <c r="M1096" s="163">
        <v>0</v>
      </c>
      <c r="N1096" s="163">
        <v>0</v>
      </c>
      <c r="O1096" s="163" t="s">
        <v>42</v>
      </c>
      <c r="P1096" s="163">
        <v>0</v>
      </c>
      <c r="Q1096" s="146">
        <v>0</v>
      </c>
      <c r="T1096" s="130"/>
    </row>
    <row r="1097" spans="1:20" ht="11.25" customHeight="1" x14ac:dyDescent="0.2">
      <c r="A1097" s="122"/>
      <c r="B1097" s="168" t="s">
        <v>91</v>
      </c>
      <c r="C1097" s="162">
        <v>4.4000000000000004</v>
      </c>
      <c r="D1097" s="206">
        <v>6.3</v>
      </c>
      <c r="E1097" s="163">
        <v>1.9000000000000001</v>
      </c>
      <c r="F1097" s="163">
        <v>1.8999999999999995</v>
      </c>
      <c r="G1097" s="164">
        <v>6.3</v>
      </c>
      <c r="H1097" s="163">
        <v>1.9E-2</v>
      </c>
      <c r="I1097" s="165">
        <v>0.30158730158730157</v>
      </c>
      <c r="J1097" s="164">
        <v>6.2809999999999997</v>
      </c>
      <c r="K1097" s="163">
        <v>0</v>
      </c>
      <c r="L1097" s="163">
        <v>5.0000000000000001E-3</v>
      </c>
      <c r="M1097" s="163">
        <v>0</v>
      </c>
      <c r="N1097" s="163">
        <v>0</v>
      </c>
      <c r="O1097" s="163">
        <v>0</v>
      </c>
      <c r="P1097" s="169">
        <v>1.25E-3</v>
      </c>
      <c r="Q1097" s="146" t="s">
        <v>186</v>
      </c>
      <c r="T1097" s="130"/>
    </row>
    <row r="1098" spans="1:20" ht="11.25" customHeight="1" x14ac:dyDescent="0.2">
      <c r="A1098" s="122"/>
      <c r="B1098" s="168"/>
      <c r="D1098" s="206"/>
      <c r="E1098" s="163"/>
      <c r="F1098" s="163"/>
      <c r="G1098" s="164"/>
      <c r="H1098" s="163"/>
      <c r="I1098" s="165"/>
      <c r="J1098" s="164"/>
      <c r="K1098" s="163"/>
      <c r="L1098" s="163"/>
      <c r="M1098" s="163"/>
      <c r="N1098" s="163"/>
      <c r="O1098" s="163"/>
      <c r="P1098" s="163"/>
      <c r="Q1098" s="146"/>
      <c r="T1098" s="130"/>
    </row>
    <row r="1099" spans="1:20" ht="10.7" customHeight="1" x14ac:dyDescent="0.2">
      <c r="A1099" s="122"/>
      <c r="B1099" s="161" t="s">
        <v>92</v>
      </c>
      <c r="C1099" s="162">
        <v>0.2</v>
      </c>
      <c r="D1099" s="206">
        <v>0.2</v>
      </c>
      <c r="E1099" s="163">
        <v>0</v>
      </c>
      <c r="F1099" s="163">
        <v>0</v>
      </c>
      <c r="G1099" s="164">
        <v>0.2</v>
      </c>
      <c r="H1099" s="163">
        <v>0</v>
      </c>
      <c r="I1099" s="165">
        <v>0</v>
      </c>
      <c r="J1099" s="164">
        <v>0.2</v>
      </c>
      <c r="K1099" s="163">
        <v>0</v>
      </c>
      <c r="L1099" s="163">
        <v>0</v>
      </c>
      <c r="M1099" s="163">
        <v>0</v>
      </c>
      <c r="N1099" s="163">
        <v>0</v>
      </c>
      <c r="O1099" s="163">
        <v>0</v>
      </c>
      <c r="P1099" s="163">
        <v>0</v>
      </c>
      <c r="Q1099" s="146" t="s">
        <v>186</v>
      </c>
      <c r="T1099" s="130"/>
    </row>
    <row r="1100" spans="1:20" ht="10.7" customHeight="1" x14ac:dyDescent="0.2">
      <c r="A1100" s="122"/>
      <c r="B1100" s="161" t="s">
        <v>93</v>
      </c>
      <c r="C1100" s="162">
        <v>0.3</v>
      </c>
      <c r="D1100" s="206">
        <v>0.3</v>
      </c>
      <c r="E1100" s="163">
        <v>0</v>
      </c>
      <c r="F1100" s="163">
        <v>0</v>
      </c>
      <c r="G1100" s="164">
        <v>0.3</v>
      </c>
      <c r="H1100" s="163">
        <v>0</v>
      </c>
      <c r="I1100" s="165">
        <v>0</v>
      </c>
      <c r="J1100" s="164">
        <v>0.3</v>
      </c>
      <c r="K1100" s="163">
        <v>0</v>
      </c>
      <c r="L1100" s="163">
        <v>0</v>
      </c>
      <c r="M1100" s="163">
        <v>0</v>
      </c>
      <c r="N1100" s="163">
        <v>0</v>
      </c>
      <c r="O1100" s="163">
        <v>0</v>
      </c>
      <c r="P1100" s="163">
        <v>0</v>
      </c>
      <c r="Q1100" s="146" t="s">
        <v>186</v>
      </c>
      <c r="T1100" s="130"/>
    </row>
    <row r="1101" spans="1:20" ht="10.7" hidden="1" customHeight="1" x14ac:dyDescent="0.2">
      <c r="A1101" s="122"/>
      <c r="B1101" s="161" t="s">
        <v>94</v>
      </c>
      <c r="C1101" s="162">
        <v>0</v>
      </c>
      <c r="D1101" s="206">
        <v>0</v>
      </c>
      <c r="E1101" s="163">
        <v>0</v>
      </c>
      <c r="F1101" s="163">
        <v>0</v>
      </c>
      <c r="G1101" s="164">
        <v>0</v>
      </c>
      <c r="H1101" s="163">
        <v>0</v>
      </c>
      <c r="I1101" s="165" t="s">
        <v>119</v>
      </c>
      <c r="J1101" s="164">
        <v>0</v>
      </c>
      <c r="K1101" s="163">
        <v>0</v>
      </c>
      <c r="L1101" s="163">
        <v>0</v>
      </c>
      <c r="M1101" s="163">
        <v>0</v>
      </c>
      <c r="N1101" s="163">
        <v>0</v>
      </c>
      <c r="O1101" s="163" t="s">
        <v>42</v>
      </c>
      <c r="P1101" s="163">
        <v>0</v>
      </c>
      <c r="Q1101" s="146" t="s">
        <v>162</v>
      </c>
      <c r="T1101" s="130"/>
    </row>
    <row r="1102" spans="1:20" ht="10.7" customHeight="1" x14ac:dyDescent="0.2">
      <c r="A1102" s="122"/>
      <c r="B1102" s="161" t="s">
        <v>95</v>
      </c>
      <c r="C1102" s="162">
        <v>0</v>
      </c>
      <c r="D1102" s="206">
        <v>0</v>
      </c>
      <c r="E1102" s="163">
        <v>0</v>
      </c>
      <c r="F1102" s="163">
        <v>0</v>
      </c>
      <c r="G1102" s="164">
        <v>0</v>
      </c>
      <c r="H1102" s="163">
        <v>0</v>
      </c>
      <c r="I1102" s="165" t="s">
        <v>119</v>
      </c>
      <c r="J1102" s="164">
        <v>0</v>
      </c>
      <c r="K1102" s="163">
        <v>0</v>
      </c>
      <c r="L1102" s="163">
        <v>0</v>
      </c>
      <c r="M1102" s="163">
        <v>0</v>
      </c>
      <c r="N1102" s="163">
        <v>0</v>
      </c>
      <c r="O1102" s="163" t="s">
        <v>42</v>
      </c>
      <c r="P1102" s="163">
        <v>0</v>
      </c>
      <c r="Q1102" s="146">
        <v>0</v>
      </c>
      <c r="T1102" s="130"/>
    </row>
    <row r="1103" spans="1:20" ht="10.7" customHeight="1" x14ac:dyDescent="0.2">
      <c r="A1103" s="122"/>
      <c r="B1103" s="161" t="s">
        <v>96</v>
      </c>
      <c r="C1103" s="162">
        <v>0.8</v>
      </c>
      <c r="D1103" s="206">
        <v>0.8</v>
      </c>
      <c r="E1103" s="163">
        <v>0</v>
      </c>
      <c r="F1103" s="163">
        <v>0</v>
      </c>
      <c r="G1103" s="164">
        <v>0.8</v>
      </c>
      <c r="H1103" s="163">
        <v>0</v>
      </c>
      <c r="I1103" s="165">
        <v>0</v>
      </c>
      <c r="J1103" s="164">
        <v>0.8</v>
      </c>
      <c r="K1103" s="163">
        <v>0</v>
      </c>
      <c r="L1103" s="163">
        <v>0</v>
      </c>
      <c r="M1103" s="163">
        <v>0</v>
      </c>
      <c r="N1103" s="163">
        <v>0</v>
      </c>
      <c r="O1103" s="163">
        <v>0</v>
      </c>
      <c r="P1103" s="163">
        <v>0</v>
      </c>
      <c r="Q1103" s="146" t="s">
        <v>186</v>
      </c>
      <c r="T1103" s="130"/>
    </row>
    <row r="1104" spans="1:20" ht="10.7" customHeight="1" x14ac:dyDescent="0.2">
      <c r="A1104" s="122"/>
      <c r="B1104" s="161" t="s">
        <v>97</v>
      </c>
      <c r="C1104" s="162">
        <v>0.4</v>
      </c>
      <c r="D1104" s="206">
        <v>0.4</v>
      </c>
      <c r="E1104" s="163">
        <v>0</v>
      </c>
      <c r="F1104" s="163">
        <v>0</v>
      </c>
      <c r="G1104" s="164">
        <v>0.4</v>
      </c>
      <c r="H1104" s="163">
        <v>0</v>
      </c>
      <c r="I1104" s="165">
        <v>0</v>
      </c>
      <c r="J1104" s="164">
        <v>0.4</v>
      </c>
      <c r="K1104" s="163">
        <v>0</v>
      </c>
      <c r="L1104" s="163">
        <v>0</v>
      </c>
      <c r="M1104" s="163">
        <v>0</v>
      </c>
      <c r="N1104" s="163">
        <v>0</v>
      </c>
      <c r="O1104" s="163">
        <v>0</v>
      </c>
      <c r="P1104" s="163">
        <v>0</v>
      </c>
      <c r="Q1104" s="146" t="s">
        <v>186</v>
      </c>
      <c r="T1104" s="130"/>
    </row>
    <row r="1105" spans="1:20" ht="10.7" customHeight="1" x14ac:dyDescent="0.2">
      <c r="A1105" s="122"/>
      <c r="B1105" s="161" t="s">
        <v>98</v>
      </c>
      <c r="C1105" s="162">
        <v>0.4</v>
      </c>
      <c r="D1105" s="206">
        <v>0.4</v>
      </c>
      <c r="E1105" s="163">
        <v>0</v>
      </c>
      <c r="F1105" s="163">
        <v>0</v>
      </c>
      <c r="G1105" s="164">
        <v>0.4</v>
      </c>
      <c r="H1105" s="163">
        <v>0</v>
      </c>
      <c r="I1105" s="165">
        <v>0</v>
      </c>
      <c r="J1105" s="164">
        <v>0.4</v>
      </c>
      <c r="K1105" s="163">
        <v>0</v>
      </c>
      <c r="L1105" s="163">
        <v>0</v>
      </c>
      <c r="M1105" s="163">
        <v>0</v>
      </c>
      <c r="N1105" s="163">
        <v>0</v>
      </c>
      <c r="O1105" s="163">
        <v>0</v>
      </c>
      <c r="P1105" s="163">
        <v>0</v>
      </c>
      <c r="Q1105" s="146" t="s">
        <v>186</v>
      </c>
      <c r="T1105" s="130"/>
    </row>
    <row r="1106" spans="1:20" ht="10.7" customHeight="1" x14ac:dyDescent="0.2">
      <c r="A1106" s="122"/>
      <c r="B1106" s="161" t="s">
        <v>99</v>
      </c>
      <c r="C1106" s="162">
        <v>3.7</v>
      </c>
      <c r="D1106" s="206">
        <v>1.8000000000000003</v>
      </c>
      <c r="E1106" s="163">
        <v>-1.9</v>
      </c>
      <c r="F1106" s="163">
        <v>-1.9</v>
      </c>
      <c r="G1106" s="164">
        <v>1.8000000000000003</v>
      </c>
      <c r="H1106" s="163">
        <v>0</v>
      </c>
      <c r="I1106" s="165">
        <v>0</v>
      </c>
      <c r="J1106" s="164">
        <v>1.8000000000000003</v>
      </c>
      <c r="K1106" s="163">
        <v>0</v>
      </c>
      <c r="L1106" s="163">
        <v>0</v>
      </c>
      <c r="M1106" s="163">
        <v>0</v>
      </c>
      <c r="N1106" s="163">
        <v>0</v>
      </c>
      <c r="O1106" s="163">
        <v>0</v>
      </c>
      <c r="P1106" s="163">
        <v>0</v>
      </c>
      <c r="Q1106" s="146" t="s">
        <v>186</v>
      </c>
      <c r="T1106" s="130"/>
    </row>
    <row r="1107" spans="1:20" ht="10.7" customHeight="1" x14ac:dyDescent="0.2">
      <c r="A1107" s="122"/>
      <c r="B1107" s="161" t="s">
        <v>100</v>
      </c>
      <c r="C1107" s="162">
        <v>0.2</v>
      </c>
      <c r="D1107" s="206">
        <v>0.2</v>
      </c>
      <c r="E1107" s="163">
        <v>0</v>
      </c>
      <c r="F1107" s="163">
        <v>0</v>
      </c>
      <c r="G1107" s="164">
        <v>0.2</v>
      </c>
      <c r="H1107" s="163">
        <v>0</v>
      </c>
      <c r="I1107" s="165">
        <v>0</v>
      </c>
      <c r="J1107" s="164">
        <v>0.2</v>
      </c>
      <c r="K1107" s="163">
        <v>0</v>
      </c>
      <c r="L1107" s="163">
        <v>0</v>
      </c>
      <c r="M1107" s="163">
        <v>0</v>
      </c>
      <c r="N1107" s="163">
        <v>0</v>
      </c>
      <c r="O1107" s="163">
        <v>0</v>
      </c>
      <c r="P1107" s="163">
        <v>0</v>
      </c>
      <c r="Q1107" s="146" t="s">
        <v>186</v>
      </c>
      <c r="T1107" s="130"/>
    </row>
    <row r="1108" spans="1:20" ht="10.7" customHeight="1" x14ac:dyDescent="0.2">
      <c r="A1108" s="122"/>
      <c r="B1108" s="161" t="s">
        <v>101</v>
      </c>
      <c r="C1108" s="162">
        <v>0</v>
      </c>
      <c r="D1108" s="206">
        <v>0</v>
      </c>
      <c r="E1108" s="163">
        <v>0</v>
      </c>
      <c r="F1108" s="163">
        <v>0</v>
      </c>
      <c r="G1108" s="164">
        <v>0</v>
      </c>
      <c r="H1108" s="163">
        <v>0</v>
      </c>
      <c r="I1108" s="165" t="s">
        <v>119</v>
      </c>
      <c r="J1108" s="164">
        <v>0</v>
      </c>
      <c r="K1108" s="163">
        <v>0</v>
      </c>
      <c r="L1108" s="163">
        <v>0</v>
      </c>
      <c r="M1108" s="163">
        <v>0</v>
      </c>
      <c r="N1108" s="163">
        <v>0</v>
      </c>
      <c r="O1108" s="163" t="s">
        <v>42</v>
      </c>
      <c r="P1108" s="163">
        <v>0</v>
      </c>
      <c r="Q1108" s="146">
        <v>0</v>
      </c>
      <c r="T1108" s="130"/>
    </row>
    <row r="1109" spans="1:20" ht="10.7" customHeight="1" x14ac:dyDescent="0.2">
      <c r="A1109" s="122"/>
      <c r="B1109" s="161" t="s">
        <v>102</v>
      </c>
      <c r="C1109" s="162">
        <v>0.2</v>
      </c>
      <c r="D1109" s="206">
        <v>0.2</v>
      </c>
      <c r="E1109" s="163">
        <v>0</v>
      </c>
      <c r="F1109" s="163">
        <v>0</v>
      </c>
      <c r="G1109" s="164">
        <v>0.2</v>
      </c>
      <c r="H1109" s="163">
        <v>0</v>
      </c>
      <c r="I1109" s="165">
        <v>0</v>
      </c>
      <c r="J1109" s="164">
        <v>0.2</v>
      </c>
      <c r="K1109" s="163">
        <v>0</v>
      </c>
      <c r="L1109" s="163">
        <v>0</v>
      </c>
      <c r="M1109" s="163">
        <v>0</v>
      </c>
      <c r="N1109" s="163">
        <v>0</v>
      </c>
      <c r="O1109" s="163">
        <v>0</v>
      </c>
      <c r="P1109" s="163">
        <v>0</v>
      </c>
      <c r="Q1109" s="146" t="s">
        <v>162</v>
      </c>
      <c r="T1109" s="130"/>
    </row>
    <row r="1110" spans="1:20" ht="10.7" customHeight="1" x14ac:dyDescent="0.2">
      <c r="A1110" s="122"/>
      <c r="B1110" s="161" t="s">
        <v>103</v>
      </c>
      <c r="C1110" s="162">
        <v>1</v>
      </c>
      <c r="D1110" s="206">
        <v>1</v>
      </c>
      <c r="E1110" s="163">
        <v>0</v>
      </c>
      <c r="F1110" s="163">
        <v>0</v>
      </c>
      <c r="G1110" s="164">
        <v>1</v>
      </c>
      <c r="H1110" s="163">
        <v>0</v>
      </c>
      <c r="I1110" s="165">
        <v>0</v>
      </c>
      <c r="J1110" s="164">
        <v>1</v>
      </c>
      <c r="K1110" s="163">
        <v>0</v>
      </c>
      <c r="L1110" s="163">
        <v>0</v>
      </c>
      <c r="M1110" s="163">
        <v>0</v>
      </c>
      <c r="N1110" s="163">
        <v>0</v>
      </c>
      <c r="O1110" s="163">
        <v>0</v>
      </c>
      <c r="P1110" s="163">
        <v>0</v>
      </c>
      <c r="Q1110" s="146" t="s">
        <v>186</v>
      </c>
      <c r="T1110" s="130"/>
    </row>
    <row r="1111" spans="1:20" ht="10.7" customHeight="1" x14ac:dyDescent="0.2">
      <c r="A1111" s="122"/>
      <c r="B1111" s="1" t="s">
        <v>104</v>
      </c>
      <c r="C1111" s="162">
        <v>0</v>
      </c>
      <c r="D1111" s="206">
        <v>0</v>
      </c>
      <c r="E1111" s="163">
        <v>0</v>
      </c>
      <c r="F1111" s="163">
        <v>0</v>
      </c>
      <c r="G1111" s="164">
        <v>0</v>
      </c>
      <c r="H1111" s="163">
        <v>0</v>
      </c>
      <c r="I1111" s="165" t="s">
        <v>119</v>
      </c>
      <c r="J1111" s="164">
        <v>0</v>
      </c>
      <c r="K1111" s="163">
        <v>0</v>
      </c>
      <c r="L1111" s="163">
        <v>0</v>
      </c>
      <c r="M1111" s="163">
        <v>0</v>
      </c>
      <c r="N1111" s="163">
        <v>0</v>
      </c>
      <c r="O1111" s="163" t="s">
        <v>42</v>
      </c>
      <c r="P1111" s="163">
        <v>0</v>
      </c>
      <c r="Q1111" s="146">
        <v>0</v>
      </c>
      <c r="T1111" s="130"/>
    </row>
    <row r="1112" spans="1:20" ht="10.7" customHeight="1" x14ac:dyDescent="0.2">
      <c r="A1112" s="122"/>
      <c r="B1112" s="168" t="s">
        <v>106</v>
      </c>
      <c r="C1112" s="172">
        <v>11.600000000000001</v>
      </c>
      <c r="D1112" s="206">
        <v>11.6</v>
      </c>
      <c r="E1112" s="163">
        <v>0</v>
      </c>
      <c r="F1112" s="163">
        <v>0</v>
      </c>
      <c r="G1112" s="164">
        <v>11.6</v>
      </c>
      <c r="H1112" s="163">
        <v>1.9E-2</v>
      </c>
      <c r="I1112" s="165">
        <v>0.16379310344827586</v>
      </c>
      <c r="J1112" s="164">
        <v>11.581</v>
      </c>
      <c r="K1112" s="163">
        <v>0</v>
      </c>
      <c r="L1112" s="163">
        <v>4.9999999999999992E-3</v>
      </c>
      <c r="M1112" s="163">
        <v>0</v>
      </c>
      <c r="N1112" s="163">
        <v>0</v>
      </c>
      <c r="O1112" s="163">
        <v>0</v>
      </c>
      <c r="P1112" s="163">
        <v>1.2499999999999998E-3</v>
      </c>
      <c r="Q1112" s="146" t="s">
        <v>186</v>
      </c>
      <c r="T1112" s="130"/>
    </row>
    <row r="1113" spans="1:20" ht="10.7" customHeight="1" x14ac:dyDescent="0.2">
      <c r="A1113" s="122"/>
      <c r="B1113" s="168"/>
      <c r="C1113" s="162"/>
      <c r="D1113" s="206"/>
      <c r="E1113" s="163"/>
      <c r="F1113" s="163"/>
      <c r="G1113" s="164"/>
      <c r="H1113" s="163"/>
      <c r="I1113" s="165"/>
      <c r="J1113" s="164"/>
      <c r="K1113" s="163"/>
      <c r="L1113" s="163"/>
      <c r="M1113" s="163"/>
      <c r="N1113" s="163"/>
      <c r="O1113" s="163"/>
      <c r="P1113" s="163"/>
      <c r="Q1113" s="146"/>
      <c r="T1113" s="130"/>
    </row>
    <row r="1114" spans="1:20" ht="10.7" customHeight="1" x14ac:dyDescent="0.2">
      <c r="A1114" s="122"/>
      <c r="B1114" s="161" t="s">
        <v>107</v>
      </c>
      <c r="C1114" s="162">
        <v>0.4</v>
      </c>
      <c r="D1114" s="206">
        <v>0.4</v>
      </c>
      <c r="E1114" s="163">
        <v>0</v>
      </c>
      <c r="F1114" s="163">
        <v>0</v>
      </c>
      <c r="G1114" s="164">
        <v>0.4</v>
      </c>
      <c r="H1114" s="163">
        <v>0</v>
      </c>
      <c r="I1114" s="165">
        <v>0</v>
      </c>
      <c r="J1114" s="164">
        <v>0.4</v>
      </c>
      <c r="K1114" s="163">
        <v>0</v>
      </c>
      <c r="L1114" s="163">
        <v>0</v>
      </c>
      <c r="M1114" s="163">
        <v>0</v>
      </c>
      <c r="N1114" s="163">
        <v>0</v>
      </c>
      <c r="O1114" s="163">
        <v>0</v>
      </c>
      <c r="P1114" s="163">
        <v>0</v>
      </c>
      <c r="Q1114" s="146" t="s">
        <v>186</v>
      </c>
      <c r="T1114" s="130"/>
    </row>
    <row r="1115" spans="1:20" ht="10.7" customHeight="1" x14ac:dyDescent="0.2">
      <c r="A1115" s="122"/>
      <c r="B1115" s="161" t="s">
        <v>108</v>
      </c>
      <c r="C1115" s="162">
        <v>0</v>
      </c>
      <c r="D1115" s="162">
        <v>0</v>
      </c>
      <c r="E1115" s="173">
        <v>0</v>
      </c>
      <c r="F1115" s="163">
        <v>0</v>
      </c>
      <c r="G1115" s="164">
        <v>0</v>
      </c>
      <c r="H1115" s="163">
        <v>0</v>
      </c>
      <c r="I1115" s="165" t="s">
        <v>119</v>
      </c>
      <c r="J1115" s="164">
        <v>0</v>
      </c>
      <c r="K1115" s="163">
        <v>0</v>
      </c>
      <c r="L1115" s="163">
        <v>0</v>
      </c>
      <c r="M1115" s="163">
        <v>0</v>
      </c>
      <c r="N1115" s="163">
        <v>0</v>
      </c>
      <c r="O1115" s="163" t="s">
        <v>42</v>
      </c>
      <c r="P1115" s="163">
        <v>0</v>
      </c>
      <c r="Q1115" s="146">
        <v>0</v>
      </c>
      <c r="T1115" s="130"/>
    </row>
    <row r="1116" spans="1:20" ht="10.7" customHeight="1" x14ac:dyDescent="0.2">
      <c r="A1116" s="122"/>
      <c r="B1116" s="174" t="s">
        <v>109</v>
      </c>
      <c r="C1116" s="162">
        <v>0.1</v>
      </c>
      <c r="D1116" s="162">
        <v>0</v>
      </c>
      <c r="E1116" s="173">
        <v>0</v>
      </c>
      <c r="F1116" s="163">
        <v>0</v>
      </c>
      <c r="G1116" s="164">
        <v>0.1</v>
      </c>
      <c r="H1116" s="163">
        <v>0</v>
      </c>
      <c r="I1116" s="165">
        <v>0</v>
      </c>
      <c r="J1116" s="164">
        <v>0.1</v>
      </c>
      <c r="K1116" s="163">
        <v>0</v>
      </c>
      <c r="L1116" s="163">
        <v>0</v>
      </c>
      <c r="M1116" s="163">
        <v>0</v>
      </c>
      <c r="N1116" s="163">
        <v>0</v>
      </c>
      <c r="O1116" s="163">
        <v>0</v>
      </c>
      <c r="P1116" s="163">
        <v>0</v>
      </c>
      <c r="Q1116" s="146" t="s">
        <v>162</v>
      </c>
      <c r="T1116" s="130"/>
    </row>
    <row r="1117" spans="1:20" ht="10.7" customHeight="1" x14ac:dyDescent="0.2">
      <c r="A1117" s="122"/>
      <c r="B1117" s="174"/>
      <c r="C1117" s="162"/>
      <c r="D1117" s="206"/>
      <c r="E1117" s="163"/>
      <c r="F1117" s="163"/>
      <c r="G1117" s="164"/>
      <c r="H1117" s="163"/>
      <c r="I1117" s="165"/>
      <c r="J1117" s="164"/>
      <c r="K1117" s="163"/>
      <c r="L1117" s="163"/>
      <c r="M1117" s="163"/>
      <c r="N1117" s="163"/>
      <c r="O1117" s="163"/>
      <c r="P1117" s="163"/>
      <c r="Q1117" s="146"/>
      <c r="T1117" s="130"/>
    </row>
    <row r="1118" spans="1:20" ht="10.7" customHeight="1" x14ac:dyDescent="0.2">
      <c r="A1118" s="122"/>
      <c r="B1118" s="174" t="s">
        <v>111</v>
      </c>
      <c r="C1118" s="162">
        <v>0</v>
      </c>
      <c r="D1118" s="206"/>
      <c r="E1118" s="163"/>
      <c r="F1118" s="163"/>
      <c r="G1118" s="164">
        <v>0</v>
      </c>
      <c r="H1118" s="163"/>
      <c r="I1118" s="165"/>
      <c r="J1118" s="164"/>
      <c r="K1118" s="163"/>
      <c r="L1118" s="163"/>
      <c r="M1118" s="163"/>
      <c r="N1118" s="163"/>
      <c r="O1118" s="163"/>
      <c r="P1118" s="163"/>
      <c r="Q1118" s="146"/>
      <c r="T1118" s="130"/>
    </row>
    <row r="1119" spans="1:20" ht="10.7" customHeight="1" x14ac:dyDescent="0.2">
      <c r="A1119" s="122"/>
      <c r="B1119" s="175" t="s">
        <v>112</v>
      </c>
      <c r="C1119" s="176">
        <v>12.100000000000001</v>
      </c>
      <c r="D1119" s="201">
        <v>12</v>
      </c>
      <c r="E1119" s="177">
        <v>0</v>
      </c>
      <c r="F1119" s="180">
        <v>-0.10000000000000142</v>
      </c>
      <c r="G1119" s="189">
        <v>12.1</v>
      </c>
      <c r="H1119" s="180">
        <v>1.9E-2</v>
      </c>
      <c r="I1119" s="179">
        <v>0.15702479338842976</v>
      </c>
      <c r="J1119" s="189">
        <v>12.081</v>
      </c>
      <c r="K1119" s="180">
        <v>0</v>
      </c>
      <c r="L1119" s="180">
        <v>4.9999999999999992E-3</v>
      </c>
      <c r="M1119" s="180">
        <v>0</v>
      </c>
      <c r="N1119" s="180">
        <v>0</v>
      </c>
      <c r="O1119" s="180">
        <v>0</v>
      </c>
      <c r="P1119" s="190">
        <v>1.2499999999999998E-3</v>
      </c>
      <c r="Q1119" s="153" t="s">
        <v>186</v>
      </c>
      <c r="T1119" s="130"/>
    </row>
    <row r="1120" spans="1:20" ht="10.7" customHeight="1" x14ac:dyDescent="0.2">
      <c r="A1120" s="122"/>
      <c r="B1120" s="191"/>
      <c r="C1120" s="181"/>
      <c r="D1120" s="163"/>
      <c r="E1120" s="163"/>
      <c r="F1120" s="163"/>
      <c r="G1120" s="164"/>
      <c r="H1120" s="163"/>
      <c r="I1120" s="2"/>
      <c r="J1120" s="164"/>
      <c r="K1120" s="163"/>
      <c r="L1120" s="163"/>
      <c r="M1120" s="163"/>
      <c r="N1120" s="163"/>
      <c r="O1120" s="163"/>
      <c r="P1120" s="163"/>
      <c r="Q1120" s="182"/>
      <c r="T1120" s="130"/>
    </row>
    <row r="1121" spans="1:20" ht="10.7" customHeight="1" x14ac:dyDescent="0.2">
      <c r="A1121" s="122"/>
      <c r="B1121" s="131"/>
      <c r="C1121" s="181"/>
      <c r="D1121" s="183"/>
      <c r="E1121" s="183"/>
      <c r="F1121" s="183"/>
      <c r="G1121" s="184"/>
      <c r="H1121" s="183"/>
      <c r="I1121" s="163"/>
      <c r="J1121" s="184"/>
      <c r="K1121" s="185"/>
      <c r="L1121" s="185"/>
      <c r="M1121" s="185"/>
      <c r="N1121" s="185"/>
      <c r="O1121" s="173"/>
      <c r="P1121" s="183"/>
      <c r="Q1121" s="182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202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203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203" t="s">
        <v>74</v>
      </c>
      <c r="J1124" s="147" t="s">
        <v>75</v>
      </c>
      <c r="K1124" s="151">
        <v>43166</v>
      </c>
      <c r="L1124" s="151">
        <v>43173</v>
      </c>
      <c r="M1124" s="151">
        <v>43180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204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6"/>
      <c r="C1126" s="193" t="s">
        <v>128</v>
      </c>
      <c r="D1126" s="193"/>
      <c r="E1126" s="193"/>
      <c r="F1126" s="193"/>
      <c r="G1126" s="193"/>
      <c r="H1126" s="193"/>
      <c r="I1126" s="193"/>
      <c r="J1126" s="193"/>
      <c r="K1126" s="193"/>
      <c r="L1126" s="193"/>
      <c r="M1126" s="193"/>
      <c r="N1126" s="193"/>
      <c r="O1126" s="193"/>
      <c r="P1126" s="194"/>
      <c r="Q1126" s="145"/>
      <c r="T1126" s="130"/>
    </row>
    <row r="1127" spans="1:20" ht="10.7" customHeight="1" x14ac:dyDescent="0.2">
      <c r="A1127" s="122"/>
      <c r="B1127" s="161" t="s">
        <v>80</v>
      </c>
      <c r="C1127" s="162">
        <v>1133.8</v>
      </c>
      <c r="D1127" s="206">
        <v>1167.8</v>
      </c>
      <c r="E1127" s="163">
        <v>17</v>
      </c>
      <c r="F1127" s="163">
        <v>34</v>
      </c>
      <c r="G1127" s="164">
        <v>1167.8</v>
      </c>
      <c r="H1127" s="163">
        <v>592.77690000152586</v>
      </c>
      <c r="I1127" s="165">
        <v>50.760138722514633</v>
      </c>
      <c r="J1127" s="164">
        <v>575.02309999847409</v>
      </c>
      <c r="K1127" s="163">
        <v>61.385000000000048</v>
      </c>
      <c r="L1127" s="163">
        <v>36.734900001525887</v>
      </c>
      <c r="M1127" s="163">
        <v>21.560999999999979</v>
      </c>
      <c r="N1127" s="163">
        <v>129.67899999999997</v>
      </c>
      <c r="O1127" s="163">
        <v>11.104555574584687</v>
      </c>
      <c r="P1127" s="163">
        <v>62.339975000381472</v>
      </c>
      <c r="Q1127" s="146">
        <v>7.223986695454327</v>
      </c>
      <c r="T1127" s="130"/>
    </row>
    <row r="1128" spans="1:20" ht="10.7" customHeight="1" x14ac:dyDescent="0.2">
      <c r="A1128" s="122"/>
      <c r="B1128" s="161" t="s">
        <v>81</v>
      </c>
      <c r="C1128" s="162">
        <v>138.9</v>
      </c>
      <c r="D1128" s="206">
        <v>150.9</v>
      </c>
      <c r="E1128" s="163">
        <v>0</v>
      </c>
      <c r="F1128" s="163">
        <v>12</v>
      </c>
      <c r="G1128" s="164">
        <v>150.9</v>
      </c>
      <c r="H1128" s="163">
        <v>22.189399999999999</v>
      </c>
      <c r="I1128" s="165">
        <v>14.70470510271703</v>
      </c>
      <c r="J1128" s="164">
        <v>128.7106</v>
      </c>
      <c r="K1128" s="163">
        <v>4.8973999999999993</v>
      </c>
      <c r="L1128" s="163">
        <v>3.1783999999999999</v>
      </c>
      <c r="M1128" s="163">
        <v>0.27399999999999736</v>
      </c>
      <c r="N1128" s="163">
        <v>1.4136000000000024</v>
      </c>
      <c r="O1128" s="163">
        <v>0.93677932405566766</v>
      </c>
      <c r="P1128" s="163">
        <v>2.4408499999999997</v>
      </c>
      <c r="Q1128" s="146" t="s">
        <v>186</v>
      </c>
      <c r="T1128" s="130"/>
    </row>
    <row r="1129" spans="1:20" ht="10.7" customHeight="1" x14ac:dyDescent="0.2">
      <c r="A1129" s="122"/>
      <c r="B1129" s="161" t="s">
        <v>82</v>
      </c>
      <c r="C1129" s="162">
        <v>99.9</v>
      </c>
      <c r="D1129" s="206">
        <v>99.4</v>
      </c>
      <c r="E1129" s="163">
        <v>-3</v>
      </c>
      <c r="F1129" s="163">
        <v>-0.5</v>
      </c>
      <c r="G1129" s="164">
        <v>99.4</v>
      </c>
      <c r="H1129" s="163">
        <v>63.56</v>
      </c>
      <c r="I1129" s="165">
        <v>63.943661971830984</v>
      </c>
      <c r="J1129" s="164">
        <v>35.840000000000003</v>
      </c>
      <c r="K1129" s="163">
        <v>15.335000000000001</v>
      </c>
      <c r="L1129" s="163">
        <v>10.218000000000004</v>
      </c>
      <c r="M1129" s="163">
        <v>16.619999999999997</v>
      </c>
      <c r="N1129" s="163">
        <v>4.1610000000000014</v>
      </c>
      <c r="O1129" s="163">
        <v>4.1861167002012083</v>
      </c>
      <c r="P1129" s="163">
        <v>11.583500000000001</v>
      </c>
      <c r="Q1129" s="146">
        <v>1.0940562006302068</v>
      </c>
      <c r="T1129" s="130"/>
    </row>
    <row r="1130" spans="1:20" ht="10.7" customHeight="1" x14ac:dyDescent="0.2">
      <c r="A1130" s="122"/>
      <c r="B1130" s="161" t="s">
        <v>83</v>
      </c>
      <c r="C1130" s="162">
        <v>266.39999999999998</v>
      </c>
      <c r="D1130" s="206">
        <v>246.39999999999998</v>
      </c>
      <c r="E1130" s="163">
        <v>-20</v>
      </c>
      <c r="F1130" s="163">
        <v>-20</v>
      </c>
      <c r="G1130" s="164">
        <v>246.39999999999998</v>
      </c>
      <c r="H1130" s="163">
        <v>20.093</v>
      </c>
      <c r="I1130" s="165">
        <v>8.1546266233766236</v>
      </c>
      <c r="J1130" s="164">
        <v>226.30699999999999</v>
      </c>
      <c r="K1130" s="163">
        <v>2.9649999999999999</v>
      </c>
      <c r="L1130" s="163">
        <v>8.6980000000000004</v>
      </c>
      <c r="M1130" s="163">
        <v>4.666999999999998</v>
      </c>
      <c r="N1130" s="163">
        <v>3.7630000000000017</v>
      </c>
      <c r="O1130" s="163">
        <v>1.5271915584415592</v>
      </c>
      <c r="P1130" s="163">
        <v>5.02325</v>
      </c>
      <c r="Q1130" s="146">
        <v>43.051908624894239</v>
      </c>
      <c r="T1130" s="130"/>
    </row>
    <row r="1131" spans="1:20" ht="10.7" customHeight="1" x14ac:dyDescent="0.2">
      <c r="A1131" s="122"/>
      <c r="B1131" s="161" t="s">
        <v>84</v>
      </c>
      <c r="C1131" s="162">
        <v>5</v>
      </c>
      <c r="D1131" s="206">
        <v>5</v>
      </c>
      <c r="E1131" s="163">
        <v>0</v>
      </c>
      <c r="F1131" s="163">
        <v>0</v>
      </c>
      <c r="G1131" s="164">
        <v>5</v>
      </c>
      <c r="H1131" s="163">
        <v>0.71599999999999997</v>
      </c>
      <c r="I1131" s="165">
        <v>14.319999999999999</v>
      </c>
      <c r="J1131" s="164">
        <v>4.2839999999999998</v>
      </c>
      <c r="K1131" s="163">
        <v>0</v>
      </c>
      <c r="L1131" s="163">
        <v>0</v>
      </c>
      <c r="M1131" s="163">
        <v>0</v>
      </c>
      <c r="N1131" s="163">
        <v>0.71599999999999997</v>
      </c>
      <c r="O1131" s="163">
        <v>14.32</v>
      </c>
      <c r="P1131" s="163">
        <v>0.17899999999999999</v>
      </c>
      <c r="Q1131" s="146">
        <v>21.932960893854748</v>
      </c>
      <c r="T1131" s="130"/>
    </row>
    <row r="1132" spans="1:20" ht="10.7" customHeight="1" x14ac:dyDescent="0.2">
      <c r="A1132" s="122"/>
      <c r="B1132" s="161" t="s">
        <v>85</v>
      </c>
      <c r="C1132" s="162">
        <v>45.9</v>
      </c>
      <c r="D1132" s="206">
        <v>59.8</v>
      </c>
      <c r="E1132" s="163">
        <v>10.899999999999999</v>
      </c>
      <c r="F1132" s="163">
        <v>13.899999999999999</v>
      </c>
      <c r="G1132" s="164">
        <v>59.8</v>
      </c>
      <c r="H1132" s="163">
        <v>8.7620000000000005</v>
      </c>
      <c r="I1132" s="165">
        <v>14.65217391304348</v>
      </c>
      <c r="J1132" s="164">
        <v>51.037999999999997</v>
      </c>
      <c r="K1132" s="163">
        <v>9.0999999999999304E-2</v>
      </c>
      <c r="L1132" s="163">
        <v>0.55499999999999972</v>
      </c>
      <c r="M1132" s="163">
        <v>0.21600000000000108</v>
      </c>
      <c r="N1132" s="163">
        <v>0.40399999999999991</v>
      </c>
      <c r="O1132" s="163">
        <v>0.67558528428093634</v>
      </c>
      <c r="P1132" s="163">
        <v>0.3165</v>
      </c>
      <c r="Q1132" s="146" t="s">
        <v>186</v>
      </c>
      <c r="T1132" s="130"/>
    </row>
    <row r="1133" spans="1:20" ht="10.7" customHeight="1" x14ac:dyDescent="0.2">
      <c r="A1133" s="122"/>
      <c r="B1133" s="161" t="s">
        <v>86</v>
      </c>
      <c r="C1133" s="162">
        <v>75.2</v>
      </c>
      <c r="D1133" s="206">
        <v>95.2</v>
      </c>
      <c r="E1133" s="163">
        <v>20</v>
      </c>
      <c r="F1133" s="163">
        <v>20</v>
      </c>
      <c r="G1133" s="164">
        <v>95.2</v>
      </c>
      <c r="H1133" s="163">
        <v>26.16</v>
      </c>
      <c r="I1133" s="165">
        <v>27.478991596638654</v>
      </c>
      <c r="J1133" s="164">
        <v>69.040000000000006</v>
      </c>
      <c r="K1133" s="163">
        <v>11.075000000000001</v>
      </c>
      <c r="L1133" s="163">
        <v>5.8239999999999981</v>
      </c>
      <c r="M1133" s="163">
        <v>1.0210000000000008</v>
      </c>
      <c r="N1133" s="163">
        <v>6.1720000000000006</v>
      </c>
      <c r="O1133" s="163">
        <v>6.4831932773109253</v>
      </c>
      <c r="P1133" s="163">
        <v>6.0230000000000006</v>
      </c>
      <c r="Q1133" s="146">
        <v>9.4627262161713439</v>
      </c>
      <c r="T1133" s="130"/>
    </row>
    <row r="1134" spans="1:20" ht="10.7" customHeight="1" x14ac:dyDescent="0.2">
      <c r="A1134" s="122"/>
      <c r="B1134" s="161" t="s">
        <v>87</v>
      </c>
      <c r="C1134" s="162">
        <v>69.7</v>
      </c>
      <c r="D1134" s="206">
        <v>69.7</v>
      </c>
      <c r="E1134" s="163">
        <v>0</v>
      </c>
      <c r="F1134" s="163">
        <v>0</v>
      </c>
      <c r="G1134" s="164">
        <v>69.7</v>
      </c>
      <c r="H1134" s="163">
        <v>1.405</v>
      </c>
      <c r="I1134" s="165">
        <v>2.0157819225251075</v>
      </c>
      <c r="J1134" s="164">
        <v>68.295000000000002</v>
      </c>
      <c r="K1134" s="163">
        <v>0.36799999999999999</v>
      </c>
      <c r="L1134" s="163">
        <v>0</v>
      </c>
      <c r="M1134" s="163">
        <v>0.58399999999999996</v>
      </c>
      <c r="N1134" s="163">
        <v>0.45300000000000007</v>
      </c>
      <c r="O1134" s="163">
        <v>0.64992826398852233</v>
      </c>
      <c r="P1134" s="163">
        <v>0.35125000000000001</v>
      </c>
      <c r="Q1134" s="146" t="s">
        <v>186</v>
      </c>
      <c r="T1134" s="130"/>
    </row>
    <row r="1135" spans="1:20" ht="10.7" customHeight="1" x14ac:dyDescent="0.2">
      <c r="A1135" s="122"/>
      <c r="B1135" s="161" t="s">
        <v>88</v>
      </c>
      <c r="C1135" s="162">
        <v>1</v>
      </c>
      <c r="D1135" s="206">
        <v>1</v>
      </c>
      <c r="E1135" s="163">
        <v>0</v>
      </c>
      <c r="F1135" s="163">
        <v>0</v>
      </c>
      <c r="G1135" s="164">
        <v>1</v>
      </c>
      <c r="H1135" s="163">
        <v>0</v>
      </c>
      <c r="I1135" s="165">
        <v>0</v>
      </c>
      <c r="J1135" s="164">
        <v>1</v>
      </c>
      <c r="K1135" s="163">
        <v>0</v>
      </c>
      <c r="L1135" s="163">
        <v>0</v>
      </c>
      <c r="M1135" s="163">
        <v>0</v>
      </c>
      <c r="N1135" s="163">
        <v>0</v>
      </c>
      <c r="O1135" s="163">
        <v>0</v>
      </c>
      <c r="P1135" s="163">
        <v>0</v>
      </c>
      <c r="Q1135" s="146" t="s">
        <v>162</v>
      </c>
      <c r="T1135" s="130"/>
    </row>
    <row r="1136" spans="1:20" ht="10.7" customHeight="1" x14ac:dyDescent="0.2">
      <c r="A1136" s="122"/>
      <c r="B1136" s="161" t="s">
        <v>89</v>
      </c>
      <c r="C1136" s="162">
        <v>35.299999999999997</v>
      </c>
      <c r="D1136" s="206">
        <v>40</v>
      </c>
      <c r="E1136" s="163">
        <v>0</v>
      </c>
      <c r="F1136" s="163">
        <v>4.7000000000000028</v>
      </c>
      <c r="G1136" s="164">
        <v>40</v>
      </c>
      <c r="H1136" s="163">
        <v>6.0999999999999999E-2</v>
      </c>
      <c r="I1136" s="165">
        <v>0.1525</v>
      </c>
      <c r="J1136" s="164">
        <v>39.939</v>
      </c>
      <c r="K1136" s="163">
        <v>6.0999999999999999E-2</v>
      </c>
      <c r="L1136" s="163">
        <v>0</v>
      </c>
      <c r="M1136" s="163">
        <v>0</v>
      </c>
      <c r="N1136" s="163">
        <v>0</v>
      </c>
      <c r="O1136" s="163">
        <v>0</v>
      </c>
      <c r="P1136" s="163">
        <v>1.525E-2</v>
      </c>
      <c r="Q1136" s="146" t="s">
        <v>186</v>
      </c>
      <c r="T1136" s="130"/>
    </row>
    <row r="1137" spans="1:20" ht="10.7" customHeight="1" x14ac:dyDescent="0.2">
      <c r="A1137" s="122"/>
      <c r="B1137" s="168" t="s">
        <v>91</v>
      </c>
      <c r="C1137" s="162">
        <v>1871.1000000000001</v>
      </c>
      <c r="D1137" s="206">
        <v>1935.2</v>
      </c>
      <c r="E1137" s="163">
        <v>24.9</v>
      </c>
      <c r="F1137" s="163">
        <v>64.099999999999994</v>
      </c>
      <c r="G1137" s="164">
        <v>1935.2</v>
      </c>
      <c r="H1137" s="163">
        <v>735.72330000152579</v>
      </c>
      <c r="I1137" s="165">
        <v>38.017946465560449</v>
      </c>
      <c r="J1137" s="164">
        <v>1199.4766999984743</v>
      </c>
      <c r="K1137" s="163">
        <v>96.177400000000063</v>
      </c>
      <c r="L1137" s="163">
        <v>65.208300001525885</v>
      </c>
      <c r="M1137" s="163">
        <v>44.942999999999977</v>
      </c>
      <c r="N1137" s="163">
        <v>146.76159999999999</v>
      </c>
      <c r="O1137" s="163">
        <v>7.5837949565936329</v>
      </c>
      <c r="P1137" s="169">
        <v>88.272575000381465</v>
      </c>
      <c r="Q1137" s="146">
        <v>11.588327971550516</v>
      </c>
      <c r="T1137" s="130"/>
    </row>
    <row r="1138" spans="1:20" ht="10.7" customHeight="1" x14ac:dyDescent="0.2">
      <c r="A1138" s="122"/>
      <c r="B1138" s="168"/>
      <c r="D1138" s="206"/>
      <c r="E1138" s="163"/>
      <c r="F1138" s="163"/>
      <c r="G1138" s="164"/>
      <c r="H1138" s="163"/>
      <c r="I1138" s="165"/>
      <c r="J1138" s="164"/>
      <c r="K1138" s="163"/>
      <c r="L1138" s="163"/>
      <c r="M1138" s="163"/>
      <c r="N1138" s="163"/>
      <c r="O1138" s="163"/>
      <c r="P1138" s="163"/>
      <c r="Q1138" s="146"/>
      <c r="T1138" s="130"/>
    </row>
    <row r="1139" spans="1:20" ht="10.7" customHeight="1" x14ac:dyDescent="0.2">
      <c r="A1139" s="122"/>
      <c r="B1139" s="161" t="s">
        <v>92</v>
      </c>
      <c r="C1139" s="162">
        <v>73.900000000000006</v>
      </c>
      <c r="D1139" s="206">
        <v>70.2</v>
      </c>
      <c r="E1139" s="163">
        <v>0</v>
      </c>
      <c r="F1139" s="163">
        <v>-3.7000000000000028</v>
      </c>
      <c r="G1139" s="164">
        <v>70.2</v>
      </c>
      <c r="H1139" s="163">
        <v>13.741</v>
      </c>
      <c r="I1139" s="165">
        <v>19.574074074074073</v>
      </c>
      <c r="J1139" s="164">
        <v>56.459000000000003</v>
      </c>
      <c r="K1139" s="163">
        <v>0</v>
      </c>
      <c r="L1139" s="163">
        <v>7.5030000000000001</v>
      </c>
      <c r="M1139" s="163">
        <v>6.4999999999999503E-2</v>
      </c>
      <c r="N1139" s="163">
        <v>6.173</v>
      </c>
      <c r="O1139" s="163">
        <v>8.7934472934472936</v>
      </c>
      <c r="P1139" s="163">
        <v>3.4352499999999999</v>
      </c>
      <c r="Q1139" s="146">
        <v>14.435193945127722</v>
      </c>
      <c r="T1139" s="130"/>
    </row>
    <row r="1140" spans="1:20" ht="10.7" customHeight="1" x14ac:dyDescent="0.2">
      <c r="A1140" s="122"/>
      <c r="B1140" s="161" t="s">
        <v>93</v>
      </c>
      <c r="C1140" s="162">
        <v>100.9</v>
      </c>
      <c r="D1140" s="206">
        <v>90.600000000000009</v>
      </c>
      <c r="E1140" s="163">
        <v>-1</v>
      </c>
      <c r="F1140" s="163">
        <v>-10.299999999999997</v>
      </c>
      <c r="G1140" s="164">
        <v>90.600000000000009</v>
      </c>
      <c r="H1140" s="163">
        <v>7.1635000000000009</v>
      </c>
      <c r="I1140" s="165">
        <v>7.9067328918322302</v>
      </c>
      <c r="J1140" s="164">
        <v>83.436500000000009</v>
      </c>
      <c r="K1140" s="163">
        <v>1.5999000000000003</v>
      </c>
      <c r="L1140" s="163">
        <v>0.47499999999999964</v>
      </c>
      <c r="M1140" s="163">
        <v>0</v>
      </c>
      <c r="N1140" s="163">
        <v>1.5217000000000009</v>
      </c>
      <c r="O1140" s="163">
        <v>1.6795805739514356</v>
      </c>
      <c r="P1140" s="163">
        <v>0.89915000000000023</v>
      </c>
      <c r="Q1140" s="146" t="s">
        <v>186</v>
      </c>
      <c r="T1140" s="130"/>
    </row>
    <row r="1141" spans="1:20" ht="10.7" hidden="1" customHeight="1" x14ac:dyDescent="0.2">
      <c r="A1141" s="122"/>
      <c r="B1141" s="161" t="s">
        <v>94</v>
      </c>
      <c r="C1141" s="162">
        <v>0</v>
      </c>
      <c r="D1141" s="206">
        <v>0</v>
      </c>
      <c r="E1141" s="163">
        <v>0</v>
      </c>
      <c r="F1141" s="163">
        <v>0</v>
      </c>
      <c r="G1141" s="164">
        <v>0</v>
      </c>
      <c r="H1141" s="163">
        <v>0</v>
      </c>
      <c r="I1141" s="165" t="s">
        <v>119</v>
      </c>
      <c r="J1141" s="164">
        <v>0</v>
      </c>
      <c r="K1141" s="163">
        <v>0</v>
      </c>
      <c r="L1141" s="163">
        <v>0</v>
      </c>
      <c r="M1141" s="163">
        <v>0</v>
      </c>
      <c r="N1141" s="163">
        <v>0</v>
      </c>
      <c r="O1141" s="163" t="s">
        <v>42</v>
      </c>
      <c r="P1141" s="163">
        <v>0</v>
      </c>
      <c r="Q1141" s="146">
        <v>0</v>
      </c>
      <c r="T1141" s="130"/>
    </row>
    <row r="1142" spans="1:20" ht="10.7" customHeight="1" x14ac:dyDescent="0.2">
      <c r="A1142" s="122"/>
      <c r="B1142" s="161" t="s">
        <v>95</v>
      </c>
      <c r="C1142" s="162">
        <v>26.3</v>
      </c>
      <c r="D1142" s="206">
        <v>26.3</v>
      </c>
      <c r="E1142" s="163">
        <v>0</v>
      </c>
      <c r="F1142" s="163">
        <v>0</v>
      </c>
      <c r="G1142" s="164">
        <v>26.3</v>
      </c>
      <c r="H1142" s="163">
        <v>0</v>
      </c>
      <c r="I1142" s="165">
        <v>0</v>
      </c>
      <c r="J1142" s="164">
        <v>26.3</v>
      </c>
      <c r="K1142" s="163">
        <v>0</v>
      </c>
      <c r="L1142" s="163">
        <v>0</v>
      </c>
      <c r="M1142" s="163">
        <v>0</v>
      </c>
      <c r="N1142" s="163">
        <v>0</v>
      </c>
      <c r="O1142" s="163">
        <v>0</v>
      </c>
      <c r="P1142" s="163">
        <v>0</v>
      </c>
      <c r="Q1142" s="146" t="s">
        <v>186</v>
      </c>
      <c r="T1142" s="130"/>
    </row>
    <row r="1143" spans="1:20" ht="10.7" customHeight="1" x14ac:dyDescent="0.2">
      <c r="A1143" s="122"/>
      <c r="B1143" s="161" t="s">
        <v>96</v>
      </c>
      <c r="C1143" s="162">
        <v>69.8</v>
      </c>
      <c r="D1143" s="206">
        <v>64.099999999999994</v>
      </c>
      <c r="E1143" s="163">
        <v>-2.2000000000000028</v>
      </c>
      <c r="F1143" s="163">
        <v>-5.7000000000000028</v>
      </c>
      <c r="G1143" s="164">
        <v>64.099999999999994</v>
      </c>
      <c r="H1143" s="163">
        <v>24.7362</v>
      </c>
      <c r="I1143" s="165">
        <v>38.590015600624028</v>
      </c>
      <c r="J1143" s="164">
        <v>39.363799999999998</v>
      </c>
      <c r="K1143" s="163">
        <v>0</v>
      </c>
      <c r="L1143" s="163">
        <v>1.4979999999999993</v>
      </c>
      <c r="M1143" s="163">
        <v>4.9999999999998934E-2</v>
      </c>
      <c r="N1143" s="163">
        <v>9.4460000000000015</v>
      </c>
      <c r="O1143" s="163">
        <v>14.736349453978162</v>
      </c>
      <c r="P1143" s="163">
        <v>2.7484999999999999</v>
      </c>
      <c r="Q1143" s="146">
        <v>12.321921047844278</v>
      </c>
      <c r="T1143" s="130"/>
    </row>
    <row r="1144" spans="1:20" ht="10.7" customHeight="1" x14ac:dyDescent="0.2">
      <c r="A1144" s="122"/>
      <c r="B1144" s="161" t="s">
        <v>97</v>
      </c>
      <c r="C1144" s="162">
        <v>440.6</v>
      </c>
      <c r="D1144" s="206">
        <v>440.6</v>
      </c>
      <c r="E1144" s="163">
        <v>0</v>
      </c>
      <c r="F1144" s="163">
        <v>0</v>
      </c>
      <c r="G1144" s="164">
        <v>440.6</v>
      </c>
      <c r="H1144" s="163">
        <v>137.6018</v>
      </c>
      <c r="I1144" s="165">
        <v>31.230549251021333</v>
      </c>
      <c r="J1144" s="164">
        <v>302.9982</v>
      </c>
      <c r="K1144" s="163">
        <v>6.2200000000000005E-2</v>
      </c>
      <c r="L1144" s="163">
        <v>0</v>
      </c>
      <c r="M1144" s="163">
        <v>0</v>
      </c>
      <c r="N1144" s="163">
        <v>137.52510000000001</v>
      </c>
      <c r="O1144" s="163">
        <v>31.213141171130275</v>
      </c>
      <c r="P1144" s="163">
        <v>34.396825</v>
      </c>
      <c r="Q1144" s="146">
        <v>6.8089002400657623</v>
      </c>
      <c r="T1144" s="130"/>
    </row>
    <row r="1145" spans="1:20" ht="10.7" customHeight="1" x14ac:dyDescent="0.2">
      <c r="A1145" s="122"/>
      <c r="B1145" s="161" t="s">
        <v>98</v>
      </c>
      <c r="C1145" s="162">
        <v>114.7</v>
      </c>
      <c r="D1145" s="206">
        <v>70.800000000000011</v>
      </c>
      <c r="E1145" s="163">
        <v>-18.899999999999991</v>
      </c>
      <c r="F1145" s="163">
        <v>-43.899999999999991</v>
      </c>
      <c r="G1145" s="164">
        <v>70.800000000000011</v>
      </c>
      <c r="H1145" s="163">
        <v>0</v>
      </c>
      <c r="I1145" s="165">
        <v>0</v>
      </c>
      <c r="J1145" s="164">
        <v>70.800000000000011</v>
      </c>
      <c r="K1145" s="163">
        <v>0</v>
      </c>
      <c r="L1145" s="163">
        <v>0</v>
      </c>
      <c r="M1145" s="163">
        <v>0</v>
      </c>
      <c r="N1145" s="163">
        <v>0</v>
      </c>
      <c r="O1145" s="163">
        <v>0</v>
      </c>
      <c r="P1145" s="163">
        <v>0</v>
      </c>
      <c r="Q1145" s="146" t="s">
        <v>186</v>
      </c>
      <c r="T1145" s="130"/>
    </row>
    <row r="1146" spans="1:20" ht="10.7" customHeight="1" x14ac:dyDescent="0.2">
      <c r="A1146" s="122"/>
      <c r="B1146" s="161" t="s">
        <v>99</v>
      </c>
      <c r="C1146" s="162">
        <v>31.8</v>
      </c>
      <c r="D1146" s="206">
        <v>29</v>
      </c>
      <c r="E1146" s="163">
        <v>-2.8000000000000007</v>
      </c>
      <c r="F1146" s="163">
        <v>-2.8000000000000007</v>
      </c>
      <c r="G1146" s="164">
        <v>29</v>
      </c>
      <c r="H1146" s="163">
        <v>0</v>
      </c>
      <c r="I1146" s="165">
        <v>0</v>
      </c>
      <c r="J1146" s="164">
        <v>29</v>
      </c>
      <c r="K1146" s="163">
        <v>0</v>
      </c>
      <c r="L1146" s="163">
        <v>0</v>
      </c>
      <c r="M1146" s="163">
        <v>0</v>
      </c>
      <c r="N1146" s="163">
        <v>0</v>
      </c>
      <c r="O1146" s="163">
        <v>0</v>
      </c>
      <c r="P1146" s="163">
        <v>0</v>
      </c>
      <c r="Q1146" s="146" t="s">
        <v>186</v>
      </c>
      <c r="T1146" s="130"/>
    </row>
    <row r="1147" spans="1:20" ht="10.7" customHeight="1" x14ac:dyDescent="0.2">
      <c r="A1147" s="122"/>
      <c r="B1147" s="161" t="s">
        <v>100</v>
      </c>
      <c r="C1147" s="162">
        <v>5.9</v>
      </c>
      <c r="D1147" s="206">
        <v>15.9</v>
      </c>
      <c r="E1147" s="163">
        <v>0</v>
      </c>
      <c r="F1147" s="163">
        <v>10</v>
      </c>
      <c r="G1147" s="164">
        <v>15.9</v>
      </c>
      <c r="H1147" s="163">
        <v>0</v>
      </c>
      <c r="I1147" s="165">
        <v>0</v>
      </c>
      <c r="J1147" s="164">
        <v>15.9</v>
      </c>
      <c r="K1147" s="163">
        <v>0</v>
      </c>
      <c r="L1147" s="163">
        <v>0</v>
      </c>
      <c r="M1147" s="163">
        <v>0</v>
      </c>
      <c r="N1147" s="163">
        <v>0</v>
      </c>
      <c r="O1147" s="163">
        <v>0</v>
      </c>
      <c r="P1147" s="163">
        <v>0</v>
      </c>
      <c r="Q1147" s="146" t="s">
        <v>186</v>
      </c>
      <c r="T1147" s="130"/>
    </row>
    <row r="1148" spans="1:20" ht="10.7" customHeight="1" x14ac:dyDescent="0.2">
      <c r="A1148" s="122"/>
      <c r="B1148" s="161" t="s">
        <v>101</v>
      </c>
      <c r="C1148" s="162">
        <v>0.7</v>
      </c>
      <c r="D1148" s="206">
        <v>0.7</v>
      </c>
      <c r="E1148" s="163">
        <v>0</v>
      </c>
      <c r="F1148" s="163">
        <v>0</v>
      </c>
      <c r="G1148" s="164">
        <v>0.7</v>
      </c>
      <c r="H1148" s="163">
        <v>0</v>
      </c>
      <c r="I1148" s="165">
        <v>0</v>
      </c>
      <c r="J1148" s="164">
        <v>0.7</v>
      </c>
      <c r="K1148" s="163">
        <v>0</v>
      </c>
      <c r="L1148" s="163">
        <v>0</v>
      </c>
      <c r="M1148" s="163">
        <v>0</v>
      </c>
      <c r="N1148" s="163">
        <v>0</v>
      </c>
      <c r="O1148" s="163">
        <v>0</v>
      </c>
      <c r="P1148" s="163">
        <v>0</v>
      </c>
      <c r="Q1148" s="146" t="s">
        <v>186</v>
      </c>
      <c r="T1148" s="130"/>
    </row>
    <row r="1149" spans="1:20" ht="10.7" customHeight="1" x14ac:dyDescent="0.2">
      <c r="A1149" s="122"/>
      <c r="B1149" s="161" t="s">
        <v>102</v>
      </c>
      <c r="C1149" s="162">
        <v>79.7</v>
      </c>
      <c r="D1149" s="206">
        <v>79.7</v>
      </c>
      <c r="E1149" s="163">
        <v>0</v>
      </c>
      <c r="F1149" s="163">
        <v>0</v>
      </c>
      <c r="G1149" s="164">
        <v>79.7</v>
      </c>
      <c r="H1149" s="163">
        <v>0</v>
      </c>
      <c r="I1149" s="165">
        <v>0</v>
      </c>
      <c r="J1149" s="164">
        <v>79.7</v>
      </c>
      <c r="K1149" s="163">
        <v>0</v>
      </c>
      <c r="L1149" s="163">
        <v>0</v>
      </c>
      <c r="M1149" s="163">
        <v>0</v>
      </c>
      <c r="N1149" s="163">
        <v>0</v>
      </c>
      <c r="O1149" s="163">
        <v>0</v>
      </c>
      <c r="P1149" s="163">
        <v>0</v>
      </c>
      <c r="Q1149" s="146" t="s">
        <v>186</v>
      </c>
      <c r="T1149" s="130"/>
    </row>
    <row r="1150" spans="1:20" ht="10.7" customHeight="1" x14ac:dyDescent="0.2">
      <c r="A1150" s="122"/>
      <c r="B1150" s="161" t="s">
        <v>103</v>
      </c>
      <c r="C1150" s="162">
        <v>1</v>
      </c>
      <c r="D1150" s="206">
        <v>1</v>
      </c>
      <c r="E1150" s="163">
        <v>0</v>
      </c>
      <c r="F1150" s="163">
        <v>0</v>
      </c>
      <c r="G1150" s="164">
        <v>1</v>
      </c>
      <c r="H1150" s="163">
        <v>0</v>
      </c>
      <c r="I1150" s="165">
        <v>0</v>
      </c>
      <c r="J1150" s="164">
        <v>1</v>
      </c>
      <c r="K1150" s="163">
        <v>0</v>
      </c>
      <c r="L1150" s="163">
        <v>0</v>
      </c>
      <c r="M1150" s="163">
        <v>0</v>
      </c>
      <c r="N1150" s="163">
        <v>0</v>
      </c>
      <c r="O1150" s="163">
        <v>0</v>
      </c>
      <c r="P1150" s="163">
        <v>0</v>
      </c>
      <c r="Q1150" s="146" t="s">
        <v>186</v>
      </c>
      <c r="T1150" s="130"/>
    </row>
    <row r="1151" spans="1:20" ht="10.7" customHeight="1" x14ac:dyDescent="0.2">
      <c r="A1151" s="122"/>
      <c r="B1151" s="1" t="s">
        <v>104</v>
      </c>
      <c r="C1151" s="162">
        <v>0.6</v>
      </c>
      <c r="D1151" s="206">
        <v>0.6</v>
      </c>
      <c r="E1151" s="163">
        <v>0</v>
      </c>
      <c r="F1151" s="163">
        <v>0</v>
      </c>
      <c r="G1151" s="164">
        <v>0.6</v>
      </c>
      <c r="H1151" s="163">
        <v>0</v>
      </c>
      <c r="I1151" s="165">
        <v>0</v>
      </c>
      <c r="J1151" s="164">
        <v>0.6</v>
      </c>
      <c r="K1151" s="163">
        <v>0</v>
      </c>
      <c r="L1151" s="163">
        <v>0</v>
      </c>
      <c r="M1151" s="163">
        <v>0</v>
      </c>
      <c r="N1151" s="163">
        <v>0</v>
      </c>
      <c r="O1151" s="163">
        <v>0</v>
      </c>
      <c r="P1151" s="163">
        <v>0</v>
      </c>
      <c r="Q1151" s="146" t="s">
        <v>186</v>
      </c>
      <c r="T1151" s="130"/>
    </row>
    <row r="1152" spans="1:20" ht="10.7" customHeight="1" x14ac:dyDescent="0.2">
      <c r="A1152" s="122"/>
      <c r="B1152" s="168" t="s">
        <v>106</v>
      </c>
      <c r="C1152" s="172">
        <v>2817</v>
      </c>
      <c r="D1152" s="206">
        <v>2824.7000000000003</v>
      </c>
      <c r="E1152" s="163">
        <v>0</v>
      </c>
      <c r="F1152" s="163">
        <v>7.7000000000000028</v>
      </c>
      <c r="G1152" s="164">
        <v>2824.7000000000003</v>
      </c>
      <c r="H1152" s="163">
        <v>918.96580000152585</v>
      </c>
      <c r="I1152" s="165">
        <v>32.533217686888015</v>
      </c>
      <c r="J1152" s="164">
        <v>1905.7341999984744</v>
      </c>
      <c r="K1152" s="163">
        <v>97.839499999999987</v>
      </c>
      <c r="L1152" s="163">
        <v>74.68430000152614</v>
      </c>
      <c r="M1152" s="163">
        <v>45.057999999999765</v>
      </c>
      <c r="N1152" s="163">
        <v>301.42739999999981</v>
      </c>
      <c r="O1152" s="163">
        <v>10.671129677487867</v>
      </c>
      <c r="P1152" s="163">
        <v>129.75230000038141</v>
      </c>
      <c r="Q1152" s="146">
        <v>12.687479142896677</v>
      </c>
      <c r="T1152" s="130"/>
    </row>
    <row r="1153" spans="1:20" ht="10.7" customHeight="1" x14ac:dyDescent="0.2">
      <c r="A1153" s="122"/>
      <c r="B1153" s="168"/>
      <c r="C1153" s="162"/>
      <c r="D1153" s="206"/>
      <c r="E1153" s="163"/>
      <c r="F1153" s="163"/>
      <c r="G1153" s="164"/>
      <c r="H1153" s="163"/>
      <c r="I1153" s="165"/>
      <c r="J1153" s="164"/>
      <c r="K1153" s="163"/>
      <c r="L1153" s="163"/>
      <c r="M1153" s="163"/>
      <c r="N1153" s="163"/>
      <c r="O1153" s="163"/>
      <c r="P1153" s="163"/>
      <c r="Q1153" s="146"/>
      <c r="T1153" s="130"/>
    </row>
    <row r="1154" spans="1:20" ht="10.7" customHeight="1" x14ac:dyDescent="0.2">
      <c r="A1154" s="122"/>
      <c r="B1154" s="161" t="s">
        <v>107</v>
      </c>
      <c r="C1154" s="162">
        <v>1.7</v>
      </c>
      <c r="D1154" s="206">
        <v>1.7</v>
      </c>
      <c r="E1154" s="163">
        <v>0</v>
      </c>
      <c r="F1154" s="163">
        <v>0</v>
      </c>
      <c r="G1154" s="164">
        <v>1.7</v>
      </c>
      <c r="H1154" s="163">
        <v>0</v>
      </c>
      <c r="I1154" s="165">
        <v>0</v>
      </c>
      <c r="J1154" s="164">
        <v>1.7</v>
      </c>
      <c r="K1154" s="163">
        <v>0</v>
      </c>
      <c r="L1154" s="163">
        <v>0</v>
      </c>
      <c r="M1154" s="163">
        <v>0</v>
      </c>
      <c r="N1154" s="163">
        <v>0</v>
      </c>
      <c r="O1154" s="163">
        <v>0</v>
      </c>
      <c r="P1154" s="163">
        <v>0</v>
      </c>
      <c r="Q1154" s="146" t="s">
        <v>186</v>
      </c>
      <c r="T1154" s="130"/>
    </row>
    <row r="1155" spans="1:20" ht="10.7" customHeight="1" x14ac:dyDescent="0.2">
      <c r="A1155" s="122"/>
      <c r="B1155" s="161" t="s">
        <v>108</v>
      </c>
      <c r="C1155" s="162">
        <v>1.5</v>
      </c>
      <c r="D1155" s="162">
        <v>1.5</v>
      </c>
      <c r="E1155" s="173">
        <v>0</v>
      </c>
      <c r="F1155" s="163">
        <v>0</v>
      </c>
      <c r="G1155" s="164">
        <v>1.5</v>
      </c>
      <c r="H1155" s="163">
        <v>0</v>
      </c>
      <c r="I1155" s="165">
        <v>0</v>
      </c>
      <c r="J1155" s="164">
        <v>1.5</v>
      </c>
      <c r="K1155" s="163">
        <v>0</v>
      </c>
      <c r="L1155" s="163">
        <v>0</v>
      </c>
      <c r="M1155" s="163">
        <v>0</v>
      </c>
      <c r="N1155" s="163">
        <v>0</v>
      </c>
      <c r="O1155" s="163">
        <v>0</v>
      </c>
      <c r="P1155" s="163">
        <v>0</v>
      </c>
      <c r="Q1155" s="146" t="s">
        <v>186</v>
      </c>
      <c r="T1155" s="130"/>
    </row>
    <row r="1156" spans="1:20" ht="10.7" customHeight="1" x14ac:dyDescent="0.2">
      <c r="A1156" s="122"/>
      <c r="B1156" s="174" t="s">
        <v>109</v>
      </c>
      <c r="C1156" s="162">
        <v>5</v>
      </c>
      <c r="D1156" s="162">
        <v>4.3</v>
      </c>
      <c r="E1156" s="173">
        <v>0</v>
      </c>
      <c r="F1156" s="163">
        <v>-0.70000000000000018</v>
      </c>
      <c r="G1156" s="164">
        <v>4.3</v>
      </c>
      <c r="H1156" s="163">
        <v>0</v>
      </c>
      <c r="I1156" s="165">
        <v>0</v>
      </c>
      <c r="J1156" s="164">
        <v>4.3</v>
      </c>
      <c r="K1156" s="163">
        <v>0</v>
      </c>
      <c r="L1156" s="163">
        <v>0</v>
      </c>
      <c r="M1156" s="163">
        <v>0</v>
      </c>
      <c r="N1156" s="163">
        <v>0</v>
      </c>
      <c r="O1156" s="163">
        <v>0</v>
      </c>
      <c r="P1156" s="163">
        <v>0</v>
      </c>
      <c r="Q1156" s="146" t="s">
        <v>186</v>
      </c>
      <c r="T1156" s="130"/>
    </row>
    <row r="1157" spans="1:20" ht="10.7" customHeight="1" x14ac:dyDescent="0.2">
      <c r="A1157" s="122"/>
      <c r="B1157" s="174"/>
      <c r="C1157" s="162"/>
      <c r="D1157" s="206"/>
      <c r="E1157" s="163"/>
      <c r="F1157" s="163"/>
      <c r="G1157" s="164"/>
      <c r="H1157" s="163"/>
      <c r="I1157" s="165"/>
      <c r="J1157" s="164"/>
      <c r="K1157" s="163"/>
      <c r="L1157" s="163"/>
      <c r="M1157" s="163"/>
      <c r="N1157" s="163"/>
      <c r="O1157" s="163"/>
      <c r="P1157" s="163"/>
      <c r="Q1157" s="146"/>
      <c r="T1157" s="130"/>
    </row>
    <row r="1158" spans="1:20" ht="10.7" customHeight="1" x14ac:dyDescent="0.2">
      <c r="A1158" s="122"/>
      <c r="B1158" s="174" t="s">
        <v>111</v>
      </c>
      <c r="C1158" s="162"/>
      <c r="D1158" s="206"/>
      <c r="E1158" s="163"/>
      <c r="F1158" s="163"/>
      <c r="G1158" s="164">
        <v>0</v>
      </c>
      <c r="H1158" s="163"/>
      <c r="I1158" s="165"/>
      <c r="J1158" s="164"/>
      <c r="K1158" s="163"/>
      <c r="L1158" s="163"/>
      <c r="M1158" s="163"/>
      <c r="N1158" s="163"/>
      <c r="O1158" s="163"/>
      <c r="P1158" s="163"/>
      <c r="Q1158" s="146"/>
      <c r="T1158" s="130"/>
    </row>
    <row r="1159" spans="1:20" ht="10.7" customHeight="1" x14ac:dyDescent="0.2">
      <c r="A1159" s="122"/>
      <c r="B1159" s="175" t="s">
        <v>112</v>
      </c>
      <c r="C1159" s="176">
        <v>2825.2</v>
      </c>
      <c r="D1159" s="201">
        <v>2832.2000000000003</v>
      </c>
      <c r="E1159" s="177">
        <v>0</v>
      </c>
      <c r="F1159" s="180">
        <v>7.0000000000004547</v>
      </c>
      <c r="G1159" s="189">
        <v>2832.2000000000003</v>
      </c>
      <c r="H1159" s="180">
        <v>918.96580000152585</v>
      </c>
      <c r="I1159" s="179">
        <v>32.447065885231474</v>
      </c>
      <c r="J1159" s="189">
        <v>1913.2341999984744</v>
      </c>
      <c r="K1159" s="180">
        <v>97.839499999999987</v>
      </c>
      <c r="L1159" s="180">
        <v>74.68430000152614</v>
      </c>
      <c r="M1159" s="180">
        <v>45.057999999999765</v>
      </c>
      <c r="N1159" s="180">
        <v>301.42739999999981</v>
      </c>
      <c r="O1159" s="180">
        <v>10.642871266153513</v>
      </c>
      <c r="P1159" s="180">
        <v>129.75230000038141</v>
      </c>
      <c r="Q1159" s="153">
        <v>12.745281586475542</v>
      </c>
      <c r="T1159" s="130"/>
    </row>
    <row r="1160" spans="1:20" ht="10.7" customHeight="1" x14ac:dyDescent="0.2">
      <c r="A1160" s="122"/>
      <c r="B1160" s="191" t="s">
        <v>241</v>
      </c>
      <c r="C1160" s="173"/>
      <c r="D1160" s="206"/>
      <c r="E1160" s="163"/>
      <c r="F1160" s="163"/>
      <c r="G1160" s="164"/>
      <c r="H1160" s="163"/>
      <c r="I1160" s="165"/>
      <c r="J1160" s="164"/>
      <c r="K1160" s="163"/>
      <c r="L1160" s="163"/>
      <c r="M1160" s="163"/>
      <c r="N1160" s="163"/>
      <c r="O1160" s="163"/>
      <c r="P1160" s="163"/>
      <c r="Q1160" s="182"/>
      <c r="T1160" s="130"/>
    </row>
    <row r="1161" spans="1:20" ht="10.7" customHeight="1" x14ac:dyDescent="0.2">
      <c r="A1161" s="122"/>
      <c r="B1161" s="123" t="s">
        <v>114</v>
      </c>
      <c r="C1161" s="173"/>
      <c r="D1161" s="206"/>
      <c r="E1161" s="163"/>
      <c r="F1161" s="163"/>
      <c r="G1161" s="164"/>
      <c r="H1161" s="163"/>
      <c r="I1161" s="165"/>
      <c r="J1161" s="164"/>
      <c r="K1161" s="163"/>
      <c r="L1161" s="163"/>
      <c r="M1161" s="163"/>
      <c r="N1161" s="163"/>
      <c r="O1161" s="163"/>
      <c r="P1161" s="163"/>
      <c r="Q1161" s="182"/>
      <c r="T1161" s="130"/>
    </row>
    <row r="1162" spans="1:20" ht="10.7" customHeight="1" x14ac:dyDescent="0.2">
      <c r="A1162" s="122"/>
      <c r="C1162" s="173"/>
      <c r="D1162" s="206"/>
      <c r="E1162" s="163"/>
      <c r="F1162" s="163"/>
      <c r="G1162" s="164"/>
      <c r="H1162" s="163"/>
      <c r="I1162" s="165"/>
      <c r="J1162" s="164"/>
      <c r="K1162" s="163"/>
      <c r="L1162" s="163"/>
      <c r="M1162" s="163"/>
      <c r="N1162" s="163"/>
      <c r="O1162" s="163"/>
      <c r="P1162" s="163"/>
      <c r="Q1162" s="182"/>
      <c r="T1162" s="130"/>
    </row>
    <row r="1163" spans="1:20" ht="10.7" customHeight="1" x14ac:dyDescent="0.2">
      <c r="A1163" s="122"/>
      <c r="C1163" s="173"/>
      <c r="D1163" s="206"/>
      <c r="E1163" s="163"/>
      <c r="F1163" s="163"/>
      <c r="G1163" s="164"/>
      <c r="H1163" s="163"/>
      <c r="I1163" s="165"/>
      <c r="J1163" s="164"/>
      <c r="K1163" s="163"/>
      <c r="L1163" s="163"/>
      <c r="M1163" s="163"/>
      <c r="N1163" s="163"/>
      <c r="O1163" s="163"/>
      <c r="P1163" s="163"/>
      <c r="Q1163" s="182"/>
      <c r="T1163" s="130"/>
    </row>
    <row r="1164" spans="1:20" ht="10.7" customHeight="1" x14ac:dyDescent="0.2">
      <c r="A1164" s="122"/>
      <c r="B1164" s="123" t="s">
        <v>185</v>
      </c>
      <c r="C1164" s="173"/>
      <c r="D1164" s="206"/>
      <c r="E1164" s="163"/>
      <c r="F1164" s="163"/>
      <c r="G1164" s="164"/>
      <c r="H1164" s="163"/>
      <c r="I1164" s="165"/>
      <c r="J1164" s="164"/>
      <c r="K1164" s="163"/>
      <c r="L1164" s="163"/>
      <c r="M1164" s="163"/>
      <c r="N1164" s="163"/>
      <c r="O1164" s="163"/>
      <c r="P1164" s="163"/>
      <c r="Q1164" s="182"/>
      <c r="T1164" s="130"/>
    </row>
    <row r="1165" spans="1:20" ht="10.7" customHeight="1" x14ac:dyDescent="0.2">
      <c r="A1165" s="122"/>
      <c r="B1165" s="131" t="s">
        <v>240</v>
      </c>
      <c r="C1165" s="191"/>
      <c r="D1165" s="183"/>
      <c r="E1165" s="183"/>
      <c r="F1165" s="183"/>
      <c r="G1165" s="184"/>
      <c r="H1165" s="183"/>
      <c r="I1165" s="163"/>
      <c r="J1165" s="184"/>
      <c r="K1165" s="185"/>
      <c r="L1165" s="185"/>
      <c r="M1165" s="185"/>
      <c r="N1165" s="185"/>
      <c r="O1165" s="173"/>
      <c r="P1165" s="183"/>
      <c r="Q1165" s="182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43166</v>
      </c>
      <c r="L1169" s="151">
        <v>43173</v>
      </c>
      <c r="M1169" s="151">
        <v>43180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6"/>
      <c r="C1171" s="209" t="s">
        <v>155</v>
      </c>
      <c r="D1171" s="209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209"/>
      <c r="O1171" s="209"/>
      <c r="P1171" s="210"/>
      <c r="Q1171" s="145"/>
      <c r="T1171" s="130"/>
    </row>
    <row r="1172" spans="1:20" ht="10.7" customHeight="1" x14ac:dyDescent="0.2">
      <c r="A1172" s="122"/>
      <c r="B1172" s="161" t="s">
        <v>80</v>
      </c>
      <c r="C1172" s="162">
        <v>5485.9</v>
      </c>
      <c r="D1172" s="206">
        <v>5556.7999999999993</v>
      </c>
      <c r="E1172" s="163">
        <v>70.899999999999636</v>
      </c>
      <c r="F1172" s="163">
        <v>70.899999999999636</v>
      </c>
      <c r="G1172" s="164">
        <v>5556.7999999999993</v>
      </c>
      <c r="H1172" s="163">
        <v>444.90119999999996</v>
      </c>
      <c r="I1172" s="165">
        <v>8.0064281600921401</v>
      </c>
      <c r="J1172" s="164">
        <v>5111.898799999999</v>
      </c>
      <c r="K1172" s="163">
        <v>43.065100000000001</v>
      </c>
      <c r="L1172" s="163">
        <v>56.688999999999965</v>
      </c>
      <c r="M1172" s="163">
        <v>63.239000000000033</v>
      </c>
      <c r="N1172" s="163">
        <v>77.794099999999958</v>
      </c>
      <c r="O1172" s="163">
        <v>1.3999802044342062</v>
      </c>
      <c r="P1172" s="163">
        <v>60.196799999999989</v>
      </c>
      <c r="Q1172" s="146" t="s">
        <v>186</v>
      </c>
      <c r="T1172" s="130"/>
    </row>
    <row r="1173" spans="1:20" ht="10.7" customHeight="1" x14ac:dyDescent="0.2">
      <c r="A1173" s="122"/>
      <c r="B1173" s="161" t="s">
        <v>81</v>
      </c>
      <c r="C1173" s="162">
        <v>86.3</v>
      </c>
      <c r="D1173" s="206">
        <v>26</v>
      </c>
      <c r="E1173" s="163">
        <v>-60.3</v>
      </c>
      <c r="F1173" s="163">
        <v>-60.3</v>
      </c>
      <c r="G1173" s="164">
        <v>26</v>
      </c>
      <c r="H1173" s="163">
        <v>0</v>
      </c>
      <c r="I1173" s="165">
        <v>0</v>
      </c>
      <c r="J1173" s="164">
        <v>26</v>
      </c>
      <c r="K1173" s="163">
        <v>0</v>
      </c>
      <c r="L1173" s="163">
        <v>0</v>
      </c>
      <c r="M1173" s="163">
        <v>0</v>
      </c>
      <c r="N1173" s="163">
        <v>0</v>
      </c>
      <c r="O1173" s="163">
        <v>0</v>
      </c>
      <c r="P1173" s="163">
        <v>0</v>
      </c>
      <c r="Q1173" s="146" t="s">
        <v>186</v>
      </c>
      <c r="T1173" s="130"/>
    </row>
    <row r="1174" spans="1:20" ht="10.7" customHeight="1" x14ac:dyDescent="0.2">
      <c r="A1174" s="122"/>
      <c r="B1174" s="161" t="s">
        <v>82</v>
      </c>
      <c r="C1174" s="162">
        <v>22.8</v>
      </c>
      <c r="D1174" s="206">
        <v>49.7</v>
      </c>
      <c r="E1174" s="163">
        <v>0</v>
      </c>
      <c r="F1174" s="163">
        <v>26.900000000000002</v>
      </c>
      <c r="G1174" s="164">
        <v>49.7</v>
      </c>
      <c r="H1174" s="163">
        <v>2.1000000000000001E-2</v>
      </c>
      <c r="I1174" s="165">
        <v>4.2253521126760563E-2</v>
      </c>
      <c r="J1174" s="164">
        <v>49.679000000000002</v>
      </c>
      <c r="K1174" s="163">
        <v>0</v>
      </c>
      <c r="L1174" s="163">
        <v>0</v>
      </c>
      <c r="M1174" s="163">
        <v>0</v>
      </c>
      <c r="N1174" s="163">
        <v>2.1000000000000001E-2</v>
      </c>
      <c r="O1174" s="163">
        <v>4.2253521126760563E-2</v>
      </c>
      <c r="P1174" s="163">
        <v>5.2500000000000003E-3</v>
      </c>
      <c r="Q1174" s="146" t="s">
        <v>186</v>
      </c>
      <c r="T1174" s="130"/>
    </row>
    <row r="1175" spans="1:20" ht="10.7" customHeight="1" x14ac:dyDescent="0.2">
      <c r="A1175" s="122"/>
      <c r="B1175" s="161" t="s">
        <v>83</v>
      </c>
      <c r="C1175" s="162">
        <v>338.5</v>
      </c>
      <c r="D1175" s="206">
        <v>338.5</v>
      </c>
      <c r="E1175" s="163">
        <v>0</v>
      </c>
      <c r="F1175" s="163">
        <v>0</v>
      </c>
      <c r="G1175" s="164">
        <v>338.5</v>
      </c>
      <c r="H1175" s="163">
        <v>0</v>
      </c>
      <c r="I1175" s="165">
        <v>0</v>
      </c>
      <c r="J1175" s="164">
        <v>338.5</v>
      </c>
      <c r="K1175" s="163">
        <v>0</v>
      </c>
      <c r="L1175" s="163">
        <v>0</v>
      </c>
      <c r="M1175" s="163">
        <v>0</v>
      </c>
      <c r="N1175" s="163">
        <v>0</v>
      </c>
      <c r="O1175" s="163">
        <v>0</v>
      </c>
      <c r="P1175" s="163">
        <v>0</v>
      </c>
      <c r="Q1175" s="146" t="s">
        <v>186</v>
      </c>
      <c r="T1175" s="130"/>
    </row>
    <row r="1176" spans="1:20" ht="10.7" customHeight="1" x14ac:dyDescent="0.2">
      <c r="A1176" s="122"/>
      <c r="B1176" s="161" t="s">
        <v>84</v>
      </c>
      <c r="C1176" s="162">
        <v>124.4</v>
      </c>
      <c r="D1176" s="206">
        <v>124.4</v>
      </c>
      <c r="E1176" s="163">
        <v>0</v>
      </c>
      <c r="F1176" s="163">
        <v>0</v>
      </c>
      <c r="G1176" s="164">
        <v>124.4</v>
      </c>
      <c r="H1176" s="163">
        <v>2.7109999999999999</v>
      </c>
      <c r="I1176" s="165">
        <v>2.1792604501607715</v>
      </c>
      <c r="J1176" s="164">
        <v>121.68900000000001</v>
      </c>
      <c r="K1176" s="163">
        <v>0.41800000000000015</v>
      </c>
      <c r="L1176" s="163">
        <v>0</v>
      </c>
      <c r="M1176" s="163">
        <v>0</v>
      </c>
      <c r="N1176" s="163">
        <v>0.24399999999999977</v>
      </c>
      <c r="O1176" s="163">
        <v>0.19614147909967827</v>
      </c>
      <c r="P1176" s="163">
        <v>0.16549999999999998</v>
      </c>
      <c r="Q1176" s="146" t="s">
        <v>186</v>
      </c>
      <c r="T1176" s="130"/>
    </row>
    <row r="1177" spans="1:20" ht="10.7" customHeight="1" x14ac:dyDescent="0.2">
      <c r="A1177" s="122"/>
      <c r="B1177" s="161" t="s">
        <v>85</v>
      </c>
      <c r="C1177" s="162">
        <v>1728.5</v>
      </c>
      <c r="D1177" s="206">
        <v>1752.4</v>
      </c>
      <c r="E1177" s="163">
        <v>23.900000000000091</v>
      </c>
      <c r="F1177" s="163">
        <v>23.900000000000091</v>
      </c>
      <c r="G1177" s="164">
        <v>1752.4</v>
      </c>
      <c r="H1177" s="163">
        <v>105.306</v>
      </c>
      <c r="I1177" s="165">
        <v>6.0092444647340786</v>
      </c>
      <c r="J1177" s="164">
        <v>1647.0940000000001</v>
      </c>
      <c r="K1177" s="163">
        <v>13.225999999999999</v>
      </c>
      <c r="L1177" s="163">
        <v>14.418999999999997</v>
      </c>
      <c r="M1177" s="163">
        <v>19.287999999999997</v>
      </c>
      <c r="N1177" s="163">
        <v>16.161000000000001</v>
      </c>
      <c r="O1177" s="163">
        <v>0.922220954120064</v>
      </c>
      <c r="P1177" s="163">
        <v>15.773499999999999</v>
      </c>
      <c r="Q1177" s="146" t="s">
        <v>186</v>
      </c>
      <c r="T1177" s="130"/>
    </row>
    <row r="1178" spans="1:20" ht="10.7" customHeight="1" x14ac:dyDescent="0.2">
      <c r="A1178" s="122"/>
      <c r="B1178" s="161" t="s">
        <v>86</v>
      </c>
      <c r="C1178" s="162">
        <v>412.5</v>
      </c>
      <c r="D1178" s="206">
        <v>412.5</v>
      </c>
      <c r="E1178" s="163">
        <v>0</v>
      </c>
      <c r="F1178" s="163">
        <v>0</v>
      </c>
      <c r="G1178" s="164">
        <v>412.5</v>
      </c>
      <c r="H1178" s="163">
        <v>15.66</v>
      </c>
      <c r="I1178" s="165">
        <v>3.7963636363636364</v>
      </c>
      <c r="J1178" s="164">
        <v>396.84</v>
      </c>
      <c r="K1178" s="163">
        <v>3.8650000000000002</v>
      </c>
      <c r="L1178" s="163">
        <v>4.7380000000000004</v>
      </c>
      <c r="M1178" s="163">
        <v>0.78099999999999881</v>
      </c>
      <c r="N1178" s="163">
        <v>3.9670000000000005</v>
      </c>
      <c r="O1178" s="163">
        <v>0.96169696969696983</v>
      </c>
      <c r="P1178" s="163">
        <v>3.3377500000000002</v>
      </c>
      <c r="Q1178" s="146" t="s">
        <v>186</v>
      </c>
      <c r="T1178" s="130"/>
    </row>
    <row r="1179" spans="1:20" ht="10.7" customHeight="1" x14ac:dyDescent="0.2">
      <c r="A1179" s="122"/>
      <c r="B1179" s="161" t="s">
        <v>87</v>
      </c>
      <c r="C1179" s="162">
        <v>376.2</v>
      </c>
      <c r="D1179" s="206">
        <v>376.2</v>
      </c>
      <c r="E1179" s="163">
        <v>0</v>
      </c>
      <c r="F1179" s="163">
        <v>0</v>
      </c>
      <c r="G1179" s="164">
        <v>376.2</v>
      </c>
      <c r="H1179" s="163">
        <v>52.198</v>
      </c>
      <c r="I1179" s="165">
        <v>13.875066454013824</v>
      </c>
      <c r="J1179" s="164">
        <v>324.00200000000001</v>
      </c>
      <c r="K1179" s="163">
        <v>7.838000000000001</v>
      </c>
      <c r="L1179" s="163">
        <v>2.75</v>
      </c>
      <c r="M1179" s="163">
        <v>7.3089999999999975</v>
      </c>
      <c r="N1179" s="163">
        <v>5.5050000000000026</v>
      </c>
      <c r="O1179" s="163">
        <v>1.4633173843700167</v>
      </c>
      <c r="P1179" s="163">
        <v>5.8505000000000003</v>
      </c>
      <c r="Q1179" s="146" t="s">
        <v>186</v>
      </c>
      <c r="T1179" s="130"/>
    </row>
    <row r="1180" spans="1:20" ht="10.7" customHeight="1" x14ac:dyDescent="0.2">
      <c r="A1180" s="122"/>
      <c r="B1180" s="161" t="s">
        <v>88</v>
      </c>
      <c r="C1180" s="162">
        <v>0</v>
      </c>
      <c r="D1180" s="206">
        <v>0</v>
      </c>
      <c r="E1180" s="163">
        <v>0</v>
      </c>
      <c r="F1180" s="163">
        <v>0</v>
      </c>
      <c r="G1180" s="164">
        <v>0</v>
      </c>
      <c r="H1180" s="163">
        <v>0</v>
      </c>
      <c r="I1180" s="165" t="s">
        <v>119</v>
      </c>
      <c r="J1180" s="164">
        <v>0</v>
      </c>
      <c r="K1180" s="163">
        <v>0</v>
      </c>
      <c r="L1180" s="163">
        <v>0</v>
      </c>
      <c r="M1180" s="163">
        <v>0</v>
      </c>
      <c r="N1180" s="163">
        <v>0</v>
      </c>
      <c r="O1180" s="163" t="s">
        <v>42</v>
      </c>
      <c r="P1180" s="163">
        <v>0</v>
      </c>
      <c r="Q1180" s="146" t="s">
        <v>162</v>
      </c>
      <c r="T1180" s="130"/>
    </row>
    <row r="1181" spans="1:20" ht="10.7" customHeight="1" x14ac:dyDescent="0.2">
      <c r="A1181" s="122"/>
      <c r="B1181" s="161" t="s">
        <v>89</v>
      </c>
      <c r="C1181" s="162">
        <v>11.4</v>
      </c>
      <c r="D1181" s="206">
        <v>13</v>
      </c>
      <c r="E1181" s="163">
        <v>0</v>
      </c>
      <c r="F1181" s="163">
        <v>1.5999999999999996</v>
      </c>
      <c r="G1181" s="164">
        <v>13</v>
      </c>
      <c r="H1181" s="163">
        <v>0</v>
      </c>
      <c r="I1181" s="165">
        <v>0</v>
      </c>
      <c r="J1181" s="164">
        <v>13</v>
      </c>
      <c r="K1181" s="163">
        <v>0</v>
      </c>
      <c r="L1181" s="163">
        <v>0</v>
      </c>
      <c r="M1181" s="163">
        <v>0</v>
      </c>
      <c r="N1181" s="163">
        <v>0</v>
      </c>
      <c r="O1181" s="163">
        <v>0</v>
      </c>
      <c r="P1181" s="163">
        <v>0</v>
      </c>
      <c r="Q1181" s="146" t="s">
        <v>186</v>
      </c>
      <c r="T1181" s="130"/>
    </row>
    <row r="1182" spans="1:20" ht="10.7" customHeight="1" x14ac:dyDescent="0.2">
      <c r="A1182" s="122"/>
      <c r="B1182" s="168" t="s">
        <v>91</v>
      </c>
      <c r="C1182" s="162">
        <v>8586.5</v>
      </c>
      <c r="D1182" s="206">
        <v>8649.5</v>
      </c>
      <c r="E1182" s="163">
        <v>34.49999999999973</v>
      </c>
      <c r="F1182" s="163">
        <v>63</v>
      </c>
      <c r="G1182" s="164">
        <v>8649.5</v>
      </c>
      <c r="H1182" s="163">
        <v>620.79719999999998</v>
      </c>
      <c r="I1182" s="165">
        <v>7.1772611133591537</v>
      </c>
      <c r="J1182" s="164">
        <v>8028.7028</v>
      </c>
      <c r="K1182" s="163">
        <v>68.412100000000009</v>
      </c>
      <c r="L1182" s="163">
        <v>78.595999999999961</v>
      </c>
      <c r="M1182" s="163">
        <v>90.617000000000019</v>
      </c>
      <c r="N1182" s="163">
        <v>103.69209999999995</v>
      </c>
      <c r="O1182" s="163">
        <v>1.1988218972194919</v>
      </c>
      <c r="P1182" s="169">
        <v>85.329299999999975</v>
      </c>
      <c r="Q1182" s="146" t="s">
        <v>186</v>
      </c>
      <c r="T1182" s="130"/>
    </row>
    <row r="1183" spans="1:20" ht="10.7" customHeight="1" x14ac:dyDescent="0.2">
      <c r="A1183" s="122"/>
      <c r="B1183" s="168"/>
      <c r="D1183" s="206"/>
      <c r="E1183" s="163"/>
      <c r="F1183" s="163"/>
      <c r="G1183" s="164"/>
      <c r="H1183" s="163"/>
      <c r="I1183" s="165"/>
      <c r="J1183" s="164"/>
      <c r="K1183" s="163"/>
      <c r="L1183" s="163"/>
      <c r="M1183" s="163"/>
      <c r="N1183" s="163"/>
      <c r="O1183" s="163"/>
      <c r="P1183" s="163"/>
      <c r="Q1183" s="146"/>
      <c r="T1183" s="130"/>
    </row>
    <row r="1184" spans="1:20" ht="10.7" customHeight="1" x14ac:dyDescent="0.2">
      <c r="A1184" s="122"/>
      <c r="B1184" s="161" t="s">
        <v>92</v>
      </c>
      <c r="C1184" s="162">
        <v>199.7</v>
      </c>
      <c r="D1184" s="206">
        <v>279.29999999999995</v>
      </c>
      <c r="E1184" s="163">
        <v>60.299999999999955</v>
      </c>
      <c r="F1184" s="163">
        <v>79.599999999999966</v>
      </c>
      <c r="G1184" s="164">
        <v>279.29999999999995</v>
      </c>
      <c r="H1184" s="163">
        <v>2.7528000000000001</v>
      </c>
      <c r="I1184" s="165">
        <v>0.98560687432867911</v>
      </c>
      <c r="J1184" s="164">
        <v>276.54719999999998</v>
      </c>
      <c r="K1184" s="163">
        <v>0</v>
      </c>
      <c r="L1184" s="163">
        <v>0</v>
      </c>
      <c r="M1184" s="163">
        <v>0.38100000000000001</v>
      </c>
      <c r="N1184" s="163">
        <v>2.3718000000000004</v>
      </c>
      <c r="O1184" s="163">
        <v>0.84919441460794864</v>
      </c>
      <c r="P1184" s="163">
        <v>0.68820000000000014</v>
      </c>
      <c r="Q1184" s="146" t="s">
        <v>186</v>
      </c>
      <c r="T1184" s="130"/>
    </row>
    <row r="1185" spans="1:20" ht="10.7" customHeight="1" x14ac:dyDescent="0.2">
      <c r="A1185" s="122"/>
      <c r="B1185" s="161" t="s">
        <v>93</v>
      </c>
      <c r="C1185" s="162">
        <v>61.3</v>
      </c>
      <c r="D1185" s="206">
        <v>61.3</v>
      </c>
      <c r="E1185" s="163">
        <v>0</v>
      </c>
      <c r="F1185" s="163">
        <v>0</v>
      </c>
      <c r="G1185" s="164">
        <v>61.3</v>
      </c>
      <c r="H1185" s="163">
        <v>4.0940000000000003</v>
      </c>
      <c r="I1185" s="165">
        <v>6.6786296900489406</v>
      </c>
      <c r="J1185" s="164">
        <v>57.205999999999996</v>
      </c>
      <c r="K1185" s="163">
        <v>2.2799999999999998</v>
      </c>
      <c r="L1185" s="163">
        <v>1.8140000000000005</v>
      </c>
      <c r="M1185" s="163">
        <v>0</v>
      </c>
      <c r="N1185" s="163">
        <v>0</v>
      </c>
      <c r="O1185" s="163">
        <v>0</v>
      </c>
      <c r="P1185" s="163">
        <v>1.0235000000000001</v>
      </c>
      <c r="Q1185" s="146" t="s">
        <v>186</v>
      </c>
      <c r="T1185" s="130"/>
    </row>
    <row r="1186" spans="1:20" ht="10.7" hidden="1" customHeight="1" x14ac:dyDescent="0.2">
      <c r="A1186" s="122"/>
      <c r="B1186" s="161" t="s">
        <v>94</v>
      </c>
      <c r="C1186" s="162">
        <v>0</v>
      </c>
      <c r="D1186" s="206">
        <v>0</v>
      </c>
      <c r="E1186" s="163">
        <v>0</v>
      </c>
      <c r="F1186" s="163">
        <v>0</v>
      </c>
      <c r="G1186" s="164">
        <v>0</v>
      </c>
      <c r="H1186" s="163">
        <v>0</v>
      </c>
      <c r="I1186" s="165" t="s">
        <v>119</v>
      </c>
      <c r="J1186" s="164">
        <v>0</v>
      </c>
      <c r="K1186" s="163">
        <v>0</v>
      </c>
      <c r="L1186" s="163">
        <v>0</v>
      </c>
      <c r="M1186" s="163">
        <v>0</v>
      </c>
      <c r="N1186" s="163">
        <v>0</v>
      </c>
      <c r="O1186" s="163" t="s">
        <v>42</v>
      </c>
      <c r="P1186" s="163">
        <v>0</v>
      </c>
      <c r="Q1186" s="146">
        <v>0</v>
      </c>
      <c r="T1186" s="130"/>
    </row>
    <row r="1187" spans="1:20" ht="10.7" customHeight="1" x14ac:dyDescent="0.2">
      <c r="A1187" s="122"/>
      <c r="B1187" s="161" t="s">
        <v>95</v>
      </c>
      <c r="C1187" s="162">
        <v>0</v>
      </c>
      <c r="D1187" s="206">
        <v>0</v>
      </c>
      <c r="E1187" s="163">
        <v>0</v>
      </c>
      <c r="F1187" s="163">
        <v>0</v>
      </c>
      <c r="G1187" s="164">
        <v>0</v>
      </c>
      <c r="H1187" s="163">
        <v>0</v>
      </c>
      <c r="I1187" s="165" t="s">
        <v>119</v>
      </c>
      <c r="J1187" s="164">
        <v>0</v>
      </c>
      <c r="K1187" s="163">
        <v>0</v>
      </c>
      <c r="L1187" s="163">
        <v>0</v>
      </c>
      <c r="M1187" s="163">
        <v>0</v>
      </c>
      <c r="N1187" s="163">
        <v>0</v>
      </c>
      <c r="O1187" s="163" t="s">
        <v>42</v>
      </c>
      <c r="P1187" s="163">
        <v>0</v>
      </c>
      <c r="Q1187" s="146">
        <v>0</v>
      </c>
      <c r="T1187" s="130"/>
    </row>
    <row r="1188" spans="1:20" ht="10.7" customHeight="1" x14ac:dyDescent="0.2">
      <c r="A1188" s="122"/>
      <c r="B1188" s="161" t="s">
        <v>96</v>
      </c>
      <c r="C1188" s="162">
        <v>1978</v>
      </c>
      <c r="D1188" s="206">
        <v>1859.3</v>
      </c>
      <c r="E1188" s="163">
        <v>-70.900000000000091</v>
      </c>
      <c r="F1188" s="163">
        <v>-118.70000000000005</v>
      </c>
      <c r="G1188" s="164">
        <v>1859.3</v>
      </c>
      <c r="H1188" s="163">
        <v>65.7209</v>
      </c>
      <c r="I1188" s="165">
        <v>3.5347119883827247</v>
      </c>
      <c r="J1188" s="164">
        <v>1793.5790999999999</v>
      </c>
      <c r="K1188" s="163">
        <v>6.4410000000000025</v>
      </c>
      <c r="L1188" s="163">
        <v>8.2368000000000023</v>
      </c>
      <c r="M1188" s="163">
        <v>8.1276999999999973</v>
      </c>
      <c r="N1188" s="163">
        <v>5.2610000000000028</v>
      </c>
      <c r="O1188" s="163">
        <v>0.28295595116441685</v>
      </c>
      <c r="P1188" s="163">
        <v>7.0166250000000012</v>
      </c>
      <c r="Q1188" s="146" t="s">
        <v>186</v>
      </c>
      <c r="T1188" s="130"/>
    </row>
    <row r="1189" spans="1:20" ht="10.7" customHeight="1" x14ac:dyDescent="0.2">
      <c r="A1189" s="122"/>
      <c r="B1189" s="161" t="s">
        <v>97</v>
      </c>
      <c r="C1189" s="162">
        <v>449.9</v>
      </c>
      <c r="D1189" s="206">
        <v>449.9</v>
      </c>
      <c r="E1189" s="163">
        <v>0</v>
      </c>
      <c r="F1189" s="163">
        <v>0</v>
      </c>
      <c r="G1189" s="164">
        <v>449.9</v>
      </c>
      <c r="H1189" s="163">
        <v>15.151999999999999</v>
      </c>
      <c r="I1189" s="165">
        <v>3.3678595243387419</v>
      </c>
      <c r="J1189" s="164">
        <v>434.74799999999999</v>
      </c>
      <c r="K1189" s="163">
        <v>6.3811</v>
      </c>
      <c r="L1189" s="163">
        <v>0</v>
      </c>
      <c r="M1189" s="163">
        <v>4.3628999999999998</v>
      </c>
      <c r="N1189" s="163">
        <v>0.37509999999999977</v>
      </c>
      <c r="O1189" s="163">
        <v>8.3374083129584303E-2</v>
      </c>
      <c r="P1189" s="163">
        <v>2.7797749999999999</v>
      </c>
      <c r="Q1189" s="146" t="s">
        <v>186</v>
      </c>
      <c r="T1189" s="130"/>
    </row>
    <row r="1190" spans="1:20" ht="10.7" customHeight="1" x14ac:dyDescent="0.2">
      <c r="A1190" s="122"/>
      <c r="B1190" s="161" t="s">
        <v>98</v>
      </c>
      <c r="C1190" s="162">
        <v>53</v>
      </c>
      <c r="D1190" s="206">
        <v>53</v>
      </c>
      <c r="E1190" s="163">
        <v>0</v>
      </c>
      <c r="F1190" s="163">
        <v>0</v>
      </c>
      <c r="G1190" s="164">
        <v>53</v>
      </c>
      <c r="H1190" s="163">
        <v>0.80400000000000005</v>
      </c>
      <c r="I1190" s="165">
        <v>1.5169811320754718</v>
      </c>
      <c r="J1190" s="164">
        <v>52.195999999999998</v>
      </c>
      <c r="K1190" s="163">
        <v>0</v>
      </c>
      <c r="L1190" s="163">
        <v>0</v>
      </c>
      <c r="M1190" s="163">
        <v>0</v>
      </c>
      <c r="N1190" s="163">
        <v>0.80400000000000005</v>
      </c>
      <c r="O1190" s="163">
        <v>1.5169811320754718</v>
      </c>
      <c r="P1190" s="163">
        <v>0.20100000000000001</v>
      </c>
      <c r="Q1190" s="146" t="s">
        <v>186</v>
      </c>
      <c r="T1190" s="130"/>
    </row>
    <row r="1191" spans="1:20" ht="10.7" customHeight="1" x14ac:dyDescent="0.2">
      <c r="A1191" s="122"/>
      <c r="B1191" s="161" t="s">
        <v>99</v>
      </c>
      <c r="C1191" s="162">
        <v>66.5</v>
      </c>
      <c r="D1191" s="206">
        <v>42.6</v>
      </c>
      <c r="E1191" s="163">
        <v>-23.9</v>
      </c>
      <c r="F1191" s="163">
        <v>-23.9</v>
      </c>
      <c r="G1191" s="164">
        <v>42.6</v>
      </c>
      <c r="H1191" s="163">
        <v>0</v>
      </c>
      <c r="I1191" s="165">
        <v>0</v>
      </c>
      <c r="J1191" s="164">
        <v>42.6</v>
      </c>
      <c r="K1191" s="163">
        <v>0</v>
      </c>
      <c r="L1191" s="163">
        <v>0</v>
      </c>
      <c r="M1191" s="163">
        <v>0</v>
      </c>
      <c r="N1191" s="163">
        <v>0</v>
      </c>
      <c r="O1191" s="163">
        <v>0</v>
      </c>
      <c r="P1191" s="163">
        <v>0</v>
      </c>
      <c r="Q1191" s="146" t="s">
        <v>186</v>
      </c>
      <c r="T1191" s="130"/>
    </row>
    <row r="1192" spans="1:20" ht="10.7" customHeight="1" x14ac:dyDescent="0.2">
      <c r="A1192" s="122"/>
      <c r="B1192" s="161" t="s">
        <v>100</v>
      </c>
      <c r="C1192" s="162">
        <v>1.3</v>
      </c>
      <c r="D1192" s="206">
        <v>1.3</v>
      </c>
      <c r="E1192" s="163">
        <v>0</v>
      </c>
      <c r="F1192" s="163">
        <v>0</v>
      </c>
      <c r="G1192" s="164">
        <v>1.3</v>
      </c>
      <c r="H1192" s="163">
        <v>0</v>
      </c>
      <c r="I1192" s="165">
        <v>0</v>
      </c>
      <c r="J1192" s="164">
        <v>1.3</v>
      </c>
      <c r="K1192" s="163">
        <v>0</v>
      </c>
      <c r="L1192" s="163">
        <v>0</v>
      </c>
      <c r="M1192" s="163">
        <v>0</v>
      </c>
      <c r="N1192" s="163">
        <v>0</v>
      </c>
      <c r="O1192" s="163">
        <v>0</v>
      </c>
      <c r="P1192" s="163">
        <v>0</v>
      </c>
      <c r="Q1192" s="146" t="s">
        <v>186</v>
      </c>
      <c r="T1192" s="130"/>
    </row>
    <row r="1193" spans="1:20" ht="10.7" customHeight="1" x14ac:dyDescent="0.2">
      <c r="A1193" s="122"/>
      <c r="B1193" s="161" t="s">
        <v>101</v>
      </c>
      <c r="C1193" s="162">
        <v>0</v>
      </c>
      <c r="D1193" s="206">
        <v>0</v>
      </c>
      <c r="E1193" s="163">
        <v>0</v>
      </c>
      <c r="F1193" s="163">
        <v>0</v>
      </c>
      <c r="G1193" s="164">
        <v>0</v>
      </c>
      <c r="H1193" s="163">
        <v>0</v>
      </c>
      <c r="I1193" s="165" t="s">
        <v>119</v>
      </c>
      <c r="J1193" s="164">
        <v>0</v>
      </c>
      <c r="K1193" s="163">
        <v>0</v>
      </c>
      <c r="L1193" s="163">
        <v>0</v>
      </c>
      <c r="M1193" s="163">
        <v>0</v>
      </c>
      <c r="N1193" s="163">
        <v>0</v>
      </c>
      <c r="O1193" s="163" t="s">
        <v>42</v>
      </c>
      <c r="P1193" s="163">
        <v>0</v>
      </c>
      <c r="Q1193" s="146">
        <v>0</v>
      </c>
      <c r="T1193" s="130"/>
    </row>
    <row r="1194" spans="1:20" ht="10.7" customHeight="1" x14ac:dyDescent="0.2">
      <c r="A1194" s="122"/>
      <c r="B1194" s="161" t="s">
        <v>102</v>
      </c>
      <c r="C1194" s="162">
        <v>57.7</v>
      </c>
      <c r="D1194" s="206">
        <v>57.7</v>
      </c>
      <c r="E1194" s="163">
        <v>0</v>
      </c>
      <c r="F1194" s="163">
        <v>0</v>
      </c>
      <c r="G1194" s="164">
        <v>57.7</v>
      </c>
      <c r="H1194" s="163">
        <v>0</v>
      </c>
      <c r="I1194" s="165">
        <v>0</v>
      </c>
      <c r="J1194" s="164">
        <v>57.7</v>
      </c>
      <c r="K1194" s="163">
        <v>0</v>
      </c>
      <c r="L1194" s="163">
        <v>0</v>
      </c>
      <c r="M1194" s="163">
        <v>0</v>
      </c>
      <c r="N1194" s="163">
        <v>0</v>
      </c>
      <c r="O1194" s="163">
        <v>0</v>
      </c>
      <c r="P1194" s="163">
        <v>0</v>
      </c>
      <c r="Q1194" s="146" t="s">
        <v>186</v>
      </c>
      <c r="T1194" s="130"/>
    </row>
    <row r="1195" spans="1:20" ht="10.7" customHeight="1" x14ac:dyDescent="0.2">
      <c r="A1195" s="122"/>
      <c r="B1195" s="161" t="s">
        <v>103</v>
      </c>
      <c r="C1195" s="162">
        <v>58.9</v>
      </c>
      <c r="D1195" s="206">
        <v>58.9</v>
      </c>
      <c r="E1195" s="163">
        <v>0</v>
      </c>
      <c r="F1195" s="163">
        <v>0</v>
      </c>
      <c r="G1195" s="164">
        <v>58.9</v>
      </c>
      <c r="H1195" s="163">
        <v>0</v>
      </c>
      <c r="I1195" s="165">
        <v>0</v>
      </c>
      <c r="J1195" s="164">
        <v>58.9</v>
      </c>
      <c r="K1195" s="163">
        <v>0</v>
      </c>
      <c r="L1195" s="163">
        <v>0</v>
      </c>
      <c r="M1195" s="163">
        <v>0</v>
      </c>
      <c r="N1195" s="163">
        <v>0</v>
      </c>
      <c r="O1195" s="163">
        <v>0</v>
      </c>
      <c r="P1195" s="163">
        <v>0</v>
      </c>
      <c r="Q1195" s="146" t="s">
        <v>186</v>
      </c>
      <c r="T1195" s="130"/>
    </row>
    <row r="1196" spans="1:20" ht="10.7" customHeight="1" x14ac:dyDescent="0.2">
      <c r="A1196" s="122"/>
      <c r="B1196" s="1" t="s">
        <v>104</v>
      </c>
      <c r="C1196" s="162">
        <v>5.4</v>
      </c>
      <c r="D1196" s="206">
        <v>5.4</v>
      </c>
      <c r="E1196" s="163">
        <v>0</v>
      </c>
      <c r="F1196" s="163">
        <v>0</v>
      </c>
      <c r="G1196" s="164">
        <v>5.4</v>
      </c>
      <c r="H1196" s="163">
        <v>0</v>
      </c>
      <c r="I1196" s="165">
        <v>0</v>
      </c>
      <c r="J1196" s="164">
        <v>5.4</v>
      </c>
      <c r="K1196" s="163">
        <v>0</v>
      </c>
      <c r="L1196" s="163">
        <v>0</v>
      </c>
      <c r="M1196" s="163">
        <v>0</v>
      </c>
      <c r="N1196" s="163">
        <v>0</v>
      </c>
      <c r="O1196" s="163">
        <v>0</v>
      </c>
      <c r="P1196" s="163">
        <v>0</v>
      </c>
      <c r="Q1196" s="146" t="s">
        <v>186</v>
      </c>
      <c r="T1196" s="130"/>
    </row>
    <row r="1197" spans="1:20" ht="10.7" customHeight="1" x14ac:dyDescent="0.2">
      <c r="A1197" s="122"/>
      <c r="B1197" s="168" t="s">
        <v>106</v>
      </c>
      <c r="C1197" s="172">
        <v>11518.2</v>
      </c>
      <c r="D1197" s="206">
        <v>11518.199999999997</v>
      </c>
      <c r="E1197" s="163">
        <v>0</v>
      </c>
      <c r="F1197" s="163">
        <v>0</v>
      </c>
      <c r="G1197" s="164">
        <v>11518.199999999997</v>
      </c>
      <c r="H1197" s="163">
        <v>709.32089999999994</v>
      </c>
      <c r="I1197" s="165">
        <v>6.1582617075584736</v>
      </c>
      <c r="J1197" s="164">
        <v>10808.879099999996</v>
      </c>
      <c r="K1197" s="163">
        <v>83.51419999999996</v>
      </c>
      <c r="L1197" s="163">
        <v>88.646799999999928</v>
      </c>
      <c r="M1197" s="163">
        <v>103.48860000000013</v>
      </c>
      <c r="N1197" s="163">
        <v>112.50399999999991</v>
      </c>
      <c r="O1197" s="163">
        <v>0.97674983938462556</v>
      </c>
      <c r="P1197" s="163">
        <v>97.038399999999982</v>
      </c>
      <c r="Q1197" s="146" t="s">
        <v>186</v>
      </c>
      <c r="T1197" s="130"/>
    </row>
    <row r="1198" spans="1:20" ht="10.7" customHeight="1" x14ac:dyDescent="0.2">
      <c r="A1198" s="122"/>
      <c r="B1198" s="168"/>
      <c r="C1198" s="162"/>
      <c r="D1198" s="206"/>
      <c r="E1198" s="163"/>
      <c r="F1198" s="163"/>
      <c r="G1198" s="164"/>
      <c r="H1198" s="163"/>
      <c r="I1198" s="165"/>
      <c r="J1198" s="164"/>
      <c r="K1198" s="163"/>
      <c r="L1198" s="163"/>
      <c r="M1198" s="163"/>
      <c r="N1198" s="163"/>
      <c r="O1198" s="163"/>
      <c r="P1198" s="163"/>
      <c r="Q1198" s="146"/>
      <c r="T1198" s="130"/>
    </row>
    <row r="1199" spans="1:20" ht="10.7" customHeight="1" x14ac:dyDescent="0.2">
      <c r="A1199" s="122"/>
      <c r="B1199" s="161" t="s">
        <v>107</v>
      </c>
      <c r="C1199" s="162">
        <v>19.399999999999999</v>
      </c>
      <c r="D1199" s="206">
        <v>19.399999999999999</v>
      </c>
      <c r="E1199" s="163">
        <v>0</v>
      </c>
      <c r="F1199" s="163">
        <v>0</v>
      </c>
      <c r="G1199" s="164">
        <v>19.399999999999999</v>
      </c>
      <c r="H1199" s="163">
        <v>0</v>
      </c>
      <c r="I1199" s="165">
        <v>0</v>
      </c>
      <c r="J1199" s="164">
        <v>19.399999999999999</v>
      </c>
      <c r="K1199" s="163">
        <v>0</v>
      </c>
      <c r="L1199" s="163">
        <v>0</v>
      </c>
      <c r="M1199" s="163">
        <v>0</v>
      </c>
      <c r="N1199" s="163">
        <v>0</v>
      </c>
      <c r="O1199" s="163">
        <v>0</v>
      </c>
      <c r="P1199" s="163">
        <v>0</v>
      </c>
      <c r="Q1199" s="146" t="s">
        <v>186</v>
      </c>
      <c r="T1199" s="130"/>
    </row>
    <row r="1200" spans="1:20" ht="10.7" customHeight="1" x14ac:dyDescent="0.2">
      <c r="A1200" s="122"/>
      <c r="B1200" s="161" t="s">
        <v>108</v>
      </c>
      <c r="C1200" s="162">
        <v>667.9</v>
      </c>
      <c r="D1200" s="162">
        <v>667.9</v>
      </c>
      <c r="E1200" s="173">
        <v>0</v>
      </c>
      <c r="F1200" s="163">
        <v>0</v>
      </c>
      <c r="G1200" s="164">
        <v>667.9</v>
      </c>
      <c r="H1200" s="163">
        <v>33.304000000000002</v>
      </c>
      <c r="I1200" s="165">
        <v>4.986375205869142</v>
      </c>
      <c r="J1200" s="164">
        <v>634.596</v>
      </c>
      <c r="K1200" s="163">
        <v>3.1509999999999998</v>
      </c>
      <c r="L1200" s="163">
        <v>4.9959999999999987</v>
      </c>
      <c r="M1200" s="163">
        <v>5.1870000000000012</v>
      </c>
      <c r="N1200" s="163">
        <v>6.6990000000000016</v>
      </c>
      <c r="O1200" s="163">
        <v>1.0029944602485403</v>
      </c>
      <c r="P1200" s="163">
        <v>5.0082500000000003</v>
      </c>
      <c r="Q1200" s="146" t="s">
        <v>186</v>
      </c>
      <c r="T1200" s="130"/>
    </row>
    <row r="1201" spans="1:20" ht="10.7" customHeight="1" x14ac:dyDescent="0.2">
      <c r="A1201" s="122"/>
      <c r="B1201" s="174" t="s">
        <v>109</v>
      </c>
      <c r="C1201" s="162">
        <v>1383.8999999999999</v>
      </c>
      <c r="D1201" s="162">
        <v>1383.8999999999999</v>
      </c>
      <c r="E1201" s="173">
        <v>0</v>
      </c>
      <c r="F1201" s="163">
        <v>0</v>
      </c>
      <c r="G1201" s="164">
        <v>1383.8999999999999</v>
      </c>
      <c r="H1201" s="163">
        <v>102.89700000000001</v>
      </c>
      <c r="I1201" s="165">
        <v>7.4352915673097781</v>
      </c>
      <c r="J1201" s="164">
        <v>1281.0029999999999</v>
      </c>
      <c r="K1201" s="163">
        <v>16.136000000000003</v>
      </c>
      <c r="L1201" s="163">
        <v>19.486000000000004</v>
      </c>
      <c r="M1201" s="163">
        <v>17.159999999999997</v>
      </c>
      <c r="N1201" s="163">
        <v>12.712000000000003</v>
      </c>
      <c r="O1201" s="163">
        <v>0.91856348002023291</v>
      </c>
      <c r="P1201" s="163">
        <v>16.3735</v>
      </c>
      <c r="Q1201" s="146" t="s">
        <v>186</v>
      </c>
      <c r="T1201" s="130"/>
    </row>
    <row r="1202" spans="1:20" ht="10.7" customHeight="1" x14ac:dyDescent="0.2">
      <c r="A1202" s="122"/>
      <c r="B1202" s="174"/>
      <c r="C1202" s="162"/>
      <c r="D1202" s="206"/>
      <c r="E1202" s="163"/>
      <c r="F1202" s="163"/>
      <c r="G1202" s="164"/>
      <c r="H1202" s="163"/>
      <c r="I1202" s="165"/>
      <c r="J1202" s="164"/>
      <c r="K1202" s="163"/>
      <c r="L1202" s="163"/>
      <c r="M1202" s="163"/>
      <c r="N1202" s="163"/>
      <c r="O1202" s="163"/>
      <c r="P1202" s="163"/>
      <c r="Q1202" s="146"/>
      <c r="T1202" s="130"/>
    </row>
    <row r="1203" spans="1:20" ht="10.7" customHeight="1" x14ac:dyDescent="0.2">
      <c r="A1203" s="122"/>
      <c r="B1203" s="174" t="s">
        <v>111</v>
      </c>
      <c r="C1203" s="162"/>
      <c r="D1203" s="206"/>
      <c r="E1203" s="163"/>
      <c r="F1203" s="163"/>
      <c r="G1203" s="164">
        <v>0</v>
      </c>
      <c r="H1203" s="163"/>
      <c r="I1203" s="165"/>
      <c r="J1203" s="164"/>
      <c r="K1203" s="163"/>
      <c r="L1203" s="163"/>
      <c r="M1203" s="163"/>
      <c r="N1203" s="163"/>
      <c r="O1203" s="163"/>
      <c r="P1203" s="163"/>
      <c r="Q1203" s="146"/>
      <c r="T1203" s="130"/>
    </row>
    <row r="1204" spans="1:20" ht="10.7" customHeight="1" x14ac:dyDescent="0.2">
      <c r="A1204" s="122"/>
      <c r="B1204" s="175" t="s">
        <v>112</v>
      </c>
      <c r="C1204" s="176">
        <v>13589.400000000001</v>
      </c>
      <c r="D1204" s="201">
        <v>13589.399999999998</v>
      </c>
      <c r="E1204" s="177">
        <v>0</v>
      </c>
      <c r="F1204" s="180">
        <v>0</v>
      </c>
      <c r="G1204" s="189">
        <v>13589.399999999998</v>
      </c>
      <c r="H1204" s="180">
        <v>845.52189999999996</v>
      </c>
      <c r="I1204" s="179">
        <v>6.2219222335055271</v>
      </c>
      <c r="J1204" s="189">
        <v>12743.878099999998</v>
      </c>
      <c r="K1204" s="180">
        <v>102.80119999999994</v>
      </c>
      <c r="L1204" s="180">
        <v>113.1287999999999</v>
      </c>
      <c r="M1204" s="180">
        <v>125.83560000000023</v>
      </c>
      <c r="N1204" s="180">
        <v>131.91499999999985</v>
      </c>
      <c r="O1204" s="180">
        <v>0.97071982574653681</v>
      </c>
      <c r="P1204" s="190">
        <v>118.42014999999998</v>
      </c>
      <c r="Q1204" s="153" t="s">
        <v>186</v>
      </c>
      <c r="T1204" s="130"/>
    </row>
    <row r="1205" spans="1:20" ht="10.7" customHeight="1" x14ac:dyDescent="0.2">
      <c r="A1205" s="122"/>
      <c r="B1205" s="191"/>
      <c r="C1205" s="173"/>
      <c r="D1205" s="206"/>
      <c r="E1205" s="163"/>
      <c r="F1205" s="163"/>
      <c r="G1205" s="164"/>
      <c r="H1205" s="163"/>
      <c r="I1205" s="2"/>
      <c r="J1205" s="164"/>
      <c r="K1205" s="163"/>
      <c r="L1205" s="163"/>
      <c r="M1205" s="163"/>
      <c r="N1205" s="163"/>
      <c r="O1205" s="163"/>
      <c r="P1205" s="163"/>
      <c r="Q1205" s="182"/>
      <c r="T1205" s="130"/>
    </row>
    <row r="1206" spans="1:20" ht="10.7" customHeight="1" x14ac:dyDescent="0.2">
      <c r="A1206" s="122"/>
      <c r="B1206" s="181"/>
      <c r="C1206" s="173"/>
      <c r="D1206" s="206"/>
      <c r="E1206" s="163"/>
      <c r="F1206" s="163"/>
      <c r="G1206" s="164"/>
      <c r="H1206" s="163"/>
      <c r="I1206" s="2"/>
      <c r="J1206" s="164"/>
      <c r="K1206" s="163"/>
      <c r="L1206" s="163"/>
      <c r="M1206" s="163"/>
      <c r="N1206" s="163"/>
      <c r="O1206" s="163"/>
      <c r="P1206" s="163"/>
      <c r="Q1206" s="182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202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203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203" t="s">
        <v>74</v>
      </c>
      <c r="J1209" s="147" t="s">
        <v>75</v>
      </c>
      <c r="K1209" s="151">
        <v>43166</v>
      </c>
      <c r="L1209" s="151">
        <v>43173</v>
      </c>
      <c r="M1209" s="151">
        <v>43180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204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6"/>
      <c r="C1211" s="193" t="s">
        <v>156</v>
      </c>
      <c r="D1211" s="193"/>
      <c r="E1211" s="193"/>
      <c r="F1211" s="193"/>
      <c r="G1211" s="193"/>
      <c r="H1211" s="193"/>
      <c r="I1211" s="193"/>
      <c r="J1211" s="193"/>
      <c r="K1211" s="193"/>
      <c r="L1211" s="193"/>
      <c r="M1211" s="193"/>
      <c r="N1211" s="193"/>
      <c r="O1211" s="193"/>
      <c r="P1211" s="194"/>
      <c r="Q1211" s="145"/>
      <c r="T1211" s="130"/>
    </row>
    <row r="1212" spans="1:20" ht="10.7" customHeight="1" x14ac:dyDescent="0.2">
      <c r="A1212" s="122"/>
      <c r="B1212" s="161" t="s">
        <v>80</v>
      </c>
      <c r="C1212" s="162">
        <v>801.2</v>
      </c>
      <c r="D1212" s="206">
        <v>813</v>
      </c>
      <c r="E1212" s="163">
        <v>1.2999999999999545</v>
      </c>
      <c r="F1212" s="163">
        <v>11.799999999999955</v>
      </c>
      <c r="G1212" s="164">
        <v>813</v>
      </c>
      <c r="H1212" s="163">
        <v>169.16200000000001</v>
      </c>
      <c r="I1212" s="165">
        <v>20.807134071340716</v>
      </c>
      <c r="J1212" s="164">
        <v>643.83799999999997</v>
      </c>
      <c r="K1212" s="163">
        <v>29.608000000000004</v>
      </c>
      <c r="L1212" s="163">
        <v>12.033000000000001</v>
      </c>
      <c r="M1212" s="163">
        <v>10.084000000000003</v>
      </c>
      <c r="N1212" s="163">
        <v>28.762</v>
      </c>
      <c r="O1212" s="163">
        <v>3.537761377613776</v>
      </c>
      <c r="P1212" s="163">
        <v>20.121750000000002</v>
      </c>
      <c r="Q1212" s="146">
        <v>29.99711754693304</v>
      </c>
      <c r="T1212" s="130"/>
    </row>
    <row r="1213" spans="1:20" ht="10.7" customHeight="1" x14ac:dyDescent="0.2">
      <c r="A1213" s="122"/>
      <c r="B1213" s="161" t="s">
        <v>81</v>
      </c>
      <c r="C1213" s="162">
        <v>86.9</v>
      </c>
      <c r="D1213" s="206">
        <v>90.7</v>
      </c>
      <c r="E1213" s="163">
        <v>0</v>
      </c>
      <c r="F1213" s="163">
        <v>3.7999999999999972</v>
      </c>
      <c r="G1213" s="164">
        <v>90.7</v>
      </c>
      <c r="H1213" s="163">
        <v>11.1678</v>
      </c>
      <c r="I1213" s="165">
        <v>12.312899669239249</v>
      </c>
      <c r="J1213" s="164">
        <v>79.532200000000003</v>
      </c>
      <c r="K1213" s="163">
        <v>3.1716000000000002</v>
      </c>
      <c r="L1213" s="163">
        <v>1.863999999999999</v>
      </c>
      <c r="M1213" s="163">
        <v>0.42400000000000126</v>
      </c>
      <c r="N1213" s="163">
        <v>2.6481999999999992</v>
      </c>
      <c r="O1213" s="163">
        <v>2.9197353914002195</v>
      </c>
      <c r="P1213" s="163">
        <v>2.0269499999999998</v>
      </c>
      <c r="Q1213" s="146">
        <v>37.237376353634779</v>
      </c>
      <c r="T1213" s="130"/>
    </row>
    <row r="1214" spans="1:20" ht="10.7" customHeight="1" x14ac:dyDescent="0.2">
      <c r="A1214" s="122"/>
      <c r="B1214" s="161" t="s">
        <v>82</v>
      </c>
      <c r="C1214" s="162">
        <v>119.8</v>
      </c>
      <c r="D1214" s="206">
        <v>118.39999999999999</v>
      </c>
      <c r="E1214" s="163">
        <v>-1.4000000000000057</v>
      </c>
      <c r="F1214" s="163">
        <v>-1.4000000000000057</v>
      </c>
      <c r="G1214" s="164">
        <v>118.39999999999999</v>
      </c>
      <c r="H1214" s="163">
        <v>46.356999999999999</v>
      </c>
      <c r="I1214" s="165">
        <v>39.152871621621621</v>
      </c>
      <c r="J1214" s="164">
        <v>72.042999999999992</v>
      </c>
      <c r="K1214" s="163">
        <v>10.745999999999999</v>
      </c>
      <c r="L1214" s="163">
        <v>10.771000000000001</v>
      </c>
      <c r="M1214" s="163">
        <v>15.731000000000002</v>
      </c>
      <c r="N1214" s="163">
        <v>2.046999999999997</v>
      </c>
      <c r="O1214" s="163">
        <v>1.7288851351351326</v>
      </c>
      <c r="P1214" s="163">
        <v>9.8237500000000004</v>
      </c>
      <c r="Q1214" s="146">
        <v>5.3335538872630091</v>
      </c>
      <c r="T1214" s="130"/>
    </row>
    <row r="1215" spans="1:20" ht="10.7" customHeight="1" x14ac:dyDescent="0.2">
      <c r="A1215" s="122"/>
      <c r="B1215" s="161" t="s">
        <v>83</v>
      </c>
      <c r="C1215" s="162">
        <v>113.1</v>
      </c>
      <c r="D1215" s="206">
        <v>119.1</v>
      </c>
      <c r="E1215" s="163">
        <v>6</v>
      </c>
      <c r="F1215" s="163">
        <v>6</v>
      </c>
      <c r="G1215" s="164">
        <v>119.1</v>
      </c>
      <c r="H1215" s="163">
        <v>2.8959999999999999</v>
      </c>
      <c r="I1215" s="165">
        <v>2.431570109151973</v>
      </c>
      <c r="J1215" s="164">
        <v>116.20399999999999</v>
      </c>
      <c r="K1215" s="163">
        <v>0.85299999999999998</v>
      </c>
      <c r="L1215" s="163">
        <v>0.93199999999999994</v>
      </c>
      <c r="M1215" s="163">
        <v>0.3819999999999999</v>
      </c>
      <c r="N1215" s="163">
        <v>0.72900000000000009</v>
      </c>
      <c r="O1215" s="163">
        <v>0.61209068010075574</v>
      </c>
      <c r="P1215" s="163">
        <v>0.72399999999999998</v>
      </c>
      <c r="Q1215" s="146" t="s">
        <v>186</v>
      </c>
      <c r="T1215" s="130"/>
    </row>
    <row r="1216" spans="1:20" ht="10.7" customHeight="1" x14ac:dyDescent="0.2">
      <c r="A1216" s="122"/>
      <c r="B1216" s="161" t="s">
        <v>84</v>
      </c>
      <c r="C1216" s="162">
        <v>2.9</v>
      </c>
      <c r="D1216" s="206">
        <v>2.9</v>
      </c>
      <c r="E1216" s="163">
        <v>0</v>
      </c>
      <c r="F1216" s="163">
        <v>0</v>
      </c>
      <c r="G1216" s="164">
        <v>2.9</v>
      </c>
      <c r="H1216" s="163">
        <v>0.106</v>
      </c>
      <c r="I1216" s="165">
        <v>3.6551724137931036</v>
      </c>
      <c r="J1216" s="164">
        <v>2.794</v>
      </c>
      <c r="K1216" s="163">
        <v>0</v>
      </c>
      <c r="L1216" s="163">
        <v>0</v>
      </c>
      <c r="M1216" s="163">
        <v>0</v>
      </c>
      <c r="N1216" s="163">
        <v>0.106</v>
      </c>
      <c r="O1216" s="163">
        <v>3.6551724137931036</v>
      </c>
      <c r="P1216" s="163">
        <v>2.6499999999999999E-2</v>
      </c>
      <c r="Q1216" s="146" t="s">
        <v>186</v>
      </c>
      <c r="T1216" s="130"/>
    </row>
    <row r="1217" spans="1:20" ht="10.7" customHeight="1" x14ac:dyDescent="0.2">
      <c r="A1217" s="122"/>
      <c r="B1217" s="161" t="s">
        <v>85</v>
      </c>
      <c r="C1217" s="162">
        <v>9.9</v>
      </c>
      <c r="D1217" s="206">
        <v>17.7</v>
      </c>
      <c r="E1217" s="163">
        <v>6.6</v>
      </c>
      <c r="F1217" s="163">
        <v>7.7999999999999989</v>
      </c>
      <c r="G1217" s="164">
        <v>17.7</v>
      </c>
      <c r="H1217" s="163">
        <v>3.4769999999999999</v>
      </c>
      <c r="I1217" s="165">
        <v>19.64406779661017</v>
      </c>
      <c r="J1217" s="164">
        <v>14.222999999999999</v>
      </c>
      <c r="K1217" s="163">
        <v>0</v>
      </c>
      <c r="L1217" s="163">
        <v>2.4000000000000021E-2</v>
      </c>
      <c r="M1217" s="163">
        <v>0</v>
      </c>
      <c r="N1217" s="163">
        <v>0</v>
      </c>
      <c r="O1217" s="163">
        <v>0</v>
      </c>
      <c r="P1217" s="163">
        <v>6.0000000000000053E-3</v>
      </c>
      <c r="Q1217" s="146" t="s">
        <v>186</v>
      </c>
      <c r="T1217" s="130"/>
    </row>
    <row r="1218" spans="1:20" ht="10.7" customHeight="1" x14ac:dyDescent="0.2">
      <c r="A1218" s="122"/>
      <c r="B1218" s="161" t="s">
        <v>86</v>
      </c>
      <c r="C1218" s="162">
        <v>40.1</v>
      </c>
      <c r="D1218" s="206">
        <v>40.1</v>
      </c>
      <c r="E1218" s="163">
        <v>0</v>
      </c>
      <c r="F1218" s="163">
        <v>0</v>
      </c>
      <c r="G1218" s="164">
        <v>40.1</v>
      </c>
      <c r="H1218" s="163">
        <v>2.383</v>
      </c>
      <c r="I1218" s="165">
        <v>5.9426433915211971</v>
      </c>
      <c r="J1218" s="164">
        <v>37.716999999999999</v>
      </c>
      <c r="K1218" s="163">
        <v>1.8980000000000001</v>
      </c>
      <c r="L1218" s="163">
        <v>9.6999999999999975E-2</v>
      </c>
      <c r="M1218" s="163">
        <v>0.2669999999999999</v>
      </c>
      <c r="N1218" s="163">
        <v>5.600000000000005E-2</v>
      </c>
      <c r="O1218" s="163">
        <v>0.13965087281795524</v>
      </c>
      <c r="P1218" s="163">
        <v>0.57950000000000002</v>
      </c>
      <c r="Q1218" s="146" t="s">
        <v>186</v>
      </c>
      <c r="T1218" s="130"/>
    </row>
    <row r="1219" spans="1:20" ht="10.7" customHeight="1" x14ac:dyDescent="0.2">
      <c r="A1219" s="122"/>
      <c r="B1219" s="161" t="s">
        <v>87</v>
      </c>
      <c r="C1219" s="162">
        <v>40.799999999999997</v>
      </c>
      <c r="D1219" s="206">
        <v>40.799999999999997</v>
      </c>
      <c r="E1219" s="163">
        <v>0</v>
      </c>
      <c r="F1219" s="163">
        <v>0</v>
      </c>
      <c r="G1219" s="164">
        <v>40.799999999999997</v>
      </c>
      <c r="H1219" s="163">
        <v>0.13600000000000001</v>
      </c>
      <c r="I1219" s="165">
        <v>0.33333333333333337</v>
      </c>
      <c r="J1219" s="164">
        <v>40.663999999999994</v>
      </c>
      <c r="K1219" s="163">
        <v>3.5000000000000003E-2</v>
      </c>
      <c r="L1219" s="163">
        <v>0</v>
      </c>
      <c r="M1219" s="163">
        <v>5.7999999999999996E-2</v>
      </c>
      <c r="N1219" s="163">
        <v>4.300000000000001E-2</v>
      </c>
      <c r="O1219" s="163">
        <v>0.10539215686274513</v>
      </c>
      <c r="P1219" s="163">
        <v>3.4000000000000002E-2</v>
      </c>
      <c r="Q1219" s="146" t="s">
        <v>186</v>
      </c>
      <c r="T1219" s="130"/>
    </row>
    <row r="1220" spans="1:20" ht="10.7" customHeight="1" x14ac:dyDescent="0.2">
      <c r="A1220" s="122"/>
      <c r="B1220" s="161" t="s">
        <v>88</v>
      </c>
      <c r="C1220" s="162">
        <v>0</v>
      </c>
      <c r="D1220" s="206">
        <v>0</v>
      </c>
      <c r="E1220" s="163">
        <v>0</v>
      </c>
      <c r="F1220" s="163">
        <v>0</v>
      </c>
      <c r="G1220" s="164">
        <v>0</v>
      </c>
      <c r="H1220" s="163">
        <v>0</v>
      </c>
      <c r="I1220" s="165" t="s">
        <v>119</v>
      </c>
      <c r="J1220" s="164">
        <v>0</v>
      </c>
      <c r="K1220" s="163">
        <v>0</v>
      </c>
      <c r="L1220" s="163">
        <v>0</v>
      </c>
      <c r="M1220" s="163">
        <v>0</v>
      </c>
      <c r="N1220" s="163">
        <v>0</v>
      </c>
      <c r="O1220" s="163" t="s">
        <v>42</v>
      </c>
      <c r="P1220" s="163">
        <v>0</v>
      </c>
      <c r="Q1220" s="146" t="s">
        <v>162</v>
      </c>
      <c r="T1220" s="130"/>
    </row>
    <row r="1221" spans="1:20" ht="10.7" customHeight="1" x14ac:dyDescent="0.2">
      <c r="A1221" s="122"/>
      <c r="B1221" s="161" t="s">
        <v>89</v>
      </c>
      <c r="C1221" s="162">
        <v>41.5</v>
      </c>
      <c r="D1221" s="206">
        <v>53.6</v>
      </c>
      <c r="E1221" s="163">
        <v>0</v>
      </c>
      <c r="F1221" s="163">
        <v>12.100000000000001</v>
      </c>
      <c r="G1221" s="164">
        <v>53.6</v>
      </c>
      <c r="H1221" s="163">
        <v>0</v>
      </c>
      <c r="I1221" s="165">
        <v>0</v>
      </c>
      <c r="J1221" s="164">
        <v>53.6</v>
      </c>
      <c r="K1221" s="163">
        <v>0</v>
      </c>
      <c r="L1221" s="163">
        <v>0</v>
      </c>
      <c r="M1221" s="163">
        <v>0</v>
      </c>
      <c r="N1221" s="163">
        <v>0</v>
      </c>
      <c r="O1221" s="163">
        <v>0</v>
      </c>
      <c r="P1221" s="163">
        <v>0</v>
      </c>
      <c r="Q1221" s="146" t="s">
        <v>186</v>
      </c>
      <c r="T1221" s="130"/>
    </row>
    <row r="1222" spans="1:20" ht="10.7" customHeight="1" x14ac:dyDescent="0.2">
      <c r="A1222" s="122"/>
      <c r="B1222" s="168" t="s">
        <v>91</v>
      </c>
      <c r="C1222" s="162">
        <v>1256.2</v>
      </c>
      <c r="D1222" s="206">
        <v>1296.3</v>
      </c>
      <c r="E1222" s="163">
        <v>12.499999999999948</v>
      </c>
      <c r="F1222" s="163">
        <v>40.099999999999909</v>
      </c>
      <c r="G1222" s="164">
        <v>1296.3</v>
      </c>
      <c r="H1222" s="163">
        <v>235.6848</v>
      </c>
      <c r="I1222" s="165">
        <v>18.181346910437398</v>
      </c>
      <c r="J1222" s="164">
        <v>1060.6151999999997</v>
      </c>
      <c r="K1222" s="163">
        <v>46.311599999999999</v>
      </c>
      <c r="L1222" s="163">
        <v>25.721</v>
      </c>
      <c r="M1222" s="163">
        <v>26.946000000000005</v>
      </c>
      <c r="N1222" s="163">
        <v>34.391199999999998</v>
      </c>
      <c r="O1222" s="163">
        <v>2.6530278484918615</v>
      </c>
      <c r="P1222" s="169">
        <v>33.342449999999999</v>
      </c>
      <c r="Q1222" s="146">
        <v>29.809756031725314</v>
      </c>
      <c r="T1222" s="130"/>
    </row>
    <row r="1223" spans="1:20" ht="10.7" customHeight="1" x14ac:dyDescent="0.2">
      <c r="A1223" s="122"/>
      <c r="B1223" s="168"/>
      <c r="D1223" s="206"/>
      <c r="E1223" s="163"/>
      <c r="F1223" s="163"/>
      <c r="G1223" s="164"/>
      <c r="H1223" s="163"/>
      <c r="I1223" s="165"/>
      <c r="J1223" s="164"/>
      <c r="K1223" s="163"/>
      <c r="L1223" s="163"/>
      <c r="M1223" s="163"/>
      <c r="N1223" s="163"/>
      <c r="O1223" s="163"/>
      <c r="P1223" s="163"/>
      <c r="Q1223" s="146"/>
      <c r="T1223" s="130"/>
    </row>
    <row r="1224" spans="1:20" ht="10.7" customHeight="1" x14ac:dyDescent="0.2">
      <c r="A1224" s="122"/>
      <c r="B1224" s="161" t="s">
        <v>92</v>
      </c>
      <c r="C1224" s="162">
        <v>29.1</v>
      </c>
      <c r="D1224" s="206">
        <v>18.100000000000001</v>
      </c>
      <c r="E1224" s="163">
        <v>0</v>
      </c>
      <c r="F1224" s="163">
        <v>-11</v>
      </c>
      <c r="G1224" s="164">
        <v>18.100000000000001</v>
      </c>
      <c r="H1224" s="163">
        <v>1.0229999999999999</v>
      </c>
      <c r="I1224" s="165">
        <v>5.651933701657458</v>
      </c>
      <c r="J1224" s="164">
        <v>17.077000000000002</v>
      </c>
      <c r="K1224" s="163">
        <v>0</v>
      </c>
      <c r="L1224" s="163">
        <v>0.98399999999999999</v>
      </c>
      <c r="M1224" s="163">
        <v>1.6999999999999904E-2</v>
      </c>
      <c r="N1224" s="163">
        <v>2.200000000000002E-2</v>
      </c>
      <c r="O1224" s="163">
        <v>0.12154696132596694</v>
      </c>
      <c r="P1224" s="163">
        <v>0.25574999999999998</v>
      </c>
      <c r="Q1224" s="146" t="s">
        <v>186</v>
      </c>
      <c r="T1224" s="130"/>
    </row>
    <row r="1225" spans="1:20" ht="10.7" customHeight="1" x14ac:dyDescent="0.2">
      <c r="A1225" s="188"/>
      <c r="B1225" s="161" t="s">
        <v>93</v>
      </c>
      <c r="C1225" s="162">
        <v>70.400000000000006</v>
      </c>
      <c r="D1225" s="206">
        <v>70.400000000000006</v>
      </c>
      <c r="E1225" s="163">
        <v>0</v>
      </c>
      <c r="F1225" s="163">
        <v>0</v>
      </c>
      <c r="G1225" s="164">
        <v>70.400000000000006</v>
      </c>
      <c r="H1225" s="163">
        <v>1.5548999999999999</v>
      </c>
      <c r="I1225" s="165">
        <v>2.2086647727272726</v>
      </c>
      <c r="J1225" s="164">
        <v>68.845100000000002</v>
      </c>
      <c r="K1225" s="163">
        <v>0.12190000000000012</v>
      </c>
      <c r="L1225" s="163">
        <v>0</v>
      </c>
      <c r="M1225" s="163">
        <v>0</v>
      </c>
      <c r="N1225" s="163">
        <v>0.27299999999999991</v>
      </c>
      <c r="O1225" s="163">
        <v>0.38778409090909077</v>
      </c>
      <c r="P1225" s="163">
        <v>9.8725000000000007E-2</v>
      </c>
      <c r="Q1225" s="146" t="s">
        <v>186</v>
      </c>
      <c r="T1225" s="130"/>
    </row>
    <row r="1226" spans="1:20" ht="10.7" hidden="1" customHeight="1" x14ac:dyDescent="0.2">
      <c r="A1226" s="122"/>
      <c r="B1226" s="161" t="s">
        <v>94</v>
      </c>
      <c r="C1226" s="162">
        <v>0</v>
      </c>
      <c r="D1226" s="206">
        <v>0</v>
      </c>
      <c r="E1226" s="163">
        <v>0</v>
      </c>
      <c r="F1226" s="163">
        <v>0</v>
      </c>
      <c r="G1226" s="164">
        <v>0</v>
      </c>
      <c r="H1226" s="163">
        <v>0</v>
      </c>
      <c r="I1226" s="165" t="s">
        <v>119</v>
      </c>
      <c r="J1226" s="164">
        <v>0</v>
      </c>
      <c r="K1226" s="163">
        <v>0</v>
      </c>
      <c r="L1226" s="163">
        <v>0</v>
      </c>
      <c r="M1226" s="163">
        <v>0</v>
      </c>
      <c r="N1226" s="163">
        <v>0</v>
      </c>
      <c r="O1226" s="163" t="s">
        <v>42</v>
      </c>
      <c r="P1226" s="163">
        <v>0</v>
      </c>
      <c r="Q1226" s="146">
        <v>0</v>
      </c>
      <c r="T1226" s="130"/>
    </row>
    <row r="1227" spans="1:20" ht="10.7" customHeight="1" x14ac:dyDescent="0.2">
      <c r="A1227" s="188"/>
      <c r="B1227" s="161" t="s">
        <v>95</v>
      </c>
      <c r="C1227" s="162">
        <v>14.7</v>
      </c>
      <c r="D1227" s="206">
        <v>14.7</v>
      </c>
      <c r="E1227" s="163">
        <v>0</v>
      </c>
      <c r="F1227" s="163">
        <v>0</v>
      </c>
      <c r="G1227" s="164">
        <v>14.7</v>
      </c>
      <c r="H1227" s="163">
        <v>0</v>
      </c>
      <c r="I1227" s="165">
        <v>0</v>
      </c>
      <c r="J1227" s="164">
        <v>14.7</v>
      </c>
      <c r="K1227" s="163">
        <v>0</v>
      </c>
      <c r="L1227" s="163">
        <v>0</v>
      </c>
      <c r="M1227" s="163">
        <v>0</v>
      </c>
      <c r="N1227" s="163">
        <v>0</v>
      </c>
      <c r="O1227" s="163">
        <v>0</v>
      </c>
      <c r="P1227" s="163">
        <v>0</v>
      </c>
      <c r="Q1227" s="146" t="s">
        <v>186</v>
      </c>
      <c r="T1227" s="130"/>
    </row>
    <row r="1228" spans="1:20" ht="10.7" customHeight="1" x14ac:dyDescent="0.2">
      <c r="A1228" s="122"/>
      <c r="B1228" s="161" t="s">
        <v>96</v>
      </c>
      <c r="C1228" s="162">
        <v>37.5</v>
      </c>
      <c r="D1228" s="206">
        <v>28.7</v>
      </c>
      <c r="E1228" s="163">
        <v>-7.6999999999999993</v>
      </c>
      <c r="F1228" s="163">
        <v>-8.8000000000000007</v>
      </c>
      <c r="G1228" s="164">
        <v>28.7</v>
      </c>
      <c r="H1228" s="163">
        <v>13.199</v>
      </c>
      <c r="I1228" s="165">
        <v>45.98954703832753</v>
      </c>
      <c r="J1228" s="164">
        <v>15.500999999999999</v>
      </c>
      <c r="K1228" s="163">
        <v>0</v>
      </c>
      <c r="L1228" s="163">
        <v>1.213000000000001</v>
      </c>
      <c r="M1228" s="163">
        <v>0</v>
      </c>
      <c r="N1228" s="163">
        <v>4.3669999999999991</v>
      </c>
      <c r="O1228" s="163">
        <v>15.216027874564459</v>
      </c>
      <c r="P1228" s="163">
        <v>1.395</v>
      </c>
      <c r="Q1228" s="146">
        <v>9.1118279569892469</v>
      </c>
      <c r="T1228" s="130"/>
    </row>
    <row r="1229" spans="1:20" ht="10.7" customHeight="1" x14ac:dyDescent="0.2">
      <c r="A1229" s="122"/>
      <c r="B1229" s="161" t="s">
        <v>97</v>
      </c>
      <c r="C1229" s="162">
        <v>258.10000000000002</v>
      </c>
      <c r="D1229" s="206">
        <v>258.10000000000002</v>
      </c>
      <c r="E1229" s="163">
        <v>0</v>
      </c>
      <c r="F1229" s="163">
        <v>0</v>
      </c>
      <c r="G1229" s="164">
        <v>258.10000000000002</v>
      </c>
      <c r="H1229" s="163">
        <v>0</v>
      </c>
      <c r="I1229" s="165">
        <v>0</v>
      </c>
      <c r="J1229" s="164">
        <v>258.10000000000002</v>
      </c>
      <c r="K1229" s="163">
        <v>0</v>
      </c>
      <c r="L1229" s="163">
        <v>0</v>
      </c>
      <c r="M1229" s="163">
        <v>0</v>
      </c>
      <c r="N1229" s="163">
        <v>0</v>
      </c>
      <c r="O1229" s="163">
        <v>0</v>
      </c>
      <c r="P1229" s="163">
        <v>0</v>
      </c>
      <c r="Q1229" s="146" t="s">
        <v>186</v>
      </c>
      <c r="T1229" s="130"/>
    </row>
    <row r="1230" spans="1:20" ht="10.7" customHeight="1" x14ac:dyDescent="0.2">
      <c r="A1230" s="122"/>
      <c r="B1230" s="161" t="s">
        <v>98</v>
      </c>
      <c r="C1230" s="162">
        <v>59.7</v>
      </c>
      <c r="D1230" s="206">
        <v>41.400000000000006</v>
      </c>
      <c r="E1230" s="163">
        <v>-2.7999999999999972</v>
      </c>
      <c r="F1230" s="163">
        <v>-18.299999999999997</v>
      </c>
      <c r="G1230" s="164">
        <v>41.400000000000006</v>
      </c>
      <c r="H1230" s="163">
        <v>0</v>
      </c>
      <c r="I1230" s="165">
        <v>0</v>
      </c>
      <c r="J1230" s="164">
        <v>41.400000000000006</v>
      </c>
      <c r="K1230" s="163">
        <v>0</v>
      </c>
      <c r="L1230" s="163">
        <v>0</v>
      </c>
      <c r="M1230" s="163">
        <v>0</v>
      </c>
      <c r="N1230" s="163">
        <v>0</v>
      </c>
      <c r="O1230" s="163">
        <v>0</v>
      </c>
      <c r="P1230" s="163">
        <v>0</v>
      </c>
      <c r="Q1230" s="146" t="s">
        <v>186</v>
      </c>
      <c r="T1230" s="130"/>
    </row>
    <row r="1231" spans="1:20" ht="10.7" customHeight="1" x14ac:dyDescent="0.2">
      <c r="A1231" s="122"/>
      <c r="B1231" s="161" t="s">
        <v>99</v>
      </c>
      <c r="C1231" s="162">
        <v>43.4</v>
      </c>
      <c r="D1231" s="206">
        <v>41.4</v>
      </c>
      <c r="E1231" s="163">
        <v>-2</v>
      </c>
      <c r="F1231" s="163">
        <v>-2</v>
      </c>
      <c r="G1231" s="164">
        <v>41.4</v>
      </c>
      <c r="H1231" s="163">
        <v>0</v>
      </c>
      <c r="I1231" s="165">
        <v>0</v>
      </c>
      <c r="J1231" s="164">
        <v>41.4</v>
      </c>
      <c r="K1231" s="163">
        <v>0</v>
      </c>
      <c r="L1231" s="163">
        <v>0</v>
      </c>
      <c r="M1231" s="163">
        <v>0</v>
      </c>
      <c r="N1231" s="163">
        <v>0</v>
      </c>
      <c r="O1231" s="163">
        <v>0</v>
      </c>
      <c r="P1231" s="163">
        <v>0</v>
      </c>
      <c r="Q1231" s="146" t="s">
        <v>186</v>
      </c>
      <c r="T1231" s="130"/>
    </row>
    <row r="1232" spans="1:20" ht="10.7" customHeight="1" x14ac:dyDescent="0.2">
      <c r="A1232" s="122"/>
      <c r="B1232" s="161" t="s">
        <v>100</v>
      </c>
      <c r="C1232" s="162">
        <v>4.7</v>
      </c>
      <c r="D1232" s="206">
        <v>4.7</v>
      </c>
      <c r="E1232" s="163">
        <v>0</v>
      </c>
      <c r="F1232" s="163">
        <v>0</v>
      </c>
      <c r="G1232" s="164">
        <v>4.7</v>
      </c>
      <c r="H1232" s="163">
        <v>0</v>
      </c>
      <c r="I1232" s="165">
        <v>0</v>
      </c>
      <c r="J1232" s="164">
        <v>4.7</v>
      </c>
      <c r="K1232" s="163">
        <v>0</v>
      </c>
      <c r="L1232" s="163">
        <v>0</v>
      </c>
      <c r="M1232" s="163">
        <v>0</v>
      </c>
      <c r="N1232" s="163">
        <v>0</v>
      </c>
      <c r="O1232" s="163">
        <v>0</v>
      </c>
      <c r="P1232" s="163">
        <v>0</v>
      </c>
      <c r="Q1232" s="146" t="s">
        <v>186</v>
      </c>
      <c r="T1232" s="130"/>
    </row>
    <row r="1233" spans="1:20" ht="10.7" customHeight="1" x14ac:dyDescent="0.2">
      <c r="A1233" s="122"/>
      <c r="B1233" s="161" t="s">
        <v>101</v>
      </c>
      <c r="C1233" s="162">
        <v>0.3</v>
      </c>
      <c r="D1233" s="206">
        <v>0.3</v>
      </c>
      <c r="E1233" s="163">
        <v>0</v>
      </c>
      <c r="F1233" s="163">
        <v>0</v>
      </c>
      <c r="G1233" s="164">
        <v>0.3</v>
      </c>
      <c r="H1233" s="163">
        <v>0</v>
      </c>
      <c r="I1233" s="165">
        <v>0</v>
      </c>
      <c r="J1233" s="164">
        <v>0.3</v>
      </c>
      <c r="K1233" s="163">
        <v>0</v>
      </c>
      <c r="L1233" s="163">
        <v>0</v>
      </c>
      <c r="M1233" s="163">
        <v>0</v>
      </c>
      <c r="N1233" s="163">
        <v>0</v>
      </c>
      <c r="O1233" s="163">
        <v>0</v>
      </c>
      <c r="P1233" s="163">
        <v>0</v>
      </c>
      <c r="Q1233" s="146" t="s">
        <v>186</v>
      </c>
      <c r="T1233" s="130"/>
    </row>
    <row r="1234" spans="1:20" ht="10.7" customHeight="1" x14ac:dyDescent="0.2">
      <c r="A1234" s="122"/>
      <c r="B1234" s="161" t="s">
        <v>102</v>
      </c>
      <c r="C1234" s="162">
        <v>88.8</v>
      </c>
      <c r="D1234" s="206">
        <v>88.8</v>
      </c>
      <c r="E1234" s="163">
        <v>0</v>
      </c>
      <c r="F1234" s="163">
        <v>0</v>
      </c>
      <c r="G1234" s="164">
        <v>88.8</v>
      </c>
      <c r="H1234" s="163">
        <v>0</v>
      </c>
      <c r="I1234" s="165">
        <v>0</v>
      </c>
      <c r="J1234" s="164">
        <v>88.8</v>
      </c>
      <c r="K1234" s="163">
        <v>0</v>
      </c>
      <c r="L1234" s="163">
        <v>0</v>
      </c>
      <c r="M1234" s="163">
        <v>0</v>
      </c>
      <c r="N1234" s="163">
        <v>0</v>
      </c>
      <c r="O1234" s="163">
        <v>0</v>
      </c>
      <c r="P1234" s="163">
        <v>0</v>
      </c>
      <c r="Q1234" s="146" t="s">
        <v>186</v>
      </c>
      <c r="T1234" s="130"/>
    </row>
    <row r="1235" spans="1:20" ht="10.7" customHeight="1" x14ac:dyDescent="0.2">
      <c r="A1235" s="122"/>
      <c r="B1235" s="161" t="s">
        <v>103</v>
      </c>
      <c r="C1235" s="162">
        <v>0</v>
      </c>
      <c r="D1235" s="206">
        <v>0</v>
      </c>
      <c r="E1235" s="163">
        <v>0</v>
      </c>
      <c r="F1235" s="163">
        <v>0</v>
      </c>
      <c r="G1235" s="164">
        <v>0</v>
      </c>
      <c r="H1235" s="163">
        <v>0</v>
      </c>
      <c r="I1235" s="165" t="s">
        <v>119</v>
      </c>
      <c r="J1235" s="164">
        <v>0</v>
      </c>
      <c r="K1235" s="163">
        <v>0</v>
      </c>
      <c r="L1235" s="163">
        <v>0</v>
      </c>
      <c r="M1235" s="163">
        <v>0</v>
      </c>
      <c r="N1235" s="163">
        <v>0</v>
      </c>
      <c r="O1235" s="163" t="s">
        <v>42</v>
      </c>
      <c r="P1235" s="163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104</v>
      </c>
      <c r="C1236" s="162">
        <v>0.2</v>
      </c>
      <c r="D1236" s="206">
        <v>0.2</v>
      </c>
      <c r="E1236" s="163">
        <v>0</v>
      </c>
      <c r="F1236" s="163">
        <v>0</v>
      </c>
      <c r="G1236" s="164">
        <v>0.2</v>
      </c>
      <c r="H1236" s="163">
        <v>0</v>
      </c>
      <c r="I1236" s="165">
        <v>0</v>
      </c>
      <c r="J1236" s="164">
        <v>0.2</v>
      </c>
      <c r="K1236" s="163">
        <v>0</v>
      </c>
      <c r="L1236" s="163">
        <v>0</v>
      </c>
      <c r="M1236" s="163">
        <v>0</v>
      </c>
      <c r="N1236" s="163">
        <v>0</v>
      </c>
      <c r="O1236" s="163">
        <v>0</v>
      </c>
      <c r="P1236" s="163">
        <v>0</v>
      </c>
      <c r="Q1236" s="146" t="s">
        <v>186</v>
      </c>
      <c r="T1236" s="130"/>
    </row>
    <row r="1237" spans="1:20" ht="10.7" customHeight="1" x14ac:dyDescent="0.2">
      <c r="A1237" s="122"/>
      <c r="B1237" s="168" t="s">
        <v>106</v>
      </c>
      <c r="C1237" s="172">
        <v>1863.1</v>
      </c>
      <c r="D1237" s="206">
        <v>1863.1000000000004</v>
      </c>
      <c r="E1237" s="163">
        <v>0</v>
      </c>
      <c r="F1237" s="163">
        <v>0</v>
      </c>
      <c r="G1237" s="164">
        <v>1863.1000000000004</v>
      </c>
      <c r="H1237" s="163">
        <v>251.46170000000001</v>
      </c>
      <c r="I1237" s="165">
        <v>13.496951317696311</v>
      </c>
      <c r="J1237" s="164">
        <v>1611.6383000000003</v>
      </c>
      <c r="K1237" s="163">
        <v>46.433500000000009</v>
      </c>
      <c r="L1237" s="163">
        <v>27.918000000000006</v>
      </c>
      <c r="M1237" s="163">
        <v>26.962999999999994</v>
      </c>
      <c r="N1237" s="163">
        <v>39.053200000000004</v>
      </c>
      <c r="O1237" s="163">
        <v>2.0961408405345927</v>
      </c>
      <c r="P1237" s="163">
        <v>35.091925000000003</v>
      </c>
      <c r="Q1237" s="146">
        <v>43.926186722443987</v>
      </c>
      <c r="T1237" s="130"/>
    </row>
    <row r="1238" spans="1:20" ht="10.7" customHeight="1" x14ac:dyDescent="0.2">
      <c r="A1238" s="122"/>
      <c r="B1238" s="168"/>
      <c r="C1238" s="162"/>
      <c r="D1238" s="206"/>
      <c r="E1238" s="163"/>
      <c r="F1238" s="163"/>
      <c r="G1238" s="164"/>
      <c r="H1238" s="163"/>
      <c r="I1238" s="165"/>
      <c r="J1238" s="164"/>
      <c r="K1238" s="163"/>
      <c r="L1238" s="163"/>
      <c r="M1238" s="163"/>
      <c r="N1238" s="163"/>
      <c r="O1238" s="163"/>
      <c r="P1238" s="163"/>
      <c r="Q1238" s="146"/>
      <c r="T1238" s="130"/>
    </row>
    <row r="1239" spans="1:20" ht="10.7" customHeight="1" x14ac:dyDescent="0.2">
      <c r="A1239" s="122"/>
      <c r="B1239" s="161" t="s">
        <v>107</v>
      </c>
      <c r="C1239" s="162">
        <v>0</v>
      </c>
      <c r="D1239" s="206">
        <v>0</v>
      </c>
      <c r="E1239" s="163">
        <v>0</v>
      </c>
      <c r="F1239" s="163">
        <v>0</v>
      </c>
      <c r="G1239" s="164">
        <v>0</v>
      </c>
      <c r="H1239" s="163">
        <v>0</v>
      </c>
      <c r="I1239" s="165" t="s">
        <v>119</v>
      </c>
      <c r="J1239" s="164">
        <v>0</v>
      </c>
      <c r="K1239" s="163">
        <v>0</v>
      </c>
      <c r="L1239" s="163">
        <v>0</v>
      </c>
      <c r="M1239" s="163">
        <v>0</v>
      </c>
      <c r="N1239" s="163">
        <v>0</v>
      </c>
      <c r="O1239" s="163" t="s">
        <v>42</v>
      </c>
      <c r="P1239" s="163">
        <v>0</v>
      </c>
      <c r="Q1239" s="146">
        <v>0</v>
      </c>
      <c r="T1239" s="130"/>
    </row>
    <row r="1240" spans="1:20" ht="10.7" customHeight="1" x14ac:dyDescent="0.2">
      <c r="A1240" s="122"/>
      <c r="B1240" s="161" t="s">
        <v>108</v>
      </c>
      <c r="C1240" s="162">
        <v>16.599999999999998</v>
      </c>
      <c r="D1240" s="162">
        <v>16.599999999999998</v>
      </c>
      <c r="E1240" s="173">
        <v>0</v>
      </c>
      <c r="F1240" s="163">
        <v>0</v>
      </c>
      <c r="G1240" s="164">
        <v>16.599999999999998</v>
      </c>
      <c r="H1240" s="163">
        <v>0</v>
      </c>
      <c r="I1240" s="165">
        <v>0</v>
      </c>
      <c r="J1240" s="164">
        <v>16.599999999999998</v>
      </c>
      <c r="K1240" s="163">
        <v>0</v>
      </c>
      <c r="L1240" s="163">
        <v>0</v>
      </c>
      <c r="M1240" s="163">
        <v>0</v>
      </c>
      <c r="N1240" s="163">
        <v>0</v>
      </c>
      <c r="O1240" s="163">
        <v>0</v>
      </c>
      <c r="P1240" s="163">
        <v>0</v>
      </c>
      <c r="Q1240" s="146" t="s">
        <v>186</v>
      </c>
      <c r="T1240" s="130"/>
    </row>
    <row r="1241" spans="1:20" ht="10.7" customHeight="1" x14ac:dyDescent="0.2">
      <c r="A1241" s="122"/>
      <c r="B1241" s="174" t="s">
        <v>109</v>
      </c>
      <c r="C1241" s="162">
        <v>20.2</v>
      </c>
      <c r="D1241" s="162">
        <v>20.2</v>
      </c>
      <c r="E1241" s="173">
        <v>0</v>
      </c>
      <c r="F1241" s="163">
        <v>0</v>
      </c>
      <c r="G1241" s="164">
        <v>20.2</v>
      </c>
      <c r="H1241" s="163">
        <v>0</v>
      </c>
      <c r="I1241" s="165">
        <v>0</v>
      </c>
      <c r="J1241" s="164">
        <v>20.2</v>
      </c>
      <c r="K1241" s="163">
        <v>0</v>
      </c>
      <c r="L1241" s="163">
        <v>0</v>
      </c>
      <c r="M1241" s="163">
        <v>0</v>
      </c>
      <c r="N1241" s="163">
        <v>0</v>
      </c>
      <c r="O1241" s="163">
        <v>0</v>
      </c>
      <c r="P1241" s="163">
        <v>0</v>
      </c>
      <c r="Q1241" s="146" t="s">
        <v>186</v>
      </c>
      <c r="T1241" s="130"/>
    </row>
    <row r="1242" spans="1:20" ht="10.7" customHeight="1" x14ac:dyDescent="0.2">
      <c r="A1242" s="122"/>
      <c r="B1242" s="174"/>
      <c r="C1242" s="162"/>
      <c r="D1242" s="206"/>
      <c r="E1242" s="163"/>
      <c r="F1242" s="163"/>
      <c r="G1242" s="164"/>
      <c r="H1242" s="163"/>
      <c r="I1242" s="165"/>
      <c r="J1242" s="164"/>
      <c r="K1242" s="163"/>
      <c r="L1242" s="163"/>
      <c r="M1242" s="163"/>
      <c r="N1242" s="163"/>
      <c r="O1242" s="163"/>
      <c r="P1242" s="163"/>
      <c r="Q1242" s="146"/>
      <c r="T1242" s="130"/>
    </row>
    <row r="1243" spans="1:20" ht="10.7" customHeight="1" x14ac:dyDescent="0.2">
      <c r="A1243" s="122"/>
      <c r="B1243" s="174" t="s">
        <v>111</v>
      </c>
      <c r="C1243" s="162"/>
      <c r="D1243" s="206"/>
      <c r="E1243" s="163"/>
      <c r="F1243" s="163"/>
      <c r="G1243" s="164">
        <v>0</v>
      </c>
      <c r="H1243" s="163"/>
      <c r="I1243" s="165"/>
      <c r="J1243" s="164"/>
      <c r="K1243" s="163"/>
      <c r="L1243" s="163"/>
      <c r="M1243" s="163"/>
      <c r="N1243" s="163"/>
      <c r="O1243" s="163"/>
      <c r="P1243" s="163"/>
      <c r="Q1243" s="146"/>
      <c r="T1243" s="130"/>
    </row>
    <row r="1244" spans="1:20" ht="10.7" customHeight="1" x14ac:dyDescent="0.2">
      <c r="A1244" s="122"/>
      <c r="B1244" s="175" t="s">
        <v>112</v>
      </c>
      <c r="C1244" s="176">
        <v>1899.8999999999999</v>
      </c>
      <c r="D1244" s="201">
        <v>1899.9000000000003</v>
      </c>
      <c r="E1244" s="177">
        <v>0</v>
      </c>
      <c r="F1244" s="180">
        <v>0</v>
      </c>
      <c r="G1244" s="189">
        <v>1899.9000000000003</v>
      </c>
      <c r="H1244" s="180">
        <v>251.46170000000001</v>
      </c>
      <c r="I1244" s="179">
        <v>13.235522922259063</v>
      </c>
      <c r="J1244" s="189">
        <v>1648.4383000000003</v>
      </c>
      <c r="K1244" s="180">
        <v>46.433500000000009</v>
      </c>
      <c r="L1244" s="180">
        <v>27.918000000000006</v>
      </c>
      <c r="M1244" s="180">
        <v>26.962999999999994</v>
      </c>
      <c r="N1244" s="180">
        <v>39.053200000000004</v>
      </c>
      <c r="O1244" s="180">
        <v>2.0555397652508027</v>
      </c>
      <c r="P1244" s="180">
        <v>35.091925000000003</v>
      </c>
      <c r="Q1244" s="153">
        <v>44.974861025720308</v>
      </c>
      <c r="T1244" s="130"/>
    </row>
    <row r="1245" spans="1:20" ht="10.7" customHeight="1" x14ac:dyDescent="0.2">
      <c r="A1245" s="122"/>
      <c r="B1245" s="191" t="s">
        <v>241</v>
      </c>
      <c r="C1245" s="173"/>
      <c r="D1245" s="206"/>
      <c r="E1245" s="163"/>
      <c r="F1245" s="163"/>
      <c r="G1245" s="164"/>
      <c r="H1245" s="163"/>
      <c r="I1245" s="165"/>
      <c r="J1245" s="164"/>
      <c r="K1245" s="163"/>
      <c r="L1245" s="163"/>
      <c r="M1245" s="163"/>
      <c r="N1245" s="163"/>
      <c r="O1245" s="163"/>
      <c r="P1245" s="163"/>
      <c r="Q1245" s="182"/>
      <c r="T1245" s="130"/>
    </row>
    <row r="1246" spans="1:20" ht="10.7" customHeight="1" x14ac:dyDescent="0.2">
      <c r="A1246" s="122"/>
      <c r="B1246" s="123" t="s">
        <v>114</v>
      </c>
      <c r="C1246" s="173"/>
      <c r="D1246" s="206"/>
      <c r="E1246" s="163"/>
      <c r="F1246" s="163"/>
      <c r="G1246" s="164"/>
      <c r="H1246" s="163"/>
      <c r="I1246" s="165"/>
      <c r="J1246" s="164"/>
      <c r="K1246" s="163"/>
      <c r="L1246" s="163"/>
      <c r="M1246" s="163"/>
      <c r="N1246" s="163"/>
      <c r="O1246" s="163"/>
      <c r="P1246" s="163"/>
      <c r="Q1246" s="182"/>
      <c r="T1246" s="130"/>
    </row>
    <row r="1247" spans="1:20" ht="10.7" customHeight="1" x14ac:dyDescent="0.2">
      <c r="A1247" s="122"/>
      <c r="C1247" s="173"/>
      <c r="D1247" s="206"/>
      <c r="E1247" s="163"/>
      <c r="F1247" s="163"/>
      <c r="G1247" s="164"/>
      <c r="H1247" s="163"/>
      <c r="I1247" s="165"/>
      <c r="J1247" s="164"/>
      <c r="K1247" s="163"/>
      <c r="L1247" s="163"/>
      <c r="M1247" s="163"/>
      <c r="N1247" s="163"/>
      <c r="O1247" s="163"/>
      <c r="P1247" s="163"/>
      <c r="Q1247" s="182"/>
      <c r="T1247" s="130"/>
    </row>
    <row r="1248" spans="1:20" ht="10.7" customHeight="1" x14ac:dyDescent="0.2">
      <c r="A1248" s="122"/>
      <c r="C1248" s="173"/>
      <c r="D1248" s="206"/>
      <c r="E1248" s="163"/>
      <c r="F1248" s="163"/>
      <c r="G1248" s="164"/>
      <c r="H1248" s="163"/>
      <c r="I1248" s="165"/>
      <c r="J1248" s="164"/>
      <c r="K1248" s="163"/>
      <c r="L1248" s="163"/>
      <c r="M1248" s="163"/>
      <c r="N1248" s="163"/>
      <c r="O1248" s="163"/>
      <c r="P1248" s="163"/>
      <c r="Q1248" s="182"/>
      <c r="T1248" s="130"/>
    </row>
    <row r="1249" spans="1:20" ht="10.7" customHeight="1" x14ac:dyDescent="0.2">
      <c r="A1249" s="122"/>
      <c r="B1249" s="123" t="s">
        <v>185</v>
      </c>
      <c r="C1249" s="173"/>
      <c r="D1249" s="206"/>
      <c r="E1249" s="163"/>
      <c r="F1249" s="163"/>
      <c r="G1249" s="164"/>
      <c r="H1249" s="163"/>
      <c r="I1249" s="165"/>
      <c r="J1249" s="164"/>
      <c r="K1249" s="163"/>
      <c r="L1249" s="163"/>
      <c r="M1249" s="163"/>
      <c r="N1249" s="163"/>
      <c r="O1249" s="163"/>
      <c r="P1249" s="163"/>
      <c r="Q1249" s="182"/>
      <c r="T1249" s="130"/>
    </row>
    <row r="1250" spans="1:20" ht="10.7" customHeight="1" x14ac:dyDescent="0.2">
      <c r="A1250" s="122"/>
      <c r="B1250" s="131" t="s">
        <v>240</v>
      </c>
      <c r="C1250" s="191"/>
      <c r="D1250" s="183"/>
      <c r="E1250" s="183"/>
      <c r="F1250" s="183"/>
      <c r="G1250" s="184"/>
      <c r="H1250" s="183"/>
      <c r="I1250" s="163"/>
      <c r="J1250" s="184"/>
      <c r="K1250" s="185"/>
      <c r="L1250" s="185"/>
      <c r="M1250" s="185"/>
      <c r="N1250" s="185"/>
      <c r="O1250" s="173"/>
      <c r="P1250" s="183"/>
      <c r="Q1250" s="182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43166</v>
      </c>
      <c r="L1254" s="151">
        <v>43173</v>
      </c>
      <c r="M1254" s="151">
        <v>43180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6"/>
      <c r="C1256" s="214" t="s">
        <v>129</v>
      </c>
      <c r="D1256" s="214"/>
      <c r="E1256" s="214"/>
      <c r="F1256" s="214"/>
      <c r="G1256" s="214"/>
      <c r="H1256" s="214"/>
      <c r="I1256" s="214"/>
      <c r="J1256" s="214"/>
      <c r="K1256" s="214"/>
      <c r="L1256" s="214"/>
      <c r="M1256" s="214"/>
      <c r="N1256" s="214"/>
      <c r="O1256" s="214"/>
      <c r="P1256" s="215"/>
      <c r="Q1256" s="145"/>
      <c r="T1256" s="130"/>
    </row>
    <row r="1257" spans="1:20" ht="10.7" customHeight="1" x14ac:dyDescent="0.2">
      <c r="A1257" s="122"/>
      <c r="B1257" s="161" t="s">
        <v>80</v>
      </c>
      <c r="C1257" s="162">
        <v>31.4</v>
      </c>
      <c r="D1257" s="206">
        <v>31.4</v>
      </c>
      <c r="E1257" s="163">
        <v>0</v>
      </c>
      <c r="F1257" s="163">
        <v>0</v>
      </c>
      <c r="G1257" s="164">
        <v>31.4</v>
      </c>
      <c r="H1257" s="163">
        <v>3.5270999999999999</v>
      </c>
      <c r="I1257" s="165">
        <v>11.232802547770701</v>
      </c>
      <c r="J1257" s="164">
        <v>27.872899999999998</v>
      </c>
      <c r="K1257" s="163">
        <v>0.42500000000000027</v>
      </c>
      <c r="L1257" s="163">
        <v>0.64399999999999968</v>
      </c>
      <c r="M1257" s="163">
        <v>1.8000000000000238E-2</v>
      </c>
      <c r="N1257" s="163">
        <v>9.4999999999999751E-2</v>
      </c>
      <c r="O1257" s="163">
        <v>0.30254777070063621</v>
      </c>
      <c r="P1257" s="163">
        <v>0.29549999999999998</v>
      </c>
      <c r="Q1257" s="146" t="s">
        <v>186</v>
      </c>
      <c r="T1257" s="130"/>
    </row>
    <row r="1258" spans="1:20" ht="10.7" customHeight="1" x14ac:dyDescent="0.2">
      <c r="A1258" s="122"/>
      <c r="B1258" s="161" t="s">
        <v>81</v>
      </c>
      <c r="C1258" s="162">
        <v>3.8</v>
      </c>
      <c r="D1258" s="206">
        <v>3.8</v>
      </c>
      <c r="E1258" s="163">
        <v>0</v>
      </c>
      <c r="F1258" s="163">
        <v>0</v>
      </c>
      <c r="G1258" s="164">
        <v>3.8</v>
      </c>
      <c r="H1258" s="163">
        <v>0.14349999999999999</v>
      </c>
      <c r="I1258" s="165">
        <v>3.7763157894736845</v>
      </c>
      <c r="J1258" s="164">
        <v>3.6564999999999999</v>
      </c>
      <c r="K1258" s="163">
        <v>1.949999999999999E-2</v>
      </c>
      <c r="L1258" s="163">
        <v>0</v>
      </c>
      <c r="M1258" s="163">
        <v>0</v>
      </c>
      <c r="N1258" s="163">
        <v>0</v>
      </c>
      <c r="O1258" s="163">
        <v>0</v>
      </c>
      <c r="P1258" s="163">
        <v>4.8749999999999974E-3</v>
      </c>
      <c r="Q1258" s="146" t="s">
        <v>186</v>
      </c>
      <c r="T1258" s="130"/>
    </row>
    <row r="1259" spans="1:20" ht="10.7" customHeight="1" x14ac:dyDescent="0.2">
      <c r="A1259" s="122"/>
      <c r="B1259" s="161" t="s">
        <v>82</v>
      </c>
      <c r="C1259" s="162">
        <v>6.2</v>
      </c>
      <c r="D1259" s="206">
        <v>6.4</v>
      </c>
      <c r="E1259" s="163">
        <v>0</v>
      </c>
      <c r="F1259" s="163">
        <v>0.20000000000000018</v>
      </c>
      <c r="G1259" s="164">
        <v>6.4</v>
      </c>
      <c r="H1259" s="163">
        <v>0.156</v>
      </c>
      <c r="I1259" s="165">
        <v>2.4375</v>
      </c>
      <c r="J1259" s="164">
        <v>6.2440000000000007</v>
      </c>
      <c r="K1259" s="163">
        <v>3.5000000000000003E-2</v>
      </c>
      <c r="L1259" s="163">
        <v>2.3999999999999994E-2</v>
      </c>
      <c r="M1259" s="163">
        <v>8.1000000000000016E-2</v>
      </c>
      <c r="N1259" s="163">
        <v>1.5999999999999986E-2</v>
      </c>
      <c r="O1259" s="163">
        <v>0.24999999999999978</v>
      </c>
      <c r="P1259" s="163">
        <v>3.9E-2</v>
      </c>
      <c r="Q1259" s="146" t="s">
        <v>186</v>
      </c>
      <c r="T1259" s="130"/>
    </row>
    <row r="1260" spans="1:20" ht="10.7" customHeight="1" x14ac:dyDescent="0.2">
      <c r="A1260" s="122"/>
      <c r="B1260" s="161" t="s">
        <v>83</v>
      </c>
      <c r="C1260" s="162">
        <v>8.4</v>
      </c>
      <c r="D1260" s="206">
        <v>8.4</v>
      </c>
      <c r="E1260" s="163">
        <v>0</v>
      </c>
      <c r="F1260" s="163">
        <v>0</v>
      </c>
      <c r="G1260" s="164">
        <v>8.4</v>
      </c>
      <c r="H1260" s="163">
        <v>3.3000000000000002E-2</v>
      </c>
      <c r="I1260" s="165">
        <v>0.39285714285714285</v>
      </c>
      <c r="J1260" s="164">
        <v>8.3670000000000009</v>
      </c>
      <c r="K1260" s="163">
        <v>0</v>
      </c>
      <c r="L1260" s="163">
        <v>3.3000000000000002E-2</v>
      </c>
      <c r="M1260" s="163">
        <v>0</v>
      </c>
      <c r="N1260" s="163">
        <v>0</v>
      </c>
      <c r="O1260" s="163">
        <v>0</v>
      </c>
      <c r="P1260" s="163">
        <v>8.2500000000000004E-3</v>
      </c>
      <c r="Q1260" s="146" t="s">
        <v>186</v>
      </c>
      <c r="T1260" s="130"/>
    </row>
    <row r="1261" spans="1:20" ht="10.7" customHeight="1" x14ac:dyDescent="0.2">
      <c r="A1261" s="122"/>
      <c r="B1261" s="161" t="s">
        <v>84</v>
      </c>
      <c r="C1261" s="162">
        <v>0.7</v>
      </c>
      <c r="D1261" s="206">
        <v>0.7</v>
      </c>
      <c r="E1261" s="163">
        <v>0</v>
      </c>
      <c r="F1261" s="163">
        <v>0</v>
      </c>
      <c r="G1261" s="164">
        <v>0.7</v>
      </c>
      <c r="H1261" s="163">
        <v>0</v>
      </c>
      <c r="I1261" s="165">
        <v>0</v>
      </c>
      <c r="J1261" s="164">
        <v>0.7</v>
      </c>
      <c r="K1261" s="163">
        <v>0</v>
      </c>
      <c r="L1261" s="163">
        <v>0</v>
      </c>
      <c r="M1261" s="163">
        <v>0</v>
      </c>
      <c r="N1261" s="163">
        <v>0</v>
      </c>
      <c r="O1261" s="163">
        <v>0</v>
      </c>
      <c r="P1261" s="163">
        <v>0</v>
      </c>
      <c r="Q1261" s="146" t="s">
        <v>162</v>
      </c>
      <c r="T1261" s="130"/>
    </row>
    <row r="1262" spans="1:20" ht="10.7" customHeight="1" x14ac:dyDescent="0.2">
      <c r="A1262" s="122"/>
      <c r="B1262" s="161" t="s">
        <v>85</v>
      </c>
      <c r="C1262" s="162">
        <v>0.4</v>
      </c>
      <c r="D1262" s="206">
        <v>0.4</v>
      </c>
      <c r="E1262" s="163">
        <v>0</v>
      </c>
      <c r="F1262" s="163">
        <v>0</v>
      </c>
      <c r="G1262" s="164">
        <v>0.4</v>
      </c>
      <c r="H1262" s="163">
        <v>0.14000000000000001</v>
      </c>
      <c r="I1262" s="165">
        <v>35</v>
      </c>
      <c r="J1262" s="164">
        <v>0.26</v>
      </c>
      <c r="K1262" s="163">
        <v>0</v>
      </c>
      <c r="L1262" s="163">
        <v>0</v>
      </c>
      <c r="M1262" s="163">
        <v>0</v>
      </c>
      <c r="N1262" s="163">
        <v>0</v>
      </c>
      <c r="O1262" s="163">
        <v>0</v>
      </c>
      <c r="P1262" s="163">
        <v>0</v>
      </c>
      <c r="Q1262" s="146" t="s">
        <v>186</v>
      </c>
      <c r="T1262" s="130"/>
    </row>
    <row r="1263" spans="1:20" ht="10.7" customHeight="1" x14ac:dyDescent="0.2">
      <c r="A1263" s="122"/>
      <c r="B1263" s="161" t="s">
        <v>86</v>
      </c>
      <c r="C1263" s="162">
        <v>2.2999999999999998</v>
      </c>
      <c r="D1263" s="206">
        <v>2.2999999999999998</v>
      </c>
      <c r="E1263" s="163">
        <v>0</v>
      </c>
      <c r="F1263" s="163">
        <v>0</v>
      </c>
      <c r="G1263" s="164">
        <v>2.2999999999999998</v>
      </c>
      <c r="H1263" s="163">
        <v>0</v>
      </c>
      <c r="I1263" s="165">
        <v>0</v>
      </c>
      <c r="J1263" s="164">
        <v>2.2999999999999998</v>
      </c>
      <c r="K1263" s="163">
        <v>0</v>
      </c>
      <c r="L1263" s="163">
        <v>0</v>
      </c>
      <c r="M1263" s="163">
        <v>0</v>
      </c>
      <c r="N1263" s="163">
        <v>0</v>
      </c>
      <c r="O1263" s="163">
        <v>0</v>
      </c>
      <c r="P1263" s="163">
        <v>0</v>
      </c>
      <c r="Q1263" s="146" t="s">
        <v>186</v>
      </c>
      <c r="T1263" s="130"/>
    </row>
    <row r="1264" spans="1:20" ht="10.7" customHeight="1" x14ac:dyDescent="0.2">
      <c r="A1264" s="122"/>
      <c r="B1264" s="161" t="s">
        <v>87</v>
      </c>
      <c r="C1264" s="162">
        <v>6</v>
      </c>
      <c r="D1264" s="206">
        <v>6</v>
      </c>
      <c r="E1264" s="163">
        <v>0</v>
      </c>
      <c r="F1264" s="163">
        <v>0</v>
      </c>
      <c r="G1264" s="164">
        <v>6</v>
      </c>
      <c r="H1264" s="163">
        <v>0</v>
      </c>
      <c r="I1264" s="165">
        <v>0</v>
      </c>
      <c r="J1264" s="164">
        <v>6</v>
      </c>
      <c r="K1264" s="163">
        <v>0</v>
      </c>
      <c r="L1264" s="163">
        <v>0</v>
      </c>
      <c r="M1264" s="163">
        <v>0</v>
      </c>
      <c r="N1264" s="163">
        <v>0</v>
      </c>
      <c r="O1264" s="163">
        <v>0</v>
      </c>
      <c r="P1264" s="163">
        <v>0</v>
      </c>
      <c r="Q1264" s="146" t="s">
        <v>186</v>
      </c>
      <c r="T1264" s="130"/>
    </row>
    <row r="1265" spans="1:20" ht="10.7" customHeight="1" x14ac:dyDescent="0.2">
      <c r="A1265" s="122"/>
      <c r="B1265" s="161" t="s">
        <v>88</v>
      </c>
      <c r="C1265" s="162">
        <v>0</v>
      </c>
      <c r="D1265" s="206">
        <v>0</v>
      </c>
      <c r="E1265" s="163">
        <v>0</v>
      </c>
      <c r="F1265" s="163">
        <v>0</v>
      </c>
      <c r="G1265" s="164">
        <v>0</v>
      </c>
      <c r="H1265" s="163">
        <v>0</v>
      </c>
      <c r="I1265" s="165" t="s">
        <v>119</v>
      </c>
      <c r="J1265" s="164">
        <v>0</v>
      </c>
      <c r="K1265" s="163">
        <v>0</v>
      </c>
      <c r="L1265" s="163">
        <v>0</v>
      </c>
      <c r="M1265" s="163">
        <v>0</v>
      </c>
      <c r="N1265" s="163">
        <v>0</v>
      </c>
      <c r="O1265" s="163" t="s">
        <v>42</v>
      </c>
      <c r="P1265" s="163">
        <v>0</v>
      </c>
      <c r="Q1265" s="146" t="s">
        <v>162</v>
      </c>
      <c r="T1265" s="130"/>
    </row>
    <row r="1266" spans="1:20" ht="10.7" customHeight="1" x14ac:dyDescent="0.2">
      <c r="A1266" s="122"/>
      <c r="B1266" s="161" t="s">
        <v>89</v>
      </c>
      <c r="C1266" s="162">
        <v>11.9</v>
      </c>
      <c r="D1266" s="206">
        <v>15.600000000000001</v>
      </c>
      <c r="E1266" s="163">
        <v>0</v>
      </c>
      <c r="F1266" s="163">
        <v>3.7000000000000011</v>
      </c>
      <c r="G1266" s="164">
        <v>15.600000000000001</v>
      </c>
      <c r="H1266" s="163">
        <v>9.5000000000000001E-2</v>
      </c>
      <c r="I1266" s="165">
        <v>0.60897435897435892</v>
      </c>
      <c r="J1266" s="164">
        <v>15.505000000000001</v>
      </c>
      <c r="K1266" s="163">
        <v>9.5000000000000001E-2</v>
      </c>
      <c r="L1266" s="163">
        <v>0</v>
      </c>
      <c r="M1266" s="163">
        <v>0</v>
      </c>
      <c r="N1266" s="163">
        <v>0</v>
      </c>
      <c r="O1266" s="163">
        <v>0</v>
      </c>
      <c r="P1266" s="163">
        <v>2.375E-2</v>
      </c>
      <c r="Q1266" s="146" t="s">
        <v>186</v>
      </c>
      <c r="T1266" s="130"/>
    </row>
    <row r="1267" spans="1:20" ht="10.7" customHeight="1" x14ac:dyDescent="0.2">
      <c r="A1267" s="122"/>
      <c r="B1267" s="168" t="s">
        <v>91</v>
      </c>
      <c r="C1267" s="162">
        <v>71.099999999999994</v>
      </c>
      <c r="D1267" s="206">
        <v>75</v>
      </c>
      <c r="E1267" s="163">
        <v>0</v>
      </c>
      <c r="F1267" s="163">
        <v>3.9000000000000057</v>
      </c>
      <c r="G1267" s="164">
        <v>75</v>
      </c>
      <c r="H1267" s="163">
        <v>4.0945999999999998</v>
      </c>
      <c r="I1267" s="165">
        <v>5.4594666666666667</v>
      </c>
      <c r="J1267" s="164">
        <v>70.9054</v>
      </c>
      <c r="K1267" s="163">
        <v>0.57450000000000023</v>
      </c>
      <c r="L1267" s="163">
        <v>0.70099999999999973</v>
      </c>
      <c r="M1267" s="163">
        <v>9.9000000000000254E-2</v>
      </c>
      <c r="N1267" s="163">
        <v>0.11099999999999974</v>
      </c>
      <c r="O1267" s="163">
        <v>0.14799999999999966</v>
      </c>
      <c r="P1267" s="169">
        <v>0.37137499999999996</v>
      </c>
      <c r="Q1267" s="146" t="s">
        <v>186</v>
      </c>
      <c r="T1267" s="130"/>
    </row>
    <row r="1268" spans="1:20" ht="10.7" customHeight="1" x14ac:dyDescent="0.2">
      <c r="A1268" s="122"/>
      <c r="B1268" s="168"/>
      <c r="D1268" s="206"/>
      <c r="E1268" s="163"/>
      <c r="F1268" s="163"/>
      <c r="G1268" s="164"/>
      <c r="H1268" s="163"/>
      <c r="I1268" s="165"/>
      <c r="J1268" s="164"/>
      <c r="K1268" s="163"/>
      <c r="L1268" s="163"/>
      <c r="M1268" s="163"/>
      <c r="N1268" s="163"/>
      <c r="O1268" s="163"/>
      <c r="P1268" s="163"/>
      <c r="Q1268" s="146"/>
      <c r="T1268" s="130"/>
    </row>
    <row r="1269" spans="1:20" ht="10.7" customHeight="1" x14ac:dyDescent="0.2">
      <c r="A1269" s="122"/>
      <c r="B1269" s="161" t="s">
        <v>92</v>
      </c>
      <c r="C1269" s="162">
        <v>5.8</v>
      </c>
      <c r="D1269" s="206">
        <v>2.0999999999999996</v>
      </c>
      <c r="E1269" s="163">
        <v>0</v>
      </c>
      <c r="F1269" s="163">
        <v>-3.7</v>
      </c>
      <c r="G1269" s="164">
        <v>2.0999999999999996</v>
      </c>
      <c r="H1269" s="163">
        <v>5.2999999999999999E-2</v>
      </c>
      <c r="I1269" s="165">
        <v>2.5238095238095242</v>
      </c>
      <c r="J1269" s="164">
        <v>2.0469999999999997</v>
      </c>
      <c r="K1269" s="163">
        <v>0</v>
      </c>
      <c r="L1269" s="163">
        <v>5.2999999999999999E-2</v>
      </c>
      <c r="M1269" s="163">
        <v>0</v>
      </c>
      <c r="N1269" s="163">
        <v>0</v>
      </c>
      <c r="O1269" s="163">
        <v>0</v>
      </c>
      <c r="P1269" s="163">
        <v>1.325E-2</v>
      </c>
      <c r="Q1269" s="146" t="s">
        <v>186</v>
      </c>
      <c r="T1269" s="130"/>
    </row>
    <row r="1270" spans="1:20" ht="10.7" customHeight="1" x14ac:dyDescent="0.2">
      <c r="A1270" s="122"/>
      <c r="B1270" s="161" t="s">
        <v>93</v>
      </c>
      <c r="C1270" s="162">
        <v>6.2</v>
      </c>
      <c r="D1270" s="206">
        <v>6.2</v>
      </c>
      <c r="E1270" s="163">
        <v>0</v>
      </c>
      <c r="F1270" s="163">
        <v>0</v>
      </c>
      <c r="G1270" s="164">
        <v>6.2</v>
      </c>
      <c r="H1270" s="163">
        <v>1.5338000000000001</v>
      </c>
      <c r="I1270" s="165">
        <v>24.738709677419354</v>
      </c>
      <c r="J1270" s="164">
        <v>4.6661999999999999</v>
      </c>
      <c r="K1270" s="163">
        <v>0</v>
      </c>
      <c r="L1270" s="163">
        <v>0</v>
      </c>
      <c r="M1270" s="163">
        <v>0</v>
      </c>
      <c r="N1270" s="163">
        <v>1.5338000000000001</v>
      </c>
      <c r="O1270" s="163">
        <v>24.738709677419354</v>
      </c>
      <c r="P1270" s="163">
        <v>0.38345000000000001</v>
      </c>
      <c r="Q1270" s="146">
        <v>10.168992045899074</v>
      </c>
      <c r="T1270" s="130"/>
    </row>
    <row r="1271" spans="1:20" ht="10.7" hidden="1" customHeight="1" x14ac:dyDescent="0.2">
      <c r="A1271" s="122"/>
      <c r="B1271" s="161" t="s">
        <v>94</v>
      </c>
      <c r="C1271" s="162">
        <v>0</v>
      </c>
      <c r="D1271" s="206">
        <v>0</v>
      </c>
      <c r="E1271" s="163">
        <v>0</v>
      </c>
      <c r="F1271" s="163">
        <v>0</v>
      </c>
      <c r="G1271" s="164">
        <v>0</v>
      </c>
      <c r="H1271" s="163">
        <v>0</v>
      </c>
      <c r="I1271" s="165" t="s">
        <v>119</v>
      </c>
      <c r="J1271" s="164">
        <v>0</v>
      </c>
      <c r="K1271" s="163">
        <v>0</v>
      </c>
      <c r="L1271" s="163">
        <v>0</v>
      </c>
      <c r="M1271" s="163">
        <v>0</v>
      </c>
      <c r="N1271" s="163">
        <v>0</v>
      </c>
      <c r="O1271" s="163" t="s">
        <v>42</v>
      </c>
      <c r="P1271" s="163">
        <v>0</v>
      </c>
      <c r="Q1271" s="146">
        <v>0</v>
      </c>
      <c r="T1271" s="130"/>
    </row>
    <row r="1272" spans="1:20" ht="10.7" customHeight="1" x14ac:dyDescent="0.2">
      <c r="A1272" s="122"/>
      <c r="B1272" s="161" t="s">
        <v>95</v>
      </c>
      <c r="C1272" s="162">
        <v>1.9</v>
      </c>
      <c r="D1272" s="206">
        <v>1.9</v>
      </c>
      <c r="E1272" s="163">
        <v>0</v>
      </c>
      <c r="F1272" s="163">
        <v>0</v>
      </c>
      <c r="G1272" s="164">
        <v>1.9</v>
      </c>
      <c r="H1272" s="163">
        <v>0</v>
      </c>
      <c r="I1272" s="165">
        <v>0</v>
      </c>
      <c r="J1272" s="164">
        <v>1.9</v>
      </c>
      <c r="K1272" s="163">
        <v>0</v>
      </c>
      <c r="L1272" s="163">
        <v>0</v>
      </c>
      <c r="M1272" s="163">
        <v>0</v>
      </c>
      <c r="N1272" s="163">
        <v>0</v>
      </c>
      <c r="O1272" s="163">
        <v>0</v>
      </c>
      <c r="P1272" s="163">
        <v>0</v>
      </c>
      <c r="Q1272" s="146" t="s">
        <v>186</v>
      </c>
      <c r="T1272" s="130"/>
    </row>
    <row r="1273" spans="1:20" ht="10.7" customHeight="1" x14ac:dyDescent="0.2">
      <c r="A1273" s="122"/>
      <c r="B1273" s="161" t="s">
        <v>96</v>
      </c>
      <c r="C1273" s="162">
        <v>6.3</v>
      </c>
      <c r="D1273" s="206">
        <v>6.1</v>
      </c>
      <c r="E1273" s="163">
        <v>0</v>
      </c>
      <c r="F1273" s="163">
        <v>-0.20000000000000018</v>
      </c>
      <c r="G1273" s="164">
        <v>6.1</v>
      </c>
      <c r="H1273" s="163">
        <v>2.9234999999999998</v>
      </c>
      <c r="I1273" s="165">
        <v>47.92622950819672</v>
      </c>
      <c r="J1273" s="164">
        <v>3.1764999999999999</v>
      </c>
      <c r="K1273" s="163">
        <v>0</v>
      </c>
      <c r="L1273" s="163">
        <v>0</v>
      </c>
      <c r="M1273" s="163">
        <v>0.13680000000000003</v>
      </c>
      <c r="N1273" s="163">
        <v>0.14599999999999991</v>
      </c>
      <c r="O1273" s="163">
        <v>2.3934426229508183</v>
      </c>
      <c r="P1273" s="163">
        <v>7.0699999999999985E-2</v>
      </c>
      <c r="Q1273" s="146">
        <v>42.929278642149939</v>
      </c>
      <c r="T1273" s="130"/>
    </row>
    <row r="1274" spans="1:20" ht="10.7" customHeight="1" x14ac:dyDescent="0.2">
      <c r="A1274" s="122"/>
      <c r="B1274" s="161" t="s">
        <v>97</v>
      </c>
      <c r="C1274" s="162">
        <v>17.3</v>
      </c>
      <c r="D1274" s="206">
        <v>17.3</v>
      </c>
      <c r="E1274" s="163">
        <v>0</v>
      </c>
      <c r="F1274" s="163">
        <v>0</v>
      </c>
      <c r="G1274" s="164">
        <v>17.3</v>
      </c>
      <c r="H1274" s="163">
        <v>0</v>
      </c>
      <c r="I1274" s="165">
        <v>0</v>
      </c>
      <c r="J1274" s="164">
        <v>17.3</v>
      </c>
      <c r="K1274" s="163">
        <v>0</v>
      </c>
      <c r="L1274" s="163">
        <v>0</v>
      </c>
      <c r="M1274" s="163">
        <v>0</v>
      </c>
      <c r="N1274" s="163">
        <v>0</v>
      </c>
      <c r="O1274" s="163">
        <v>0</v>
      </c>
      <c r="P1274" s="163">
        <v>0</v>
      </c>
      <c r="Q1274" s="146" t="s">
        <v>186</v>
      </c>
      <c r="T1274" s="130"/>
    </row>
    <row r="1275" spans="1:20" ht="10.7" customHeight="1" x14ac:dyDescent="0.2">
      <c r="A1275" s="122"/>
      <c r="B1275" s="161" t="s">
        <v>98</v>
      </c>
      <c r="C1275" s="162">
        <v>6.8</v>
      </c>
      <c r="D1275" s="206">
        <v>6.8</v>
      </c>
      <c r="E1275" s="163">
        <v>0</v>
      </c>
      <c r="F1275" s="163">
        <v>0</v>
      </c>
      <c r="G1275" s="164">
        <v>6.8</v>
      </c>
      <c r="H1275" s="163">
        <v>0</v>
      </c>
      <c r="I1275" s="165">
        <v>0</v>
      </c>
      <c r="J1275" s="164">
        <v>6.8</v>
      </c>
      <c r="K1275" s="163">
        <v>0</v>
      </c>
      <c r="L1275" s="163">
        <v>0</v>
      </c>
      <c r="M1275" s="163">
        <v>0</v>
      </c>
      <c r="N1275" s="163">
        <v>0</v>
      </c>
      <c r="O1275" s="163">
        <v>0</v>
      </c>
      <c r="P1275" s="163">
        <v>0</v>
      </c>
      <c r="Q1275" s="146" t="s">
        <v>186</v>
      </c>
      <c r="T1275" s="130"/>
    </row>
    <row r="1276" spans="1:20" ht="10.7" customHeight="1" x14ac:dyDescent="0.2">
      <c r="A1276" s="122"/>
      <c r="B1276" s="161" t="s">
        <v>99</v>
      </c>
      <c r="C1276" s="162">
        <v>2.1</v>
      </c>
      <c r="D1276" s="206">
        <v>2.1</v>
      </c>
      <c r="E1276" s="163">
        <v>0</v>
      </c>
      <c r="F1276" s="163">
        <v>0</v>
      </c>
      <c r="G1276" s="164">
        <v>2.1</v>
      </c>
      <c r="H1276" s="163">
        <v>0</v>
      </c>
      <c r="I1276" s="165">
        <v>0</v>
      </c>
      <c r="J1276" s="164">
        <v>2.1</v>
      </c>
      <c r="K1276" s="163">
        <v>0</v>
      </c>
      <c r="L1276" s="163">
        <v>0</v>
      </c>
      <c r="M1276" s="163">
        <v>0</v>
      </c>
      <c r="N1276" s="163">
        <v>0</v>
      </c>
      <c r="O1276" s="163">
        <v>0</v>
      </c>
      <c r="P1276" s="163">
        <v>0</v>
      </c>
      <c r="Q1276" s="146" t="s">
        <v>186</v>
      </c>
      <c r="T1276" s="130"/>
    </row>
    <row r="1277" spans="1:20" ht="10.7" customHeight="1" x14ac:dyDescent="0.2">
      <c r="A1277" s="122"/>
      <c r="B1277" s="161" t="s">
        <v>100</v>
      </c>
      <c r="C1277" s="162">
        <v>0.1</v>
      </c>
      <c r="D1277" s="206">
        <v>0.1</v>
      </c>
      <c r="E1277" s="163">
        <v>0</v>
      </c>
      <c r="F1277" s="163">
        <v>0</v>
      </c>
      <c r="G1277" s="164">
        <v>0.1</v>
      </c>
      <c r="H1277" s="163">
        <v>0</v>
      </c>
      <c r="I1277" s="165">
        <v>0</v>
      </c>
      <c r="J1277" s="164">
        <v>0.1</v>
      </c>
      <c r="K1277" s="163">
        <v>0</v>
      </c>
      <c r="L1277" s="163">
        <v>0</v>
      </c>
      <c r="M1277" s="163">
        <v>0</v>
      </c>
      <c r="N1277" s="163">
        <v>0</v>
      </c>
      <c r="O1277" s="163">
        <v>0</v>
      </c>
      <c r="P1277" s="163">
        <v>0</v>
      </c>
      <c r="Q1277" s="146" t="s">
        <v>186</v>
      </c>
      <c r="T1277" s="130"/>
    </row>
    <row r="1278" spans="1:20" ht="10.7" customHeight="1" x14ac:dyDescent="0.2">
      <c r="A1278" s="122"/>
      <c r="B1278" s="161" t="s">
        <v>101</v>
      </c>
      <c r="C1278" s="162">
        <v>0</v>
      </c>
      <c r="D1278" s="206">
        <v>0</v>
      </c>
      <c r="E1278" s="163">
        <v>0</v>
      </c>
      <c r="F1278" s="163">
        <v>0</v>
      </c>
      <c r="G1278" s="164">
        <v>0</v>
      </c>
      <c r="H1278" s="163">
        <v>0</v>
      </c>
      <c r="I1278" s="165" t="s">
        <v>119</v>
      </c>
      <c r="J1278" s="164">
        <v>0</v>
      </c>
      <c r="K1278" s="163">
        <v>0</v>
      </c>
      <c r="L1278" s="163">
        <v>0</v>
      </c>
      <c r="M1278" s="163">
        <v>0</v>
      </c>
      <c r="N1278" s="163">
        <v>0</v>
      </c>
      <c r="O1278" s="163" t="s">
        <v>42</v>
      </c>
      <c r="P1278" s="163">
        <v>0</v>
      </c>
      <c r="Q1278" s="146">
        <v>0</v>
      </c>
      <c r="T1278" s="130"/>
    </row>
    <row r="1279" spans="1:20" ht="10.7" customHeight="1" x14ac:dyDescent="0.2">
      <c r="A1279" s="122"/>
      <c r="B1279" s="161" t="s">
        <v>102</v>
      </c>
      <c r="C1279" s="162">
        <v>21.9</v>
      </c>
      <c r="D1279" s="206">
        <v>21.9</v>
      </c>
      <c r="E1279" s="163">
        <v>0</v>
      </c>
      <c r="F1279" s="163">
        <v>0</v>
      </c>
      <c r="G1279" s="164">
        <v>21.9</v>
      </c>
      <c r="H1279" s="163">
        <v>0</v>
      </c>
      <c r="I1279" s="165">
        <v>0</v>
      </c>
      <c r="J1279" s="164">
        <v>21.9</v>
      </c>
      <c r="K1279" s="163">
        <v>0</v>
      </c>
      <c r="L1279" s="163">
        <v>0</v>
      </c>
      <c r="M1279" s="163">
        <v>0</v>
      </c>
      <c r="N1279" s="163">
        <v>0</v>
      </c>
      <c r="O1279" s="163">
        <v>0</v>
      </c>
      <c r="P1279" s="163">
        <v>0</v>
      </c>
      <c r="Q1279" s="146" t="s">
        <v>186</v>
      </c>
      <c r="T1279" s="130"/>
    </row>
    <row r="1280" spans="1:20" ht="10.7" customHeight="1" x14ac:dyDescent="0.2">
      <c r="A1280" s="122"/>
      <c r="B1280" s="161" t="s">
        <v>103</v>
      </c>
      <c r="C1280" s="162">
        <v>0</v>
      </c>
      <c r="D1280" s="206">
        <v>0</v>
      </c>
      <c r="E1280" s="163">
        <v>0</v>
      </c>
      <c r="F1280" s="163">
        <v>0</v>
      </c>
      <c r="G1280" s="164">
        <v>0</v>
      </c>
      <c r="H1280" s="163">
        <v>0</v>
      </c>
      <c r="I1280" s="165" t="s">
        <v>119</v>
      </c>
      <c r="J1280" s="164">
        <v>0</v>
      </c>
      <c r="K1280" s="163">
        <v>0</v>
      </c>
      <c r="L1280" s="163">
        <v>0</v>
      </c>
      <c r="M1280" s="163">
        <v>0</v>
      </c>
      <c r="N1280" s="163">
        <v>0</v>
      </c>
      <c r="O1280" s="163" t="s">
        <v>42</v>
      </c>
      <c r="P1280" s="163">
        <v>0</v>
      </c>
      <c r="Q1280" s="146">
        <v>0</v>
      </c>
      <c r="T1280" s="130"/>
    </row>
    <row r="1281" spans="1:20" ht="10.7" customHeight="1" x14ac:dyDescent="0.2">
      <c r="A1281" s="122"/>
      <c r="B1281" s="1" t="s">
        <v>104</v>
      </c>
      <c r="C1281" s="162">
        <v>0</v>
      </c>
      <c r="D1281" s="206">
        <v>0</v>
      </c>
      <c r="E1281" s="163">
        <v>0</v>
      </c>
      <c r="F1281" s="163">
        <v>0</v>
      </c>
      <c r="G1281" s="164">
        <v>0</v>
      </c>
      <c r="H1281" s="163">
        <v>0</v>
      </c>
      <c r="I1281" s="165" t="s">
        <v>119</v>
      </c>
      <c r="J1281" s="164">
        <v>0</v>
      </c>
      <c r="K1281" s="163">
        <v>0</v>
      </c>
      <c r="L1281" s="163">
        <v>0</v>
      </c>
      <c r="M1281" s="163">
        <v>0</v>
      </c>
      <c r="N1281" s="163">
        <v>0</v>
      </c>
      <c r="O1281" s="163" t="s">
        <v>42</v>
      </c>
      <c r="P1281" s="163">
        <v>0</v>
      </c>
      <c r="Q1281" s="146">
        <v>0</v>
      </c>
      <c r="T1281" s="130"/>
    </row>
    <row r="1282" spans="1:20" ht="10.7" customHeight="1" x14ac:dyDescent="0.2">
      <c r="A1282" s="122"/>
      <c r="B1282" s="168" t="s">
        <v>106</v>
      </c>
      <c r="C1282" s="172">
        <v>139.5</v>
      </c>
      <c r="D1282" s="206">
        <v>139.49999999999997</v>
      </c>
      <c r="E1282" s="163">
        <v>0</v>
      </c>
      <c r="F1282" s="163">
        <v>0</v>
      </c>
      <c r="G1282" s="164">
        <v>139.49999999999997</v>
      </c>
      <c r="H1282" s="163">
        <v>8.6049000000000007</v>
      </c>
      <c r="I1282" s="165">
        <v>6.1683870967741949</v>
      </c>
      <c r="J1282" s="164">
        <v>130.89509999999996</v>
      </c>
      <c r="K1282" s="163">
        <v>0.57449999999999957</v>
      </c>
      <c r="L1282" s="163">
        <v>0.75399999999999956</v>
      </c>
      <c r="M1282" s="163">
        <v>0.23580000000000023</v>
      </c>
      <c r="N1282" s="163">
        <v>1.7908000000000008</v>
      </c>
      <c r="O1282" s="163">
        <v>1.2837275985663092</v>
      </c>
      <c r="P1282" s="163">
        <v>0.83877500000000005</v>
      </c>
      <c r="Q1282" s="146" t="s">
        <v>186</v>
      </c>
      <c r="T1282" s="130"/>
    </row>
    <row r="1283" spans="1:20" ht="10.7" customHeight="1" x14ac:dyDescent="0.2">
      <c r="A1283" s="122"/>
      <c r="B1283" s="168"/>
      <c r="C1283" s="162"/>
      <c r="D1283" s="206"/>
      <c r="E1283" s="163"/>
      <c r="F1283" s="163"/>
      <c r="G1283" s="164"/>
      <c r="H1283" s="163"/>
      <c r="I1283" s="165"/>
      <c r="J1283" s="164"/>
      <c r="K1283" s="163"/>
      <c r="L1283" s="163"/>
      <c r="M1283" s="163"/>
      <c r="N1283" s="163"/>
      <c r="O1283" s="163"/>
      <c r="P1283" s="163"/>
      <c r="Q1283" s="146"/>
      <c r="T1283" s="130"/>
    </row>
    <row r="1284" spans="1:20" ht="10.7" customHeight="1" x14ac:dyDescent="0.2">
      <c r="A1284" s="122"/>
      <c r="B1284" s="161" t="s">
        <v>107</v>
      </c>
      <c r="C1284" s="162">
        <v>0.1</v>
      </c>
      <c r="D1284" s="206">
        <v>0.1</v>
      </c>
      <c r="E1284" s="163">
        <v>0</v>
      </c>
      <c r="F1284" s="163">
        <v>0</v>
      </c>
      <c r="G1284" s="164">
        <v>0.1</v>
      </c>
      <c r="H1284" s="163">
        <v>0</v>
      </c>
      <c r="I1284" s="165">
        <v>0</v>
      </c>
      <c r="J1284" s="164">
        <v>0.1</v>
      </c>
      <c r="K1284" s="163">
        <v>0</v>
      </c>
      <c r="L1284" s="163">
        <v>0</v>
      </c>
      <c r="M1284" s="163">
        <v>0</v>
      </c>
      <c r="N1284" s="163">
        <v>0</v>
      </c>
      <c r="O1284" s="163">
        <v>0</v>
      </c>
      <c r="P1284" s="163">
        <v>0</v>
      </c>
      <c r="Q1284" s="146" t="s">
        <v>186</v>
      </c>
      <c r="T1284" s="130"/>
    </row>
    <row r="1285" spans="1:20" ht="10.7" customHeight="1" x14ac:dyDescent="0.2">
      <c r="A1285" s="122"/>
      <c r="B1285" s="161" t="s">
        <v>108</v>
      </c>
      <c r="C1285" s="162">
        <v>0.2</v>
      </c>
      <c r="D1285" s="162">
        <v>0.2</v>
      </c>
      <c r="E1285" s="173">
        <v>0</v>
      </c>
      <c r="F1285" s="163">
        <v>0</v>
      </c>
      <c r="G1285" s="164">
        <v>0.2</v>
      </c>
      <c r="H1285" s="163">
        <v>0</v>
      </c>
      <c r="I1285" s="165">
        <v>0</v>
      </c>
      <c r="J1285" s="164">
        <v>0.2</v>
      </c>
      <c r="K1285" s="163">
        <v>0</v>
      </c>
      <c r="L1285" s="163">
        <v>0</v>
      </c>
      <c r="M1285" s="163">
        <v>0</v>
      </c>
      <c r="N1285" s="163">
        <v>0</v>
      </c>
      <c r="O1285" s="163">
        <v>0</v>
      </c>
      <c r="P1285" s="163">
        <v>0</v>
      </c>
      <c r="Q1285" s="146" t="s">
        <v>186</v>
      </c>
      <c r="T1285" s="130"/>
    </row>
    <row r="1286" spans="1:20" ht="10.7" customHeight="1" x14ac:dyDescent="0.2">
      <c r="A1286" s="122"/>
      <c r="B1286" s="174" t="s">
        <v>109</v>
      </c>
      <c r="C1286" s="162">
        <v>4.8999999999999995</v>
      </c>
      <c r="D1286" s="162">
        <v>4.8999999999999995</v>
      </c>
      <c r="E1286" s="173">
        <v>0</v>
      </c>
      <c r="F1286" s="163">
        <v>0</v>
      </c>
      <c r="G1286" s="164">
        <v>4.8999999999999995</v>
      </c>
      <c r="H1286" s="163">
        <v>2E-3</v>
      </c>
      <c r="I1286" s="165">
        <v>4.0816326530612249E-2</v>
      </c>
      <c r="J1286" s="164">
        <v>4.8979999999999997</v>
      </c>
      <c r="K1286" s="163">
        <v>0</v>
      </c>
      <c r="L1286" s="163">
        <v>2E-3</v>
      </c>
      <c r="M1286" s="163">
        <v>0</v>
      </c>
      <c r="N1286" s="163">
        <v>0</v>
      </c>
      <c r="O1286" s="163">
        <v>0</v>
      </c>
      <c r="P1286" s="163">
        <v>5.0000000000000001E-4</v>
      </c>
      <c r="Q1286" s="146" t="s">
        <v>186</v>
      </c>
      <c r="T1286" s="130"/>
    </row>
    <row r="1287" spans="1:20" ht="10.7" customHeight="1" x14ac:dyDescent="0.2">
      <c r="A1287" s="122"/>
      <c r="B1287" s="174"/>
      <c r="C1287" s="162"/>
      <c r="D1287" s="206"/>
      <c r="E1287" s="163"/>
      <c r="F1287" s="163"/>
      <c r="G1287" s="164"/>
      <c r="H1287" s="163"/>
      <c r="I1287" s="165"/>
      <c r="J1287" s="164"/>
      <c r="K1287" s="163"/>
      <c r="L1287" s="163"/>
      <c r="M1287" s="163"/>
      <c r="N1287" s="163"/>
      <c r="O1287" s="163"/>
      <c r="P1287" s="163"/>
      <c r="Q1287" s="146"/>
      <c r="T1287" s="130"/>
    </row>
    <row r="1288" spans="1:20" ht="10.7" customHeight="1" x14ac:dyDescent="0.2">
      <c r="A1288" s="122"/>
      <c r="B1288" s="174" t="s">
        <v>111</v>
      </c>
      <c r="C1288" s="162"/>
      <c r="D1288" s="206"/>
      <c r="E1288" s="163"/>
      <c r="F1288" s="163"/>
      <c r="G1288" s="164">
        <v>0</v>
      </c>
      <c r="H1288" s="163"/>
      <c r="I1288" s="165"/>
      <c r="J1288" s="164"/>
      <c r="K1288" s="163"/>
      <c r="L1288" s="163"/>
      <c r="M1288" s="163"/>
      <c r="N1288" s="163"/>
      <c r="O1288" s="163"/>
      <c r="P1288" s="163"/>
      <c r="Q1288" s="146"/>
      <c r="T1288" s="130"/>
    </row>
    <row r="1289" spans="1:20" ht="10.7" customHeight="1" x14ac:dyDescent="0.2">
      <c r="A1289" s="122"/>
      <c r="B1289" s="175" t="s">
        <v>112</v>
      </c>
      <c r="C1289" s="176">
        <v>144.69999999999999</v>
      </c>
      <c r="D1289" s="201">
        <v>144.69999999999996</v>
      </c>
      <c r="E1289" s="177">
        <v>0</v>
      </c>
      <c r="F1289" s="180">
        <v>0</v>
      </c>
      <c r="G1289" s="189">
        <v>144.69999999999996</v>
      </c>
      <c r="H1289" s="180">
        <v>8.6069000000000013</v>
      </c>
      <c r="I1289" s="179">
        <v>5.9480995162405002</v>
      </c>
      <c r="J1289" s="189">
        <v>136.09309999999996</v>
      </c>
      <c r="K1289" s="180">
        <v>0.57449999999999957</v>
      </c>
      <c r="L1289" s="180">
        <v>0.75599999999999934</v>
      </c>
      <c r="M1289" s="180">
        <v>0.23580000000000023</v>
      </c>
      <c r="N1289" s="180">
        <v>1.7907999999999999</v>
      </c>
      <c r="O1289" s="180">
        <v>1.2375950241879754</v>
      </c>
      <c r="P1289" s="190">
        <v>0.83927499999999977</v>
      </c>
      <c r="Q1289" s="153" t="s">
        <v>186</v>
      </c>
      <c r="T1289" s="130"/>
    </row>
    <row r="1290" spans="1:20" ht="10.5" customHeight="1" x14ac:dyDescent="0.2">
      <c r="A1290" s="122"/>
      <c r="B1290" s="191"/>
      <c r="C1290" s="181"/>
      <c r="D1290" s="163"/>
      <c r="E1290" s="163"/>
      <c r="F1290" s="163"/>
      <c r="G1290" s="164"/>
      <c r="H1290" s="163"/>
      <c r="I1290" s="2"/>
      <c r="J1290" s="164"/>
      <c r="K1290" s="163"/>
      <c r="L1290" s="163"/>
      <c r="M1290" s="163"/>
      <c r="N1290" s="163"/>
      <c r="O1290" s="163"/>
      <c r="P1290" s="163"/>
      <c r="Q1290" s="182"/>
      <c r="T1290" s="130"/>
    </row>
    <row r="1291" spans="1:20" ht="10.7" customHeight="1" x14ac:dyDescent="0.2">
      <c r="A1291" s="122"/>
      <c r="B1291" s="181"/>
      <c r="C1291" s="181"/>
      <c r="D1291" s="135"/>
      <c r="E1291" s="183"/>
      <c r="F1291" s="183"/>
      <c r="G1291" s="184"/>
      <c r="H1291" s="183"/>
      <c r="I1291" s="163"/>
      <c r="J1291" s="184"/>
      <c r="K1291" s="185"/>
      <c r="L1291" s="185"/>
      <c r="M1291" s="185"/>
      <c r="N1291" s="185"/>
      <c r="O1291" s="173"/>
      <c r="P1291" s="183"/>
      <c r="Q1291" s="182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202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203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203" t="s">
        <v>74</v>
      </c>
      <c r="J1294" s="147" t="s">
        <v>75</v>
      </c>
      <c r="K1294" s="151">
        <v>43166</v>
      </c>
      <c r="L1294" s="151">
        <v>43173</v>
      </c>
      <c r="M1294" s="151">
        <v>43180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204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6"/>
      <c r="C1296" s="214" t="s">
        <v>157</v>
      </c>
      <c r="D1296" s="214"/>
      <c r="E1296" s="214"/>
      <c r="F1296" s="214"/>
      <c r="G1296" s="214"/>
      <c r="H1296" s="214"/>
      <c r="I1296" s="214"/>
      <c r="J1296" s="214"/>
      <c r="K1296" s="214"/>
      <c r="L1296" s="214"/>
      <c r="M1296" s="214"/>
      <c r="N1296" s="214"/>
      <c r="O1296" s="214"/>
      <c r="P1296" s="215"/>
      <c r="Q1296" s="145"/>
      <c r="T1296" s="130"/>
    </row>
    <row r="1297" spans="1:20" ht="10.7" customHeight="1" x14ac:dyDescent="0.2">
      <c r="A1297" s="122"/>
      <c r="B1297" s="161" t="s">
        <v>80</v>
      </c>
      <c r="C1297" s="162">
        <v>699.3</v>
      </c>
      <c r="D1297" s="206">
        <v>683.3</v>
      </c>
      <c r="E1297" s="163">
        <v>0</v>
      </c>
      <c r="F1297" s="163">
        <v>-16</v>
      </c>
      <c r="G1297" s="164">
        <v>683.3</v>
      </c>
      <c r="H1297" s="163">
        <v>0</v>
      </c>
      <c r="I1297" s="165">
        <v>0</v>
      </c>
      <c r="J1297" s="164">
        <v>683.3</v>
      </c>
      <c r="K1297" s="163">
        <v>0</v>
      </c>
      <c r="L1297" s="163">
        <v>0</v>
      </c>
      <c r="M1297" s="163">
        <v>0</v>
      </c>
      <c r="N1297" s="163">
        <v>0</v>
      </c>
      <c r="O1297" s="163">
        <v>0</v>
      </c>
      <c r="P1297" s="163">
        <v>0</v>
      </c>
      <c r="Q1297" s="146" t="s">
        <v>186</v>
      </c>
      <c r="T1297" s="130"/>
    </row>
    <row r="1298" spans="1:20" ht="10.7" customHeight="1" x14ac:dyDescent="0.2">
      <c r="A1298" s="122"/>
      <c r="B1298" s="161" t="s">
        <v>81</v>
      </c>
      <c r="C1298" s="162">
        <v>1.1000000000000001</v>
      </c>
      <c r="D1298" s="206">
        <v>1.1000000000000001</v>
      </c>
      <c r="E1298" s="163">
        <v>0</v>
      </c>
      <c r="F1298" s="163">
        <v>0</v>
      </c>
      <c r="G1298" s="164">
        <v>1.1000000000000001</v>
      </c>
      <c r="H1298" s="163">
        <v>0</v>
      </c>
      <c r="I1298" s="165">
        <v>0</v>
      </c>
      <c r="J1298" s="164">
        <v>1.1000000000000001</v>
      </c>
      <c r="K1298" s="163">
        <v>0</v>
      </c>
      <c r="L1298" s="163">
        <v>0</v>
      </c>
      <c r="M1298" s="163">
        <v>0</v>
      </c>
      <c r="N1298" s="163">
        <v>0</v>
      </c>
      <c r="O1298" s="163">
        <v>0</v>
      </c>
      <c r="P1298" s="163">
        <v>0</v>
      </c>
      <c r="Q1298" s="146" t="s">
        <v>162</v>
      </c>
      <c r="T1298" s="130"/>
    </row>
    <row r="1299" spans="1:20" ht="10.7" customHeight="1" x14ac:dyDescent="0.2">
      <c r="A1299" s="122"/>
      <c r="B1299" s="161" t="s">
        <v>82</v>
      </c>
      <c r="C1299" s="162">
        <v>13.9</v>
      </c>
      <c r="D1299" s="206">
        <v>1.9000000000000004</v>
      </c>
      <c r="E1299" s="163">
        <v>0</v>
      </c>
      <c r="F1299" s="163">
        <v>-12</v>
      </c>
      <c r="G1299" s="164">
        <v>1.9000000000000004</v>
      </c>
      <c r="H1299" s="163">
        <v>0</v>
      </c>
      <c r="I1299" s="165">
        <v>0</v>
      </c>
      <c r="J1299" s="164">
        <v>1.9000000000000004</v>
      </c>
      <c r="K1299" s="163">
        <v>0</v>
      </c>
      <c r="L1299" s="163">
        <v>0</v>
      </c>
      <c r="M1299" s="163">
        <v>0</v>
      </c>
      <c r="N1299" s="163">
        <v>0</v>
      </c>
      <c r="O1299" s="163">
        <v>0</v>
      </c>
      <c r="P1299" s="163">
        <v>0</v>
      </c>
      <c r="Q1299" s="146" t="s">
        <v>162</v>
      </c>
      <c r="T1299" s="130"/>
    </row>
    <row r="1300" spans="1:20" ht="10.7" customHeight="1" x14ac:dyDescent="0.2">
      <c r="A1300" s="122"/>
      <c r="B1300" s="161" t="s">
        <v>83</v>
      </c>
      <c r="C1300" s="162">
        <v>53.4</v>
      </c>
      <c r="D1300" s="206">
        <v>53.4</v>
      </c>
      <c r="E1300" s="163">
        <v>0</v>
      </c>
      <c r="F1300" s="163">
        <v>0</v>
      </c>
      <c r="G1300" s="164">
        <v>53.4</v>
      </c>
      <c r="H1300" s="163">
        <v>0</v>
      </c>
      <c r="I1300" s="165">
        <v>0</v>
      </c>
      <c r="J1300" s="164">
        <v>53.4</v>
      </c>
      <c r="K1300" s="163">
        <v>0</v>
      </c>
      <c r="L1300" s="163">
        <v>0</v>
      </c>
      <c r="M1300" s="163">
        <v>0</v>
      </c>
      <c r="N1300" s="163">
        <v>0</v>
      </c>
      <c r="O1300" s="163">
        <v>0</v>
      </c>
      <c r="P1300" s="163">
        <v>0</v>
      </c>
      <c r="Q1300" s="146" t="s">
        <v>186</v>
      </c>
      <c r="T1300" s="130"/>
    </row>
    <row r="1301" spans="1:20" ht="10.7" customHeight="1" x14ac:dyDescent="0.2">
      <c r="A1301" s="122"/>
      <c r="B1301" s="161" t="s">
        <v>84</v>
      </c>
      <c r="C1301" s="162">
        <v>0</v>
      </c>
      <c r="D1301" s="206">
        <v>0</v>
      </c>
      <c r="E1301" s="163">
        <v>0</v>
      </c>
      <c r="F1301" s="163">
        <v>0</v>
      </c>
      <c r="G1301" s="164">
        <v>0</v>
      </c>
      <c r="H1301" s="163">
        <v>0</v>
      </c>
      <c r="I1301" s="165" t="s">
        <v>119</v>
      </c>
      <c r="J1301" s="164">
        <v>0</v>
      </c>
      <c r="K1301" s="163">
        <v>0</v>
      </c>
      <c r="L1301" s="163">
        <v>0</v>
      </c>
      <c r="M1301" s="163">
        <v>0</v>
      </c>
      <c r="N1301" s="163">
        <v>0</v>
      </c>
      <c r="O1301" s="163" t="s">
        <v>42</v>
      </c>
      <c r="P1301" s="163">
        <v>0</v>
      </c>
      <c r="Q1301" s="146" t="s">
        <v>162</v>
      </c>
      <c r="T1301" s="130"/>
    </row>
    <row r="1302" spans="1:20" ht="10.7" customHeight="1" x14ac:dyDescent="0.2">
      <c r="A1302" s="122"/>
      <c r="B1302" s="161" t="s">
        <v>85</v>
      </c>
      <c r="C1302" s="162">
        <v>0</v>
      </c>
      <c r="D1302" s="206">
        <v>0</v>
      </c>
      <c r="E1302" s="163">
        <v>0</v>
      </c>
      <c r="F1302" s="163">
        <v>0</v>
      </c>
      <c r="G1302" s="164">
        <v>0</v>
      </c>
      <c r="H1302" s="163">
        <v>0</v>
      </c>
      <c r="I1302" s="165" t="s">
        <v>119</v>
      </c>
      <c r="J1302" s="164">
        <v>0</v>
      </c>
      <c r="K1302" s="163">
        <v>0</v>
      </c>
      <c r="L1302" s="163">
        <v>0</v>
      </c>
      <c r="M1302" s="163">
        <v>0</v>
      </c>
      <c r="N1302" s="163">
        <v>0</v>
      </c>
      <c r="O1302" s="163" t="s">
        <v>42</v>
      </c>
      <c r="P1302" s="163">
        <v>0</v>
      </c>
      <c r="Q1302" s="146" t="s">
        <v>162</v>
      </c>
      <c r="T1302" s="130"/>
    </row>
    <row r="1303" spans="1:20" ht="10.7" customHeight="1" x14ac:dyDescent="0.2">
      <c r="A1303" s="122"/>
      <c r="B1303" s="161" t="s">
        <v>86</v>
      </c>
      <c r="C1303" s="162">
        <v>12.1</v>
      </c>
      <c r="D1303" s="206">
        <v>12.1</v>
      </c>
      <c r="E1303" s="163">
        <v>0</v>
      </c>
      <c r="F1303" s="163">
        <v>0</v>
      </c>
      <c r="G1303" s="164">
        <v>12.1</v>
      </c>
      <c r="H1303" s="163">
        <v>0</v>
      </c>
      <c r="I1303" s="165">
        <v>0</v>
      </c>
      <c r="J1303" s="164">
        <v>12.1</v>
      </c>
      <c r="K1303" s="163">
        <v>0</v>
      </c>
      <c r="L1303" s="163">
        <v>0</v>
      </c>
      <c r="M1303" s="163">
        <v>0</v>
      </c>
      <c r="N1303" s="163">
        <v>0</v>
      </c>
      <c r="O1303" s="163">
        <v>0</v>
      </c>
      <c r="P1303" s="163">
        <v>0</v>
      </c>
      <c r="Q1303" s="146" t="s">
        <v>162</v>
      </c>
      <c r="T1303" s="130"/>
    </row>
    <row r="1304" spans="1:20" ht="10.7" customHeight="1" x14ac:dyDescent="0.2">
      <c r="A1304" s="122"/>
      <c r="B1304" s="161" t="s">
        <v>87</v>
      </c>
      <c r="C1304" s="162">
        <v>0</v>
      </c>
      <c r="D1304" s="206">
        <v>0</v>
      </c>
      <c r="E1304" s="163">
        <v>0</v>
      </c>
      <c r="F1304" s="163">
        <v>0</v>
      </c>
      <c r="G1304" s="164">
        <v>0</v>
      </c>
      <c r="H1304" s="163">
        <v>0</v>
      </c>
      <c r="I1304" s="165" t="s">
        <v>119</v>
      </c>
      <c r="J1304" s="164">
        <v>0</v>
      </c>
      <c r="K1304" s="163">
        <v>0</v>
      </c>
      <c r="L1304" s="163">
        <v>0</v>
      </c>
      <c r="M1304" s="163">
        <v>0</v>
      </c>
      <c r="N1304" s="163">
        <v>0</v>
      </c>
      <c r="O1304" s="163" t="s">
        <v>42</v>
      </c>
      <c r="P1304" s="163">
        <v>0</v>
      </c>
      <c r="Q1304" s="146" t="s">
        <v>162</v>
      </c>
      <c r="T1304" s="130"/>
    </row>
    <row r="1305" spans="1:20" ht="10.7" customHeight="1" x14ac:dyDescent="0.2">
      <c r="A1305" s="122"/>
      <c r="B1305" s="161" t="s">
        <v>88</v>
      </c>
      <c r="C1305" s="162">
        <v>3.3</v>
      </c>
      <c r="D1305" s="206">
        <v>3.3</v>
      </c>
      <c r="E1305" s="163">
        <v>0</v>
      </c>
      <c r="F1305" s="163">
        <v>0</v>
      </c>
      <c r="G1305" s="164">
        <v>3.3</v>
      </c>
      <c r="H1305" s="163">
        <v>0</v>
      </c>
      <c r="I1305" s="165">
        <v>0</v>
      </c>
      <c r="J1305" s="164">
        <v>3.3</v>
      </c>
      <c r="K1305" s="163">
        <v>0</v>
      </c>
      <c r="L1305" s="163">
        <v>0</v>
      </c>
      <c r="M1305" s="163">
        <v>0</v>
      </c>
      <c r="N1305" s="163">
        <v>0</v>
      </c>
      <c r="O1305" s="163">
        <v>0</v>
      </c>
      <c r="P1305" s="163">
        <v>0</v>
      </c>
      <c r="Q1305" s="146" t="s">
        <v>162</v>
      </c>
      <c r="T1305" s="130"/>
    </row>
    <row r="1306" spans="1:20" ht="10.7" customHeight="1" x14ac:dyDescent="0.2">
      <c r="A1306" s="122"/>
      <c r="B1306" s="161" t="s">
        <v>89</v>
      </c>
      <c r="C1306" s="162">
        <v>0</v>
      </c>
      <c r="D1306" s="206">
        <v>0.29999999999999716</v>
      </c>
      <c r="E1306" s="163">
        <v>0</v>
      </c>
      <c r="F1306" s="163">
        <v>0.29999999999999716</v>
      </c>
      <c r="G1306" s="164">
        <v>0.29999999999999716</v>
      </c>
      <c r="H1306" s="163">
        <v>0</v>
      </c>
      <c r="I1306" s="165">
        <v>0</v>
      </c>
      <c r="J1306" s="164">
        <v>0.29999999999999716</v>
      </c>
      <c r="K1306" s="163">
        <v>0</v>
      </c>
      <c r="L1306" s="163">
        <v>0</v>
      </c>
      <c r="M1306" s="163">
        <v>0</v>
      </c>
      <c r="N1306" s="163">
        <v>0</v>
      </c>
      <c r="O1306" s="163">
        <v>0</v>
      </c>
      <c r="P1306" s="163">
        <v>0</v>
      </c>
      <c r="Q1306" s="146" t="s">
        <v>186</v>
      </c>
      <c r="T1306" s="130"/>
    </row>
    <row r="1307" spans="1:20" ht="10.7" customHeight="1" x14ac:dyDescent="0.2">
      <c r="A1307" s="122"/>
      <c r="B1307" s="168" t="s">
        <v>91</v>
      </c>
      <c r="C1307" s="162">
        <v>783.09999999999991</v>
      </c>
      <c r="D1307" s="173">
        <v>755.39999999999986</v>
      </c>
      <c r="E1307" s="163">
        <v>0</v>
      </c>
      <c r="F1307" s="163">
        <v>-27.700000000000045</v>
      </c>
      <c r="G1307" s="164">
        <v>755.39999999999986</v>
      </c>
      <c r="H1307" s="163">
        <v>0</v>
      </c>
      <c r="I1307" s="165">
        <v>0</v>
      </c>
      <c r="J1307" s="164">
        <v>755.39999999999986</v>
      </c>
      <c r="K1307" s="163">
        <v>0</v>
      </c>
      <c r="L1307" s="163">
        <v>0</v>
      </c>
      <c r="M1307" s="163">
        <v>0</v>
      </c>
      <c r="N1307" s="163">
        <v>0</v>
      </c>
      <c r="O1307" s="163">
        <v>0</v>
      </c>
      <c r="P1307" s="169">
        <v>0</v>
      </c>
      <c r="Q1307" s="146" t="s">
        <v>186</v>
      </c>
      <c r="T1307" s="130"/>
    </row>
    <row r="1308" spans="1:20" ht="10.7" customHeight="1" x14ac:dyDescent="0.2">
      <c r="A1308" s="122"/>
      <c r="B1308" s="168"/>
      <c r="D1308" s="206"/>
      <c r="E1308" s="163"/>
      <c r="F1308" s="163"/>
      <c r="G1308" s="164"/>
      <c r="H1308" s="163"/>
      <c r="I1308" s="165"/>
      <c r="J1308" s="164"/>
      <c r="K1308" s="163"/>
      <c r="L1308" s="163"/>
      <c r="M1308" s="163"/>
      <c r="N1308" s="163"/>
      <c r="O1308" s="163"/>
      <c r="P1308" s="163"/>
      <c r="Q1308" s="146"/>
      <c r="T1308" s="130"/>
    </row>
    <row r="1309" spans="1:20" ht="10.7" customHeight="1" x14ac:dyDescent="0.2">
      <c r="A1309" s="122"/>
      <c r="B1309" s="161" t="s">
        <v>92</v>
      </c>
      <c r="C1309" s="162">
        <v>15.9</v>
      </c>
      <c r="D1309" s="206">
        <v>1.5999999999999996</v>
      </c>
      <c r="E1309" s="163">
        <v>0</v>
      </c>
      <c r="F1309" s="163">
        <v>-14.3</v>
      </c>
      <c r="G1309" s="164">
        <v>1.5999999999999996</v>
      </c>
      <c r="H1309" s="163">
        <v>0</v>
      </c>
      <c r="I1309" s="165">
        <v>0</v>
      </c>
      <c r="J1309" s="164">
        <v>1.5999999999999996</v>
      </c>
      <c r="K1309" s="163">
        <v>0</v>
      </c>
      <c r="L1309" s="163">
        <v>0</v>
      </c>
      <c r="M1309" s="163">
        <v>0</v>
      </c>
      <c r="N1309" s="163">
        <v>0</v>
      </c>
      <c r="O1309" s="163">
        <v>0</v>
      </c>
      <c r="P1309" s="163">
        <v>0</v>
      </c>
      <c r="Q1309" s="146" t="s">
        <v>186</v>
      </c>
      <c r="T1309" s="130"/>
    </row>
    <row r="1310" spans="1:20" ht="10.7" customHeight="1" x14ac:dyDescent="0.2">
      <c r="A1310" s="122"/>
      <c r="B1310" s="161" t="s">
        <v>93</v>
      </c>
      <c r="C1310" s="162">
        <v>19.899999999999999</v>
      </c>
      <c r="D1310" s="206">
        <v>19.899999999999999</v>
      </c>
      <c r="E1310" s="163">
        <v>0</v>
      </c>
      <c r="F1310" s="163">
        <v>0</v>
      </c>
      <c r="G1310" s="164">
        <v>19.899999999999999</v>
      </c>
      <c r="H1310" s="163">
        <v>0</v>
      </c>
      <c r="I1310" s="165">
        <v>0</v>
      </c>
      <c r="J1310" s="164">
        <v>19.899999999999999</v>
      </c>
      <c r="K1310" s="163">
        <v>0</v>
      </c>
      <c r="L1310" s="163">
        <v>0</v>
      </c>
      <c r="M1310" s="163">
        <v>0</v>
      </c>
      <c r="N1310" s="163">
        <v>0</v>
      </c>
      <c r="O1310" s="163">
        <v>0</v>
      </c>
      <c r="P1310" s="163">
        <v>0</v>
      </c>
      <c r="Q1310" s="146" t="s">
        <v>186</v>
      </c>
      <c r="T1310" s="130"/>
    </row>
    <row r="1311" spans="1:20" ht="10.7" hidden="1" customHeight="1" x14ac:dyDescent="0.2">
      <c r="A1311" s="122"/>
      <c r="B1311" s="161" t="s">
        <v>94</v>
      </c>
      <c r="C1311" s="162">
        <v>0</v>
      </c>
      <c r="D1311" s="206">
        <v>0</v>
      </c>
      <c r="E1311" s="163">
        <v>0</v>
      </c>
      <c r="F1311" s="163">
        <v>0</v>
      </c>
      <c r="G1311" s="164">
        <v>0</v>
      </c>
      <c r="H1311" s="163">
        <v>0</v>
      </c>
      <c r="I1311" s="165" t="s">
        <v>119</v>
      </c>
      <c r="J1311" s="164">
        <v>0</v>
      </c>
      <c r="K1311" s="163">
        <v>0</v>
      </c>
      <c r="L1311" s="163">
        <v>0</v>
      </c>
      <c r="M1311" s="163">
        <v>0</v>
      </c>
      <c r="N1311" s="163">
        <v>0</v>
      </c>
      <c r="O1311" s="163" t="s">
        <v>42</v>
      </c>
      <c r="P1311" s="163">
        <v>0</v>
      </c>
      <c r="Q1311" s="146">
        <v>0</v>
      </c>
      <c r="T1311" s="130"/>
    </row>
    <row r="1312" spans="1:20" ht="10.7" customHeight="1" x14ac:dyDescent="0.2">
      <c r="A1312" s="122"/>
      <c r="B1312" s="161" t="s">
        <v>95</v>
      </c>
      <c r="C1312" s="162">
        <v>284</v>
      </c>
      <c r="D1312" s="206">
        <v>284</v>
      </c>
      <c r="E1312" s="163">
        <v>0</v>
      </c>
      <c r="F1312" s="163">
        <v>0</v>
      </c>
      <c r="G1312" s="164">
        <v>284</v>
      </c>
      <c r="H1312" s="163">
        <v>0</v>
      </c>
      <c r="I1312" s="165">
        <v>0</v>
      </c>
      <c r="J1312" s="164">
        <v>284</v>
      </c>
      <c r="K1312" s="163">
        <v>0</v>
      </c>
      <c r="L1312" s="163">
        <v>0</v>
      </c>
      <c r="M1312" s="163">
        <v>0</v>
      </c>
      <c r="N1312" s="163">
        <v>0</v>
      </c>
      <c r="O1312" s="163">
        <v>0</v>
      </c>
      <c r="P1312" s="163">
        <v>0</v>
      </c>
      <c r="Q1312" s="146" t="s">
        <v>186</v>
      </c>
      <c r="T1312" s="130"/>
    </row>
    <row r="1313" spans="1:20" ht="10.7" customHeight="1" x14ac:dyDescent="0.2">
      <c r="A1313" s="122"/>
      <c r="B1313" s="161" t="s">
        <v>96</v>
      </c>
      <c r="C1313" s="162">
        <v>0</v>
      </c>
      <c r="D1313" s="206">
        <v>0</v>
      </c>
      <c r="E1313" s="163">
        <v>0</v>
      </c>
      <c r="F1313" s="163">
        <v>0</v>
      </c>
      <c r="G1313" s="164">
        <v>0</v>
      </c>
      <c r="H1313" s="163">
        <v>0</v>
      </c>
      <c r="I1313" s="165" t="s">
        <v>119</v>
      </c>
      <c r="J1313" s="164">
        <v>0</v>
      </c>
      <c r="K1313" s="163">
        <v>0</v>
      </c>
      <c r="L1313" s="163">
        <v>0</v>
      </c>
      <c r="M1313" s="163">
        <v>0</v>
      </c>
      <c r="N1313" s="163">
        <v>0</v>
      </c>
      <c r="O1313" s="163" t="s">
        <v>42</v>
      </c>
      <c r="P1313" s="163">
        <v>0</v>
      </c>
      <c r="Q1313" s="146">
        <v>0</v>
      </c>
      <c r="T1313" s="130"/>
    </row>
    <row r="1314" spans="1:20" ht="10.7" customHeight="1" x14ac:dyDescent="0.2">
      <c r="A1314" s="122"/>
      <c r="B1314" s="161" t="s">
        <v>97</v>
      </c>
      <c r="C1314" s="162">
        <v>5.3</v>
      </c>
      <c r="D1314" s="206">
        <v>5.3</v>
      </c>
      <c r="E1314" s="163">
        <v>0</v>
      </c>
      <c r="F1314" s="163">
        <v>0</v>
      </c>
      <c r="G1314" s="164">
        <v>5.3</v>
      </c>
      <c r="H1314" s="163">
        <v>0</v>
      </c>
      <c r="I1314" s="165">
        <v>0</v>
      </c>
      <c r="J1314" s="164">
        <v>5.3</v>
      </c>
      <c r="K1314" s="163">
        <v>0</v>
      </c>
      <c r="L1314" s="163">
        <v>0</v>
      </c>
      <c r="M1314" s="163">
        <v>0</v>
      </c>
      <c r="N1314" s="163">
        <v>0</v>
      </c>
      <c r="O1314" s="163">
        <v>0</v>
      </c>
      <c r="P1314" s="163">
        <v>0</v>
      </c>
      <c r="Q1314" s="146" t="s">
        <v>186</v>
      </c>
      <c r="T1314" s="130"/>
    </row>
    <row r="1315" spans="1:20" ht="10.7" customHeight="1" x14ac:dyDescent="0.2">
      <c r="A1315" s="122"/>
      <c r="B1315" s="161" t="s">
        <v>98</v>
      </c>
      <c r="C1315" s="162">
        <v>4.2</v>
      </c>
      <c r="D1315" s="206">
        <v>4.2</v>
      </c>
      <c r="E1315" s="163">
        <v>0</v>
      </c>
      <c r="F1315" s="163">
        <v>0</v>
      </c>
      <c r="G1315" s="164">
        <v>4.2</v>
      </c>
      <c r="H1315" s="163">
        <v>0</v>
      </c>
      <c r="I1315" s="165">
        <v>0</v>
      </c>
      <c r="J1315" s="164">
        <v>4.2</v>
      </c>
      <c r="K1315" s="163">
        <v>0</v>
      </c>
      <c r="L1315" s="163">
        <v>0</v>
      </c>
      <c r="M1315" s="163">
        <v>0</v>
      </c>
      <c r="N1315" s="163">
        <v>0</v>
      </c>
      <c r="O1315" s="163">
        <v>0</v>
      </c>
      <c r="P1315" s="163">
        <v>0</v>
      </c>
      <c r="Q1315" s="146" t="s">
        <v>186</v>
      </c>
      <c r="T1315" s="130"/>
    </row>
    <row r="1316" spans="1:20" ht="10.7" customHeight="1" x14ac:dyDescent="0.2">
      <c r="A1316" s="122"/>
      <c r="B1316" s="161" t="s">
        <v>99</v>
      </c>
      <c r="C1316" s="162">
        <v>0</v>
      </c>
      <c r="D1316" s="206">
        <v>0</v>
      </c>
      <c r="E1316" s="163">
        <v>0</v>
      </c>
      <c r="F1316" s="163">
        <v>0</v>
      </c>
      <c r="G1316" s="164">
        <v>0</v>
      </c>
      <c r="H1316" s="163">
        <v>0</v>
      </c>
      <c r="I1316" s="165" t="s">
        <v>119</v>
      </c>
      <c r="J1316" s="164">
        <v>0</v>
      </c>
      <c r="K1316" s="163">
        <v>0</v>
      </c>
      <c r="L1316" s="163">
        <v>0</v>
      </c>
      <c r="M1316" s="163">
        <v>0</v>
      </c>
      <c r="N1316" s="163">
        <v>0</v>
      </c>
      <c r="O1316" s="163" t="s">
        <v>42</v>
      </c>
      <c r="P1316" s="163">
        <v>0</v>
      </c>
      <c r="Q1316" s="146">
        <v>0</v>
      </c>
      <c r="T1316" s="130"/>
    </row>
    <row r="1317" spans="1:20" ht="10.7" customHeight="1" x14ac:dyDescent="0.2">
      <c r="A1317" s="122"/>
      <c r="B1317" s="161" t="s">
        <v>100</v>
      </c>
      <c r="C1317" s="162">
        <v>0</v>
      </c>
      <c r="D1317" s="206">
        <v>0</v>
      </c>
      <c r="E1317" s="163">
        <v>0</v>
      </c>
      <c r="F1317" s="163">
        <v>0</v>
      </c>
      <c r="G1317" s="164">
        <v>0</v>
      </c>
      <c r="H1317" s="163">
        <v>0</v>
      </c>
      <c r="I1317" s="165" t="s">
        <v>119</v>
      </c>
      <c r="J1317" s="164">
        <v>0</v>
      </c>
      <c r="K1317" s="163">
        <v>0</v>
      </c>
      <c r="L1317" s="163">
        <v>0</v>
      </c>
      <c r="M1317" s="163">
        <v>0</v>
      </c>
      <c r="N1317" s="163">
        <v>0</v>
      </c>
      <c r="O1317" s="163" t="s">
        <v>42</v>
      </c>
      <c r="P1317" s="163">
        <v>0</v>
      </c>
      <c r="Q1317" s="146">
        <v>0</v>
      </c>
      <c r="T1317" s="130"/>
    </row>
    <row r="1318" spans="1:20" ht="10.7" customHeight="1" x14ac:dyDescent="0.2">
      <c r="A1318" s="122"/>
      <c r="B1318" s="161" t="s">
        <v>101</v>
      </c>
      <c r="C1318" s="162">
        <v>0</v>
      </c>
      <c r="D1318" s="206">
        <v>0</v>
      </c>
      <c r="E1318" s="163">
        <v>0</v>
      </c>
      <c r="F1318" s="163">
        <v>0</v>
      </c>
      <c r="G1318" s="164">
        <v>0</v>
      </c>
      <c r="H1318" s="163">
        <v>0</v>
      </c>
      <c r="I1318" s="165" t="s">
        <v>119</v>
      </c>
      <c r="J1318" s="164">
        <v>0</v>
      </c>
      <c r="K1318" s="163">
        <v>0</v>
      </c>
      <c r="L1318" s="163">
        <v>0</v>
      </c>
      <c r="M1318" s="163">
        <v>0</v>
      </c>
      <c r="N1318" s="163">
        <v>0</v>
      </c>
      <c r="O1318" s="163" t="s">
        <v>42</v>
      </c>
      <c r="P1318" s="163">
        <v>0</v>
      </c>
      <c r="Q1318" s="146">
        <v>0</v>
      </c>
      <c r="T1318" s="130"/>
    </row>
    <row r="1319" spans="1:20" ht="10.7" customHeight="1" x14ac:dyDescent="0.2">
      <c r="A1319" s="122"/>
      <c r="B1319" s="161" t="s">
        <v>102</v>
      </c>
      <c r="C1319" s="162">
        <v>0.1</v>
      </c>
      <c r="D1319" s="206">
        <v>0.1</v>
      </c>
      <c r="E1319" s="163">
        <v>0</v>
      </c>
      <c r="F1319" s="163">
        <v>0</v>
      </c>
      <c r="G1319" s="164">
        <v>0.1</v>
      </c>
      <c r="H1319" s="163">
        <v>0</v>
      </c>
      <c r="I1319" s="165">
        <v>0</v>
      </c>
      <c r="J1319" s="164">
        <v>0.1</v>
      </c>
      <c r="K1319" s="163">
        <v>0</v>
      </c>
      <c r="L1319" s="163">
        <v>0</v>
      </c>
      <c r="M1319" s="163">
        <v>0</v>
      </c>
      <c r="N1319" s="163">
        <v>0</v>
      </c>
      <c r="O1319" s="163">
        <v>0</v>
      </c>
      <c r="P1319" s="163">
        <v>0</v>
      </c>
      <c r="Q1319" s="146" t="s">
        <v>162</v>
      </c>
      <c r="T1319" s="130"/>
    </row>
    <row r="1320" spans="1:20" ht="10.7" customHeight="1" x14ac:dyDescent="0.2">
      <c r="A1320" s="122"/>
      <c r="B1320" s="161" t="s">
        <v>103</v>
      </c>
      <c r="C1320" s="162">
        <v>0.9</v>
      </c>
      <c r="D1320" s="206">
        <v>0.9</v>
      </c>
      <c r="E1320" s="163">
        <v>0</v>
      </c>
      <c r="F1320" s="163">
        <v>0</v>
      </c>
      <c r="G1320" s="164">
        <v>0.9</v>
      </c>
      <c r="H1320" s="163">
        <v>0</v>
      </c>
      <c r="I1320" s="165">
        <v>0</v>
      </c>
      <c r="J1320" s="164">
        <v>0.9</v>
      </c>
      <c r="K1320" s="163">
        <v>0</v>
      </c>
      <c r="L1320" s="163">
        <v>0</v>
      </c>
      <c r="M1320" s="163">
        <v>0</v>
      </c>
      <c r="N1320" s="163">
        <v>0</v>
      </c>
      <c r="O1320" s="163">
        <v>0</v>
      </c>
      <c r="P1320" s="163">
        <v>0</v>
      </c>
      <c r="Q1320" s="146" t="s">
        <v>162</v>
      </c>
      <c r="T1320" s="130"/>
    </row>
    <row r="1321" spans="1:20" ht="10.7" customHeight="1" x14ac:dyDescent="0.2">
      <c r="A1321" s="122"/>
      <c r="B1321" s="1" t="s">
        <v>104</v>
      </c>
      <c r="C1321" s="162">
        <v>0</v>
      </c>
      <c r="D1321" s="206">
        <v>0</v>
      </c>
      <c r="E1321" s="163">
        <v>0</v>
      </c>
      <c r="F1321" s="163">
        <v>0</v>
      </c>
      <c r="G1321" s="164">
        <v>0</v>
      </c>
      <c r="H1321" s="163">
        <v>0</v>
      </c>
      <c r="I1321" s="165" t="s">
        <v>119</v>
      </c>
      <c r="J1321" s="164">
        <v>0</v>
      </c>
      <c r="K1321" s="163">
        <v>0</v>
      </c>
      <c r="L1321" s="163">
        <v>0</v>
      </c>
      <c r="M1321" s="163">
        <v>0</v>
      </c>
      <c r="N1321" s="163">
        <v>0</v>
      </c>
      <c r="O1321" s="163" t="s">
        <v>42</v>
      </c>
      <c r="P1321" s="163">
        <v>0</v>
      </c>
      <c r="Q1321" s="146">
        <v>0</v>
      </c>
      <c r="T1321" s="130"/>
    </row>
    <row r="1322" spans="1:20" ht="10.7" customHeight="1" x14ac:dyDescent="0.2">
      <c r="A1322" s="122"/>
      <c r="B1322" s="168" t="s">
        <v>106</v>
      </c>
      <c r="C1322" s="172">
        <v>1113.3999999999999</v>
      </c>
      <c r="D1322" s="206">
        <v>1071.3999999999999</v>
      </c>
      <c r="E1322" s="163">
        <v>0</v>
      </c>
      <c r="F1322" s="163">
        <v>-42</v>
      </c>
      <c r="G1322" s="164">
        <v>1071.3999999999999</v>
      </c>
      <c r="H1322" s="163">
        <v>0</v>
      </c>
      <c r="I1322" s="165">
        <v>0</v>
      </c>
      <c r="J1322" s="164">
        <v>1071.3999999999999</v>
      </c>
      <c r="K1322" s="163">
        <v>0</v>
      </c>
      <c r="L1322" s="163">
        <v>0</v>
      </c>
      <c r="M1322" s="163">
        <v>0</v>
      </c>
      <c r="N1322" s="163">
        <v>0</v>
      </c>
      <c r="O1322" s="163">
        <v>0</v>
      </c>
      <c r="P1322" s="163">
        <v>0</v>
      </c>
      <c r="Q1322" s="146" t="s">
        <v>186</v>
      </c>
      <c r="T1322" s="130"/>
    </row>
    <row r="1323" spans="1:20" ht="10.7" customHeight="1" x14ac:dyDescent="0.2">
      <c r="A1323" s="122"/>
      <c r="B1323" s="168"/>
      <c r="C1323" s="162"/>
      <c r="D1323" s="206"/>
      <c r="E1323" s="163"/>
      <c r="F1323" s="163"/>
      <c r="G1323" s="164"/>
      <c r="H1323" s="163"/>
      <c r="I1323" s="165"/>
      <c r="J1323" s="164"/>
      <c r="K1323" s="163"/>
      <c r="L1323" s="163"/>
      <c r="M1323" s="163"/>
      <c r="N1323" s="163"/>
      <c r="O1323" s="163"/>
      <c r="P1323" s="163"/>
      <c r="Q1323" s="146"/>
      <c r="T1323" s="130"/>
    </row>
    <row r="1324" spans="1:20" ht="10.7" customHeight="1" x14ac:dyDescent="0.2">
      <c r="A1324" s="122"/>
      <c r="B1324" s="161" t="s">
        <v>107</v>
      </c>
      <c r="C1324" s="162">
        <v>0</v>
      </c>
      <c r="D1324" s="206">
        <v>0</v>
      </c>
      <c r="E1324" s="163">
        <v>0</v>
      </c>
      <c r="F1324" s="163">
        <v>0</v>
      </c>
      <c r="G1324" s="164">
        <v>0</v>
      </c>
      <c r="H1324" s="163">
        <v>0</v>
      </c>
      <c r="I1324" s="165" t="s">
        <v>119</v>
      </c>
      <c r="J1324" s="164">
        <v>0</v>
      </c>
      <c r="K1324" s="163">
        <v>0</v>
      </c>
      <c r="L1324" s="163">
        <v>0</v>
      </c>
      <c r="M1324" s="163">
        <v>0</v>
      </c>
      <c r="N1324" s="163">
        <v>0</v>
      </c>
      <c r="O1324" s="163" t="s">
        <v>42</v>
      </c>
      <c r="P1324" s="163">
        <v>0</v>
      </c>
      <c r="Q1324" s="146">
        <v>0</v>
      </c>
      <c r="T1324" s="130"/>
    </row>
    <row r="1325" spans="1:20" ht="10.7" customHeight="1" x14ac:dyDescent="0.2">
      <c r="A1325" s="122"/>
      <c r="B1325" s="161" t="s">
        <v>108</v>
      </c>
      <c r="C1325" s="162">
        <v>0</v>
      </c>
      <c r="D1325" s="162">
        <v>0</v>
      </c>
      <c r="E1325" s="173">
        <v>0</v>
      </c>
      <c r="F1325" s="163">
        <v>0</v>
      </c>
      <c r="G1325" s="164">
        <v>0</v>
      </c>
      <c r="H1325" s="163">
        <v>0</v>
      </c>
      <c r="I1325" s="165" t="s">
        <v>119</v>
      </c>
      <c r="J1325" s="164">
        <v>0</v>
      </c>
      <c r="K1325" s="163">
        <v>0</v>
      </c>
      <c r="L1325" s="163">
        <v>0</v>
      </c>
      <c r="M1325" s="163">
        <v>0</v>
      </c>
      <c r="N1325" s="163">
        <v>0</v>
      </c>
      <c r="O1325" s="163" t="s">
        <v>42</v>
      </c>
      <c r="P1325" s="163">
        <v>0</v>
      </c>
      <c r="Q1325" s="146">
        <v>0</v>
      </c>
      <c r="T1325" s="130"/>
    </row>
    <row r="1326" spans="1:20" ht="10.7" customHeight="1" x14ac:dyDescent="0.2">
      <c r="A1326" s="122"/>
      <c r="B1326" s="174" t="s">
        <v>109</v>
      </c>
      <c r="C1326" s="162">
        <v>0</v>
      </c>
      <c r="D1326" s="162">
        <v>0</v>
      </c>
      <c r="E1326" s="173">
        <v>0</v>
      </c>
      <c r="F1326" s="163">
        <v>0</v>
      </c>
      <c r="G1326" s="164">
        <v>0</v>
      </c>
      <c r="H1326" s="163">
        <v>0</v>
      </c>
      <c r="I1326" s="165" t="s">
        <v>119</v>
      </c>
      <c r="J1326" s="164">
        <v>0</v>
      </c>
      <c r="K1326" s="163">
        <v>0</v>
      </c>
      <c r="L1326" s="163">
        <v>0</v>
      </c>
      <c r="M1326" s="163">
        <v>0</v>
      </c>
      <c r="N1326" s="163">
        <v>0</v>
      </c>
      <c r="O1326" s="163" t="s">
        <v>42</v>
      </c>
      <c r="P1326" s="163">
        <v>0</v>
      </c>
      <c r="Q1326" s="146">
        <v>0</v>
      </c>
      <c r="T1326" s="130"/>
    </row>
    <row r="1327" spans="1:20" ht="10.7" customHeight="1" x14ac:dyDescent="0.2">
      <c r="A1327" s="122"/>
      <c r="B1327" s="174"/>
      <c r="C1327" s="162"/>
      <c r="D1327" s="206"/>
      <c r="E1327" s="163"/>
      <c r="F1327" s="163"/>
      <c r="G1327" s="164"/>
      <c r="H1327" s="163"/>
      <c r="I1327" s="165"/>
      <c r="J1327" s="164"/>
      <c r="K1327" s="163"/>
      <c r="L1327" s="163"/>
      <c r="M1327" s="163"/>
      <c r="N1327" s="163"/>
      <c r="O1327" s="163"/>
      <c r="P1327" s="163"/>
      <c r="Q1327" s="146"/>
      <c r="T1327" s="130"/>
    </row>
    <row r="1328" spans="1:20" ht="10.7" customHeight="1" x14ac:dyDescent="0.2">
      <c r="A1328" s="122"/>
      <c r="B1328" s="174" t="s">
        <v>111</v>
      </c>
      <c r="C1328" s="162"/>
      <c r="D1328" s="206"/>
      <c r="E1328" s="163"/>
      <c r="F1328" s="163"/>
      <c r="G1328" s="164">
        <v>0</v>
      </c>
      <c r="H1328" s="163"/>
      <c r="I1328" s="165"/>
      <c r="J1328" s="164">
        <v>0</v>
      </c>
      <c r="K1328" s="163"/>
      <c r="L1328" s="163"/>
      <c r="M1328" s="163"/>
      <c r="N1328" s="163"/>
      <c r="O1328" s="163"/>
      <c r="P1328" s="163"/>
      <c r="Q1328" s="146"/>
      <c r="T1328" s="130"/>
    </row>
    <row r="1329" spans="1:20" ht="10.7" customHeight="1" x14ac:dyDescent="0.2">
      <c r="A1329" s="122"/>
      <c r="B1329" s="175" t="s">
        <v>112</v>
      </c>
      <c r="C1329" s="176">
        <v>1113.3999999999999</v>
      </c>
      <c r="D1329" s="201">
        <v>1071.3999999999999</v>
      </c>
      <c r="E1329" s="177">
        <v>0</v>
      </c>
      <c r="F1329" s="180">
        <v>-42</v>
      </c>
      <c r="G1329" s="189">
        <v>1071.3999999999999</v>
      </c>
      <c r="H1329" s="180">
        <v>0</v>
      </c>
      <c r="I1329" s="179">
        <v>0</v>
      </c>
      <c r="J1329" s="189">
        <v>1071.3999999999999</v>
      </c>
      <c r="K1329" s="180">
        <v>0</v>
      </c>
      <c r="L1329" s="180">
        <v>0</v>
      </c>
      <c r="M1329" s="180">
        <v>0</v>
      </c>
      <c r="N1329" s="180">
        <v>0</v>
      </c>
      <c r="O1329" s="180">
        <v>0</v>
      </c>
      <c r="P1329" s="180">
        <v>0</v>
      </c>
      <c r="Q1329" s="153" t="s">
        <v>186</v>
      </c>
      <c r="T1329" s="130"/>
    </row>
    <row r="1330" spans="1:20" ht="10.7" customHeight="1" x14ac:dyDescent="0.2">
      <c r="A1330" s="122"/>
      <c r="B1330" s="191" t="s">
        <v>241</v>
      </c>
      <c r="C1330" s="191"/>
      <c r="D1330" s="183"/>
      <c r="E1330" s="183"/>
      <c r="F1330" s="183"/>
      <c r="G1330" s="184"/>
      <c r="H1330" s="183"/>
      <c r="I1330" s="163"/>
      <c r="J1330" s="184"/>
      <c r="K1330" s="185"/>
      <c r="L1330" s="185"/>
      <c r="M1330" s="185"/>
      <c r="N1330" s="185"/>
      <c r="O1330" s="173"/>
      <c r="P1330" s="183"/>
      <c r="Q1330" s="182"/>
      <c r="T1330" s="130"/>
    </row>
    <row r="1331" spans="1:20" ht="10.7" customHeight="1" x14ac:dyDescent="0.2">
      <c r="A1331" s="122"/>
      <c r="B1331" s="123" t="s">
        <v>114</v>
      </c>
      <c r="C1331" s="123"/>
      <c r="J1331" s="192"/>
      <c r="T1331" s="130"/>
    </row>
    <row r="1335" spans="1:20" ht="10.7" customHeight="1" x14ac:dyDescent="0.2">
      <c r="A1335" s="122"/>
      <c r="B1335" s="123" t="s">
        <v>185</v>
      </c>
      <c r="C1335" s="123"/>
      <c r="P1335" s="128"/>
      <c r="T1335" s="130"/>
    </row>
    <row r="1336" spans="1:20" ht="10.7" customHeight="1" x14ac:dyDescent="0.2">
      <c r="A1336" s="122"/>
      <c r="B1336" s="131" t="s">
        <v>240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43166</v>
      </c>
      <c r="L1340" s="151">
        <v>43173</v>
      </c>
      <c r="M1340" s="151">
        <v>43180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6"/>
      <c r="C1342" s="187" t="s">
        <v>117</v>
      </c>
      <c r="D1342" s="187"/>
      <c r="E1342" s="187"/>
      <c r="F1342" s="187"/>
      <c r="G1342" s="187"/>
      <c r="H1342" s="187"/>
      <c r="I1342" s="187"/>
      <c r="J1342" s="187"/>
      <c r="K1342" s="187"/>
      <c r="L1342" s="187"/>
      <c r="M1342" s="187"/>
      <c r="N1342" s="187"/>
      <c r="O1342" s="187"/>
      <c r="P1342" s="195"/>
      <c r="Q1342" s="145"/>
      <c r="T1342" s="130"/>
    </row>
    <row r="1343" spans="1:20" ht="10.7" customHeight="1" x14ac:dyDescent="0.2">
      <c r="A1343" s="122"/>
      <c r="B1343" s="161" t="s">
        <v>80</v>
      </c>
      <c r="C1343" s="162">
        <v>54.4</v>
      </c>
      <c r="D1343" s="206">
        <v>54.8</v>
      </c>
      <c r="E1343" s="163">
        <v>0.39999999999999858</v>
      </c>
      <c r="F1343" s="163">
        <v>0.39999999999999858</v>
      </c>
      <c r="G1343" s="164">
        <v>54.8</v>
      </c>
      <c r="H1343" s="163">
        <v>2.7690000000000001</v>
      </c>
      <c r="I1343" s="165">
        <v>5.0529197080291981</v>
      </c>
      <c r="J1343" s="164">
        <v>52.030999999999999</v>
      </c>
      <c r="K1343" s="163">
        <v>6.0999999999999943E-2</v>
      </c>
      <c r="L1343" s="163">
        <v>0</v>
      </c>
      <c r="M1343" s="163">
        <v>0</v>
      </c>
      <c r="N1343" s="163">
        <v>0.23399999999999999</v>
      </c>
      <c r="O1343" s="163">
        <v>0.42700729927007297</v>
      </c>
      <c r="P1343" s="163">
        <v>7.3749999999999982E-2</v>
      </c>
      <c r="Q1343" s="146" t="s">
        <v>186</v>
      </c>
      <c r="T1343" s="130"/>
    </row>
    <row r="1344" spans="1:20" ht="10.7" customHeight="1" x14ac:dyDescent="0.2">
      <c r="A1344" s="122"/>
      <c r="B1344" s="161" t="s">
        <v>81</v>
      </c>
      <c r="C1344" s="162">
        <v>50.8</v>
      </c>
      <c r="D1344" s="206">
        <v>50.8</v>
      </c>
      <c r="E1344" s="163">
        <v>0</v>
      </c>
      <c r="F1344" s="163">
        <v>0</v>
      </c>
      <c r="G1344" s="164">
        <v>50.8</v>
      </c>
      <c r="H1344" s="163">
        <v>0.372</v>
      </c>
      <c r="I1344" s="165">
        <v>0.73228346456692928</v>
      </c>
      <c r="J1344" s="164">
        <v>50.427999999999997</v>
      </c>
      <c r="K1344" s="163">
        <v>0</v>
      </c>
      <c r="L1344" s="163">
        <v>0</v>
      </c>
      <c r="M1344" s="163">
        <v>0</v>
      </c>
      <c r="N1344" s="163">
        <v>0</v>
      </c>
      <c r="O1344" s="163">
        <v>0</v>
      </c>
      <c r="P1344" s="163">
        <v>0</v>
      </c>
      <c r="Q1344" s="146" t="s">
        <v>186</v>
      </c>
      <c r="T1344" s="130"/>
    </row>
    <row r="1345" spans="1:20" ht="10.7" customHeight="1" x14ac:dyDescent="0.2">
      <c r="A1345" s="122"/>
      <c r="B1345" s="161" t="s">
        <v>82</v>
      </c>
      <c r="C1345" s="162">
        <v>46.3</v>
      </c>
      <c r="D1345" s="206">
        <v>34.9</v>
      </c>
      <c r="E1345" s="163">
        <v>0</v>
      </c>
      <c r="F1345" s="163">
        <v>-11.399999999999999</v>
      </c>
      <c r="G1345" s="164">
        <v>34.9</v>
      </c>
      <c r="H1345" s="163">
        <v>0.34200000000000003</v>
      </c>
      <c r="I1345" s="165">
        <v>0.97994269340974227</v>
      </c>
      <c r="J1345" s="164">
        <v>34.558</v>
      </c>
      <c r="K1345" s="163">
        <v>0</v>
      </c>
      <c r="L1345" s="163">
        <v>0</v>
      </c>
      <c r="M1345" s="163">
        <v>0</v>
      </c>
      <c r="N1345" s="163">
        <v>0</v>
      </c>
      <c r="O1345" s="163">
        <v>0</v>
      </c>
      <c r="P1345" s="163">
        <v>0</v>
      </c>
      <c r="Q1345" s="146" t="s">
        <v>186</v>
      </c>
      <c r="T1345" s="130"/>
    </row>
    <row r="1346" spans="1:20" ht="10.7" customHeight="1" x14ac:dyDescent="0.2">
      <c r="A1346" s="122"/>
      <c r="B1346" s="161" t="s">
        <v>83</v>
      </c>
      <c r="C1346" s="162">
        <v>19.7</v>
      </c>
      <c r="D1346" s="206">
        <v>19.7</v>
      </c>
      <c r="E1346" s="163">
        <v>0</v>
      </c>
      <c r="F1346" s="163">
        <v>0</v>
      </c>
      <c r="G1346" s="164">
        <v>19.7</v>
      </c>
      <c r="H1346" s="163">
        <v>0</v>
      </c>
      <c r="I1346" s="165">
        <v>0</v>
      </c>
      <c r="J1346" s="164">
        <v>19.7</v>
      </c>
      <c r="K1346" s="163">
        <v>0</v>
      </c>
      <c r="L1346" s="163">
        <v>0</v>
      </c>
      <c r="M1346" s="163">
        <v>0</v>
      </c>
      <c r="N1346" s="163">
        <v>0</v>
      </c>
      <c r="O1346" s="163">
        <v>0</v>
      </c>
      <c r="P1346" s="163">
        <v>0</v>
      </c>
      <c r="Q1346" s="146" t="s">
        <v>186</v>
      </c>
      <c r="T1346" s="130"/>
    </row>
    <row r="1347" spans="1:20" ht="10.7" customHeight="1" x14ac:dyDescent="0.2">
      <c r="A1347" s="122"/>
      <c r="B1347" s="161" t="s">
        <v>84</v>
      </c>
      <c r="C1347" s="162">
        <v>0.2</v>
      </c>
      <c r="D1347" s="206">
        <v>0.2</v>
      </c>
      <c r="E1347" s="163">
        <v>0</v>
      </c>
      <c r="F1347" s="163">
        <v>0</v>
      </c>
      <c r="G1347" s="164">
        <v>0.2</v>
      </c>
      <c r="H1347" s="163">
        <v>0</v>
      </c>
      <c r="I1347" s="165">
        <v>0</v>
      </c>
      <c r="J1347" s="164">
        <v>0.2</v>
      </c>
      <c r="K1347" s="163">
        <v>0</v>
      </c>
      <c r="L1347" s="163">
        <v>0</v>
      </c>
      <c r="M1347" s="163">
        <v>0</v>
      </c>
      <c r="N1347" s="163">
        <v>0</v>
      </c>
      <c r="O1347" s="163">
        <v>0</v>
      </c>
      <c r="P1347" s="163">
        <v>0</v>
      </c>
      <c r="Q1347" s="146" t="s">
        <v>186</v>
      </c>
      <c r="T1347" s="130"/>
    </row>
    <row r="1348" spans="1:20" ht="10.7" customHeight="1" x14ac:dyDescent="0.2">
      <c r="A1348" s="122"/>
      <c r="B1348" s="161" t="s">
        <v>85</v>
      </c>
      <c r="C1348" s="162">
        <v>3.3</v>
      </c>
      <c r="D1348" s="206">
        <v>7.6000000000000005</v>
      </c>
      <c r="E1348" s="163">
        <v>0</v>
      </c>
      <c r="F1348" s="163">
        <v>4.3000000000000007</v>
      </c>
      <c r="G1348" s="164">
        <v>7.6000000000000005</v>
      </c>
      <c r="H1348" s="163">
        <v>0</v>
      </c>
      <c r="I1348" s="165">
        <v>0</v>
      </c>
      <c r="J1348" s="164">
        <v>7.6000000000000005</v>
      </c>
      <c r="K1348" s="163">
        <v>0</v>
      </c>
      <c r="L1348" s="163">
        <v>0</v>
      </c>
      <c r="M1348" s="163">
        <v>0</v>
      </c>
      <c r="N1348" s="163">
        <v>0</v>
      </c>
      <c r="O1348" s="163">
        <v>0</v>
      </c>
      <c r="P1348" s="163">
        <v>0</v>
      </c>
      <c r="Q1348" s="146" t="s">
        <v>186</v>
      </c>
      <c r="T1348" s="130"/>
    </row>
    <row r="1349" spans="1:20" ht="10.7" customHeight="1" x14ac:dyDescent="0.2">
      <c r="A1349" s="122"/>
      <c r="B1349" s="161" t="s">
        <v>86</v>
      </c>
      <c r="C1349" s="162">
        <v>1.8</v>
      </c>
      <c r="D1349" s="206">
        <v>1.8</v>
      </c>
      <c r="E1349" s="163">
        <v>0</v>
      </c>
      <c r="F1349" s="163">
        <v>0</v>
      </c>
      <c r="G1349" s="164">
        <v>1.8</v>
      </c>
      <c r="H1349" s="163">
        <v>0.185</v>
      </c>
      <c r="I1349" s="165">
        <v>10.277777777777777</v>
      </c>
      <c r="J1349" s="164">
        <v>1.615</v>
      </c>
      <c r="K1349" s="163">
        <v>0</v>
      </c>
      <c r="L1349" s="163">
        <v>0</v>
      </c>
      <c r="M1349" s="163">
        <v>0</v>
      </c>
      <c r="N1349" s="163">
        <v>-0.49400000000000005</v>
      </c>
      <c r="O1349" s="163">
        <v>-27.44444444444445</v>
      </c>
      <c r="P1349" s="163">
        <v>-0.12350000000000001</v>
      </c>
      <c r="Q1349" s="146" t="s">
        <v>186</v>
      </c>
      <c r="T1349" s="130"/>
    </row>
    <row r="1350" spans="1:20" ht="10.7" customHeight="1" x14ac:dyDescent="0.2">
      <c r="A1350" s="122"/>
      <c r="B1350" s="161" t="s">
        <v>87</v>
      </c>
      <c r="C1350" s="162">
        <v>9.6999999999999993</v>
      </c>
      <c r="D1350" s="206">
        <v>9.6999999999999993</v>
      </c>
      <c r="E1350" s="163">
        <v>0</v>
      </c>
      <c r="F1350" s="163">
        <v>0</v>
      </c>
      <c r="G1350" s="164">
        <v>9.6999999999999993</v>
      </c>
      <c r="H1350" s="163">
        <v>0</v>
      </c>
      <c r="I1350" s="165">
        <v>0</v>
      </c>
      <c r="J1350" s="164">
        <v>9.6999999999999993</v>
      </c>
      <c r="K1350" s="163">
        <v>0</v>
      </c>
      <c r="L1350" s="163">
        <v>0</v>
      </c>
      <c r="M1350" s="163">
        <v>0</v>
      </c>
      <c r="N1350" s="163">
        <v>0</v>
      </c>
      <c r="O1350" s="163">
        <v>0</v>
      </c>
      <c r="P1350" s="163">
        <v>0</v>
      </c>
      <c r="Q1350" s="146" t="s">
        <v>186</v>
      </c>
      <c r="T1350" s="130"/>
    </row>
    <row r="1351" spans="1:20" ht="10.7" customHeight="1" x14ac:dyDescent="0.2">
      <c r="A1351" s="122"/>
      <c r="B1351" s="161" t="s">
        <v>88</v>
      </c>
      <c r="C1351" s="162">
        <v>0</v>
      </c>
      <c r="D1351" s="206">
        <v>0</v>
      </c>
      <c r="E1351" s="163">
        <v>0</v>
      </c>
      <c r="F1351" s="163">
        <v>0</v>
      </c>
      <c r="G1351" s="164">
        <v>0</v>
      </c>
      <c r="H1351" s="163">
        <v>0</v>
      </c>
      <c r="I1351" s="165" t="s">
        <v>119</v>
      </c>
      <c r="J1351" s="164">
        <v>0</v>
      </c>
      <c r="K1351" s="163">
        <v>0</v>
      </c>
      <c r="L1351" s="163">
        <v>0</v>
      </c>
      <c r="M1351" s="163">
        <v>0</v>
      </c>
      <c r="N1351" s="163">
        <v>0</v>
      </c>
      <c r="O1351" s="163" t="s">
        <v>42</v>
      </c>
      <c r="P1351" s="163">
        <v>0</v>
      </c>
      <c r="Q1351" s="146" t="s">
        <v>162</v>
      </c>
      <c r="T1351" s="130"/>
    </row>
    <row r="1352" spans="1:20" ht="10.7" customHeight="1" x14ac:dyDescent="0.2">
      <c r="A1352" s="122"/>
      <c r="B1352" s="161" t="s">
        <v>89</v>
      </c>
      <c r="C1352" s="162">
        <v>11.8</v>
      </c>
      <c r="D1352" s="206">
        <v>15.8</v>
      </c>
      <c r="E1352" s="163">
        <v>0</v>
      </c>
      <c r="F1352" s="163">
        <v>4</v>
      </c>
      <c r="G1352" s="164">
        <v>15.8</v>
      </c>
      <c r="H1352" s="163">
        <v>0</v>
      </c>
      <c r="I1352" s="165">
        <v>0</v>
      </c>
      <c r="J1352" s="164">
        <v>15.8</v>
      </c>
      <c r="K1352" s="163">
        <v>0</v>
      </c>
      <c r="L1352" s="163">
        <v>0</v>
      </c>
      <c r="M1352" s="163">
        <v>0</v>
      </c>
      <c r="N1352" s="163">
        <v>0</v>
      </c>
      <c r="O1352" s="163">
        <v>0</v>
      </c>
      <c r="P1352" s="163">
        <v>0</v>
      </c>
      <c r="Q1352" s="146" t="s">
        <v>186</v>
      </c>
      <c r="T1352" s="130"/>
    </row>
    <row r="1353" spans="1:20" ht="10.7" customHeight="1" x14ac:dyDescent="0.2">
      <c r="A1353" s="122"/>
      <c r="B1353" s="168" t="s">
        <v>91</v>
      </c>
      <c r="C1353" s="162">
        <v>198</v>
      </c>
      <c r="D1353" s="206">
        <v>195.29999999999998</v>
      </c>
      <c r="E1353" s="163">
        <v>0.39999999999999858</v>
      </c>
      <c r="F1353" s="163">
        <v>-2.7000000000000171</v>
      </c>
      <c r="G1353" s="164">
        <v>195.29999999999998</v>
      </c>
      <c r="H1353" s="163">
        <v>3.6680000000000001</v>
      </c>
      <c r="I1353" s="165">
        <v>1.8781362007168461</v>
      </c>
      <c r="J1353" s="164">
        <v>191.63199999999998</v>
      </c>
      <c r="K1353" s="163">
        <v>6.0999999999999943E-2</v>
      </c>
      <c r="L1353" s="163">
        <v>0</v>
      </c>
      <c r="M1353" s="163">
        <v>0</v>
      </c>
      <c r="N1353" s="163">
        <v>-0.26000000000000006</v>
      </c>
      <c r="O1353" s="163">
        <v>-0.13312852022529445</v>
      </c>
      <c r="P1353" s="169">
        <v>-4.975000000000003E-2</v>
      </c>
      <c r="Q1353" s="146" t="s">
        <v>186</v>
      </c>
      <c r="T1353" s="130"/>
    </row>
    <row r="1354" spans="1:20" ht="10.7" customHeight="1" x14ac:dyDescent="0.2">
      <c r="A1354" s="122"/>
      <c r="B1354" s="168"/>
      <c r="D1354" s="206"/>
      <c r="E1354" s="163"/>
      <c r="F1354" s="163"/>
      <c r="G1354" s="164"/>
      <c r="H1354" s="163"/>
      <c r="I1354" s="165"/>
      <c r="J1354" s="164"/>
      <c r="K1354" s="163"/>
      <c r="L1354" s="163"/>
      <c r="M1354" s="163"/>
      <c r="N1354" s="163"/>
      <c r="O1354" s="163"/>
      <c r="P1354" s="163"/>
      <c r="Q1354" s="146"/>
      <c r="T1354" s="130"/>
    </row>
    <row r="1355" spans="1:20" ht="10.7" customHeight="1" x14ac:dyDescent="0.2">
      <c r="A1355" s="122"/>
      <c r="B1355" s="161" t="s">
        <v>92</v>
      </c>
      <c r="C1355" s="162">
        <v>21.2</v>
      </c>
      <c r="D1355" s="206">
        <v>17.7</v>
      </c>
      <c r="E1355" s="163">
        <v>0</v>
      </c>
      <c r="F1355" s="163">
        <v>-3.5</v>
      </c>
      <c r="G1355" s="164">
        <v>17.7</v>
      </c>
      <c r="H1355" s="163">
        <v>1.04</v>
      </c>
      <c r="I1355" s="165">
        <v>5.8757062146892656</v>
      </c>
      <c r="J1355" s="164">
        <v>16.66</v>
      </c>
      <c r="K1355" s="163">
        <v>0</v>
      </c>
      <c r="L1355" s="163">
        <v>0</v>
      </c>
      <c r="M1355" s="163">
        <v>0</v>
      </c>
      <c r="N1355" s="163">
        <v>0</v>
      </c>
      <c r="O1355" s="163">
        <v>0</v>
      </c>
      <c r="P1355" s="163">
        <v>0</v>
      </c>
      <c r="Q1355" s="146" t="s">
        <v>186</v>
      </c>
      <c r="T1355" s="130"/>
    </row>
    <row r="1356" spans="1:20" ht="10.7" customHeight="1" x14ac:dyDescent="0.2">
      <c r="A1356" s="122"/>
      <c r="B1356" s="161" t="s">
        <v>93</v>
      </c>
      <c r="C1356" s="162">
        <v>24.9</v>
      </c>
      <c r="D1356" s="206">
        <v>26.5</v>
      </c>
      <c r="E1356" s="163">
        <v>0</v>
      </c>
      <c r="F1356" s="163">
        <v>1.6000000000000014</v>
      </c>
      <c r="G1356" s="164">
        <v>26.5</v>
      </c>
      <c r="H1356" s="163">
        <v>0.85539999999999994</v>
      </c>
      <c r="I1356" s="165">
        <v>3.2279245283018865</v>
      </c>
      <c r="J1356" s="164">
        <v>25.644600000000001</v>
      </c>
      <c r="K1356" s="163">
        <v>0</v>
      </c>
      <c r="L1356" s="163">
        <v>0</v>
      </c>
      <c r="M1356" s="163">
        <v>0</v>
      </c>
      <c r="N1356" s="163">
        <v>0.21360000000000001</v>
      </c>
      <c r="O1356" s="163">
        <v>0.80603773584905658</v>
      </c>
      <c r="P1356" s="163">
        <v>5.3400000000000003E-2</v>
      </c>
      <c r="Q1356" s="146" t="s">
        <v>186</v>
      </c>
      <c r="T1356" s="130"/>
    </row>
    <row r="1357" spans="1:20" ht="10.7" hidden="1" customHeight="1" x14ac:dyDescent="0.2">
      <c r="A1357" s="122"/>
      <c r="B1357" s="161" t="s">
        <v>94</v>
      </c>
      <c r="C1357" s="162">
        <v>0</v>
      </c>
      <c r="D1357" s="206">
        <v>0</v>
      </c>
      <c r="E1357" s="163">
        <v>0</v>
      </c>
      <c r="F1357" s="163">
        <v>0</v>
      </c>
      <c r="G1357" s="164">
        <v>0</v>
      </c>
      <c r="H1357" s="163">
        <v>0</v>
      </c>
      <c r="I1357" s="165" t="s">
        <v>119</v>
      </c>
      <c r="J1357" s="164">
        <v>0</v>
      </c>
      <c r="K1357" s="163">
        <v>0</v>
      </c>
      <c r="L1357" s="163">
        <v>0</v>
      </c>
      <c r="M1357" s="163">
        <v>0</v>
      </c>
      <c r="N1357" s="163">
        <v>0</v>
      </c>
      <c r="O1357" s="163" t="s">
        <v>42</v>
      </c>
      <c r="P1357" s="163">
        <v>0</v>
      </c>
      <c r="Q1357" s="146">
        <v>0</v>
      </c>
      <c r="T1357" s="130"/>
    </row>
    <row r="1358" spans="1:20" ht="10.7" customHeight="1" x14ac:dyDescent="0.2">
      <c r="A1358" s="122"/>
      <c r="B1358" s="161" t="s">
        <v>95</v>
      </c>
      <c r="C1358" s="162">
        <v>0</v>
      </c>
      <c r="D1358" s="206">
        <v>0</v>
      </c>
      <c r="E1358" s="163">
        <v>0</v>
      </c>
      <c r="F1358" s="163">
        <v>0</v>
      </c>
      <c r="G1358" s="164">
        <v>0</v>
      </c>
      <c r="H1358" s="163">
        <v>0</v>
      </c>
      <c r="I1358" s="165" t="s">
        <v>119</v>
      </c>
      <c r="J1358" s="164">
        <v>0</v>
      </c>
      <c r="K1358" s="163">
        <v>0</v>
      </c>
      <c r="L1358" s="163">
        <v>0</v>
      </c>
      <c r="M1358" s="163">
        <v>0</v>
      </c>
      <c r="N1358" s="163">
        <v>0</v>
      </c>
      <c r="O1358" s="163" t="s">
        <v>42</v>
      </c>
      <c r="P1358" s="163">
        <v>0</v>
      </c>
      <c r="Q1358" s="146">
        <v>0</v>
      </c>
      <c r="T1358" s="130"/>
    </row>
    <row r="1359" spans="1:20" ht="10.7" customHeight="1" x14ac:dyDescent="0.2">
      <c r="A1359" s="122"/>
      <c r="B1359" s="161" t="s">
        <v>96</v>
      </c>
      <c r="C1359" s="162">
        <v>5.6</v>
      </c>
      <c r="D1359" s="206">
        <v>6.6999999999999993</v>
      </c>
      <c r="E1359" s="163">
        <v>1.5999999999999996</v>
      </c>
      <c r="F1359" s="163">
        <v>1.0999999999999996</v>
      </c>
      <c r="G1359" s="164">
        <v>6.6999999999999993</v>
      </c>
      <c r="H1359" s="163">
        <v>0.4415</v>
      </c>
      <c r="I1359" s="165">
        <v>6.5895522388059709</v>
      </c>
      <c r="J1359" s="164">
        <v>6.2584999999999997</v>
      </c>
      <c r="K1359" s="163">
        <v>6.7100000000000007E-2</v>
      </c>
      <c r="L1359" s="163">
        <v>0</v>
      </c>
      <c r="M1359" s="163">
        <v>0.37440000000000001</v>
      </c>
      <c r="N1359" s="163">
        <v>0</v>
      </c>
      <c r="O1359" s="163">
        <v>0</v>
      </c>
      <c r="P1359" s="163">
        <v>0.110375</v>
      </c>
      <c r="Q1359" s="146" t="s">
        <v>186</v>
      </c>
      <c r="T1359" s="130"/>
    </row>
    <row r="1360" spans="1:20" ht="10.7" customHeight="1" x14ac:dyDescent="0.2">
      <c r="A1360" s="122"/>
      <c r="B1360" s="161" t="s">
        <v>97</v>
      </c>
      <c r="C1360" s="162">
        <v>2.4</v>
      </c>
      <c r="D1360" s="206">
        <v>2.4</v>
      </c>
      <c r="E1360" s="163">
        <v>0</v>
      </c>
      <c r="F1360" s="163">
        <v>0</v>
      </c>
      <c r="G1360" s="164">
        <v>2.4</v>
      </c>
      <c r="H1360" s="163">
        <v>0</v>
      </c>
      <c r="I1360" s="165">
        <v>0</v>
      </c>
      <c r="J1360" s="164">
        <v>2.4</v>
      </c>
      <c r="K1360" s="163">
        <v>0</v>
      </c>
      <c r="L1360" s="163">
        <v>0</v>
      </c>
      <c r="M1360" s="163">
        <v>0</v>
      </c>
      <c r="N1360" s="163">
        <v>0</v>
      </c>
      <c r="O1360" s="163">
        <v>0</v>
      </c>
      <c r="P1360" s="163">
        <v>0</v>
      </c>
      <c r="Q1360" s="146" t="s">
        <v>186</v>
      </c>
      <c r="T1360" s="130"/>
    </row>
    <row r="1361" spans="1:20" ht="10.7" customHeight="1" x14ac:dyDescent="0.2">
      <c r="A1361" s="122"/>
      <c r="B1361" s="161" t="s">
        <v>98</v>
      </c>
      <c r="C1361" s="162">
        <v>32.200000000000003</v>
      </c>
      <c r="D1361" s="206">
        <v>3.2000000000000028</v>
      </c>
      <c r="E1361" s="163">
        <v>-2</v>
      </c>
      <c r="F1361" s="163">
        <v>-29</v>
      </c>
      <c r="G1361" s="164">
        <v>3.2000000000000028</v>
      </c>
      <c r="H1361" s="163">
        <v>0</v>
      </c>
      <c r="I1361" s="165">
        <v>0</v>
      </c>
      <c r="J1361" s="164">
        <v>3.2000000000000028</v>
      </c>
      <c r="K1361" s="163">
        <v>0</v>
      </c>
      <c r="L1361" s="163">
        <v>0</v>
      </c>
      <c r="M1361" s="163">
        <v>0</v>
      </c>
      <c r="N1361" s="163">
        <v>0</v>
      </c>
      <c r="O1361" s="163">
        <v>0</v>
      </c>
      <c r="P1361" s="163">
        <v>0</v>
      </c>
      <c r="Q1361" s="146" t="s">
        <v>186</v>
      </c>
      <c r="T1361" s="130"/>
    </row>
    <row r="1362" spans="1:20" ht="10.7" customHeight="1" x14ac:dyDescent="0.2">
      <c r="A1362" s="122"/>
      <c r="B1362" s="161" t="s">
        <v>99</v>
      </c>
      <c r="C1362" s="162">
        <v>0</v>
      </c>
      <c r="D1362" s="206">
        <v>0</v>
      </c>
      <c r="E1362" s="163">
        <v>0</v>
      </c>
      <c r="F1362" s="163">
        <v>0</v>
      </c>
      <c r="G1362" s="164">
        <v>0</v>
      </c>
      <c r="H1362" s="163">
        <v>0</v>
      </c>
      <c r="I1362" s="165" t="s">
        <v>119</v>
      </c>
      <c r="J1362" s="164">
        <v>0</v>
      </c>
      <c r="K1362" s="163">
        <v>0</v>
      </c>
      <c r="L1362" s="163">
        <v>0</v>
      </c>
      <c r="M1362" s="163">
        <v>0</v>
      </c>
      <c r="N1362" s="163">
        <v>0</v>
      </c>
      <c r="O1362" s="163" t="s">
        <v>42</v>
      </c>
      <c r="P1362" s="163">
        <v>0</v>
      </c>
      <c r="Q1362" s="146">
        <v>0</v>
      </c>
      <c r="T1362" s="130"/>
    </row>
    <row r="1363" spans="1:20" ht="10.7" customHeight="1" x14ac:dyDescent="0.2">
      <c r="A1363" s="122"/>
      <c r="B1363" s="161" t="s">
        <v>100</v>
      </c>
      <c r="C1363" s="162">
        <v>4.5999999999999996</v>
      </c>
      <c r="D1363" s="206">
        <v>4.5999999999999996</v>
      </c>
      <c r="E1363" s="163">
        <v>0</v>
      </c>
      <c r="F1363" s="163">
        <v>0</v>
      </c>
      <c r="G1363" s="164">
        <v>4.5999999999999996</v>
      </c>
      <c r="H1363" s="163">
        <v>0</v>
      </c>
      <c r="I1363" s="165">
        <v>0</v>
      </c>
      <c r="J1363" s="164">
        <v>4.5999999999999996</v>
      </c>
      <c r="K1363" s="163">
        <v>0</v>
      </c>
      <c r="L1363" s="163">
        <v>0</v>
      </c>
      <c r="M1363" s="163">
        <v>0</v>
      </c>
      <c r="N1363" s="163">
        <v>0</v>
      </c>
      <c r="O1363" s="163">
        <v>0</v>
      </c>
      <c r="P1363" s="163">
        <v>0</v>
      </c>
      <c r="Q1363" s="146" t="s">
        <v>186</v>
      </c>
      <c r="T1363" s="130"/>
    </row>
    <row r="1364" spans="1:20" ht="10.7" customHeight="1" x14ac:dyDescent="0.2">
      <c r="A1364" s="122"/>
      <c r="B1364" s="161" t="s">
        <v>101</v>
      </c>
      <c r="C1364" s="162">
        <v>14.8</v>
      </c>
      <c r="D1364" s="206">
        <v>10.3</v>
      </c>
      <c r="E1364" s="163">
        <v>0</v>
      </c>
      <c r="F1364" s="163">
        <v>-4.5</v>
      </c>
      <c r="G1364" s="164">
        <v>10.3</v>
      </c>
      <c r="H1364" s="163">
        <v>0</v>
      </c>
      <c r="I1364" s="165">
        <v>0</v>
      </c>
      <c r="J1364" s="164">
        <v>10.3</v>
      </c>
      <c r="K1364" s="163">
        <v>0</v>
      </c>
      <c r="L1364" s="163">
        <v>0</v>
      </c>
      <c r="M1364" s="163">
        <v>0</v>
      </c>
      <c r="N1364" s="163">
        <v>0</v>
      </c>
      <c r="O1364" s="163">
        <v>0</v>
      </c>
      <c r="P1364" s="163">
        <v>0</v>
      </c>
      <c r="Q1364" s="146" t="s">
        <v>186</v>
      </c>
      <c r="T1364" s="130"/>
    </row>
    <row r="1365" spans="1:20" ht="10.7" customHeight="1" x14ac:dyDescent="0.2">
      <c r="A1365" s="122"/>
      <c r="B1365" s="161" t="s">
        <v>102</v>
      </c>
      <c r="C1365" s="162">
        <v>0</v>
      </c>
      <c r="D1365" s="206">
        <v>0</v>
      </c>
      <c r="E1365" s="163">
        <v>0</v>
      </c>
      <c r="F1365" s="163">
        <v>0</v>
      </c>
      <c r="G1365" s="164">
        <v>0</v>
      </c>
      <c r="H1365" s="163">
        <v>0</v>
      </c>
      <c r="I1365" s="165" t="s">
        <v>119</v>
      </c>
      <c r="J1365" s="164">
        <v>0</v>
      </c>
      <c r="K1365" s="163">
        <v>0</v>
      </c>
      <c r="L1365" s="163">
        <v>0</v>
      </c>
      <c r="M1365" s="163">
        <v>0</v>
      </c>
      <c r="N1365" s="163">
        <v>0</v>
      </c>
      <c r="O1365" s="163" t="s">
        <v>42</v>
      </c>
      <c r="P1365" s="163">
        <v>0</v>
      </c>
      <c r="Q1365" s="146" t="s">
        <v>162</v>
      </c>
      <c r="T1365" s="130"/>
    </row>
    <row r="1366" spans="1:20" ht="10.7" customHeight="1" x14ac:dyDescent="0.2">
      <c r="A1366" s="122"/>
      <c r="B1366" s="161" t="s">
        <v>103</v>
      </c>
      <c r="C1366" s="162">
        <v>0</v>
      </c>
      <c r="D1366" s="206">
        <v>0</v>
      </c>
      <c r="E1366" s="163">
        <v>0</v>
      </c>
      <c r="F1366" s="163">
        <v>0</v>
      </c>
      <c r="G1366" s="164">
        <v>0</v>
      </c>
      <c r="H1366" s="163">
        <v>0</v>
      </c>
      <c r="I1366" s="165" t="s">
        <v>119</v>
      </c>
      <c r="J1366" s="164">
        <v>0</v>
      </c>
      <c r="K1366" s="163">
        <v>0</v>
      </c>
      <c r="L1366" s="163">
        <v>0</v>
      </c>
      <c r="M1366" s="163">
        <v>0</v>
      </c>
      <c r="N1366" s="163">
        <v>0</v>
      </c>
      <c r="O1366" s="163" t="s">
        <v>42</v>
      </c>
      <c r="P1366" s="163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104</v>
      </c>
      <c r="C1367" s="162">
        <v>1.4</v>
      </c>
      <c r="D1367" s="206">
        <v>1.4</v>
      </c>
      <c r="E1367" s="163">
        <v>0</v>
      </c>
      <c r="F1367" s="163">
        <v>0</v>
      </c>
      <c r="G1367" s="164">
        <v>1.4</v>
      </c>
      <c r="H1367" s="163">
        <v>0</v>
      </c>
      <c r="I1367" s="165">
        <v>0</v>
      </c>
      <c r="J1367" s="164">
        <v>1.4</v>
      </c>
      <c r="K1367" s="163">
        <v>0</v>
      </c>
      <c r="L1367" s="163">
        <v>0</v>
      </c>
      <c r="M1367" s="163">
        <v>0</v>
      </c>
      <c r="N1367" s="163">
        <v>0</v>
      </c>
      <c r="O1367" s="163">
        <v>0</v>
      </c>
      <c r="P1367" s="163">
        <v>0</v>
      </c>
      <c r="Q1367" s="146" t="s">
        <v>186</v>
      </c>
      <c r="T1367" s="130"/>
    </row>
    <row r="1368" spans="1:20" ht="10.7" customHeight="1" x14ac:dyDescent="0.2">
      <c r="A1368" s="122"/>
      <c r="B1368" s="168" t="s">
        <v>106</v>
      </c>
      <c r="C1368" s="172">
        <v>305.10000000000002</v>
      </c>
      <c r="D1368" s="206">
        <v>268.09999999999997</v>
      </c>
      <c r="E1368" s="163">
        <v>0</v>
      </c>
      <c r="F1368" s="163">
        <v>-37.000000000000057</v>
      </c>
      <c r="G1368" s="164">
        <v>268.09999999999997</v>
      </c>
      <c r="H1368" s="163">
        <v>6.0049000000000001</v>
      </c>
      <c r="I1368" s="165">
        <v>2.2397985826184263</v>
      </c>
      <c r="J1368" s="164">
        <v>262.09509999999995</v>
      </c>
      <c r="K1368" s="163">
        <v>0.12810000000000077</v>
      </c>
      <c r="L1368" s="163">
        <v>0</v>
      </c>
      <c r="M1368" s="163">
        <v>0.37439999999999962</v>
      </c>
      <c r="N1368" s="163">
        <v>-4.6399999999999331E-2</v>
      </c>
      <c r="O1368" s="163">
        <v>-1.730697500932463E-2</v>
      </c>
      <c r="P1368" s="163">
        <v>0.11402500000000027</v>
      </c>
      <c r="Q1368" s="146" t="s">
        <v>186</v>
      </c>
      <c r="T1368" s="130"/>
    </row>
    <row r="1369" spans="1:20" ht="10.7" customHeight="1" x14ac:dyDescent="0.2">
      <c r="A1369" s="122"/>
      <c r="B1369" s="168"/>
      <c r="C1369" s="162"/>
      <c r="D1369" s="206"/>
      <c r="E1369" s="163"/>
      <c r="F1369" s="163"/>
      <c r="G1369" s="164"/>
      <c r="H1369" s="163"/>
      <c r="I1369" s="165"/>
      <c r="J1369" s="164"/>
      <c r="K1369" s="163"/>
      <c r="L1369" s="163"/>
      <c r="M1369" s="163"/>
      <c r="N1369" s="163"/>
      <c r="O1369" s="163"/>
      <c r="P1369" s="163"/>
      <c r="Q1369" s="146"/>
      <c r="T1369" s="130"/>
    </row>
    <row r="1370" spans="1:20" ht="10.7" customHeight="1" x14ac:dyDescent="0.2">
      <c r="A1370" s="122"/>
      <c r="B1370" s="161" t="s">
        <v>107</v>
      </c>
      <c r="C1370" s="162">
        <v>0</v>
      </c>
      <c r="D1370" s="206">
        <v>0</v>
      </c>
      <c r="E1370" s="163">
        <v>0</v>
      </c>
      <c r="F1370" s="163">
        <v>0</v>
      </c>
      <c r="G1370" s="164">
        <v>0</v>
      </c>
      <c r="H1370" s="163">
        <v>0</v>
      </c>
      <c r="I1370" s="165" t="s">
        <v>119</v>
      </c>
      <c r="J1370" s="164">
        <v>0</v>
      </c>
      <c r="K1370" s="163">
        <v>0</v>
      </c>
      <c r="L1370" s="163">
        <v>0</v>
      </c>
      <c r="M1370" s="163">
        <v>0</v>
      </c>
      <c r="N1370" s="163">
        <v>0</v>
      </c>
      <c r="O1370" s="163" t="s">
        <v>42</v>
      </c>
      <c r="P1370" s="163">
        <v>0</v>
      </c>
      <c r="Q1370" s="146">
        <v>0</v>
      </c>
      <c r="T1370" s="130"/>
    </row>
    <row r="1371" spans="1:20" ht="10.7" customHeight="1" x14ac:dyDescent="0.2">
      <c r="A1371" s="122"/>
      <c r="B1371" s="161" t="s">
        <v>108</v>
      </c>
      <c r="C1371" s="162">
        <v>0</v>
      </c>
      <c r="D1371" s="162">
        <v>0</v>
      </c>
      <c r="E1371" s="173">
        <v>0</v>
      </c>
      <c r="F1371" s="163">
        <v>0</v>
      </c>
      <c r="G1371" s="164">
        <v>0</v>
      </c>
      <c r="H1371" s="163">
        <v>0</v>
      </c>
      <c r="I1371" s="165" t="s">
        <v>119</v>
      </c>
      <c r="J1371" s="164">
        <v>0</v>
      </c>
      <c r="K1371" s="163">
        <v>0</v>
      </c>
      <c r="L1371" s="163">
        <v>0</v>
      </c>
      <c r="M1371" s="163">
        <v>0</v>
      </c>
      <c r="N1371" s="163">
        <v>0</v>
      </c>
      <c r="O1371" s="163" t="s">
        <v>42</v>
      </c>
      <c r="P1371" s="163">
        <v>0</v>
      </c>
      <c r="Q1371" s="146">
        <v>0</v>
      </c>
      <c r="T1371" s="130"/>
    </row>
    <row r="1372" spans="1:20" ht="10.7" customHeight="1" x14ac:dyDescent="0.2">
      <c r="A1372" s="122"/>
      <c r="B1372" s="174" t="s">
        <v>109</v>
      </c>
      <c r="C1372" s="162">
        <v>0</v>
      </c>
      <c r="D1372" s="162">
        <v>0</v>
      </c>
      <c r="E1372" s="173">
        <v>0</v>
      </c>
      <c r="F1372" s="163">
        <v>0</v>
      </c>
      <c r="G1372" s="164">
        <v>0</v>
      </c>
      <c r="H1372" s="163">
        <v>0</v>
      </c>
      <c r="I1372" s="165" t="s">
        <v>119</v>
      </c>
      <c r="J1372" s="164">
        <v>0</v>
      </c>
      <c r="K1372" s="163">
        <v>0</v>
      </c>
      <c r="L1372" s="163">
        <v>0</v>
      </c>
      <c r="M1372" s="163">
        <v>0</v>
      </c>
      <c r="N1372" s="163">
        <v>0</v>
      </c>
      <c r="O1372" s="163" t="s">
        <v>42</v>
      </c>
      <c r="P1372" s="163">
        <v>0</v>
      </c>
      <c r="Q1372" s="146">
        <v>0</v>
      </c>
      <c r="T1372" s="130"/>
    </row>
    <row r="1373" spans="1:20" ht="10.7" customHeight="1" x14ac:dyDescent="0.2">
      <c r="A1373" s="122"/>
      <c r="B1373" s="174"/>
      <c r="C1373" s="162"/>
      <c r="D1373" s="206"/>
      <c r="E1373" s="163"/>
      <c r="F1373" s="163"/>
      <c r="G1373" s="164"/>
      <c r="H1373" s="163"/>
      <c r="I1373" s="165"/>
      <c r="J1373" s="164"/>
      <c r="K1373" s="163"/>
      <c r="L1373" s="163"/>
      <c r="M1373" s="163"/>
      <c r="N1373" s="163"/>
      <c r="O1373" s="163"/>
      <c r="P1373" s="163"/>
      <c r="Q1373" s="146"/>
      <c r="T1373" s="130"/>
    </row>
    <row r="1374" spans="1:20" ht="10.7" customHeight="1" x14ac:dyDescent="0.2">
      <c r="A1374" s="122"/>
      <c r="B1374" s="174" t="s">
        <v>111</v>
      </c>
      <c r="C1374" s="162">
        <v>0</v>
      </c>
      <c r="D1374" s="206"/>
      <c r="E1374" s="163"/>
      <c r="F1374" s="163">
        <v>0</v>
      </c>
      <c r="G1374" s="164">
        <v>0</v>
      </c>
      <c r="H1374" s="163"/>
      <c r="I1374" s="165"/>
      <c r="J1374" s="164"/>
      <c r="K1374" s="163"/>
      <c r="L1374" s="163"/>
      <c r="M1374" s="163"/>
      <c r="N1374" s="163"/>
      <c r="O1374" s="163"/>
      <c r="P1374" s="163"/>
      <c r="Q1374" s="146"/>
      <c r="T1374" s="130"/>
    </row>
    <row r="1375" spans="1:20" ht="10.7" customHeight="1" x14ac:dyDescent="0.2">
      <c r="A1375" s="122"/>
      <c r="B1375" s="175" t="s">
        <v>112</v>
      </c>
      <c r="C1375" s="176">
        <v>305.10000000000002</v>
      </c>
      <c r="D1375" s="201">
        <v>268.09999999999997</v>
      </c>
      <c r="E1375" s="177">
        <v>0</v>
      </c>
      <c r="F1375" s="180">
        <v>-37.000000000000057</v>
      </c>
      <c r="G1375" s="189">
        <v>268.09999999999997</v>
      </c>
      <c r="H1375" s="180">
        <v>6.0049000000000001</v>
      </c>
      <c r="I1375" s="179">
        <v>2.2397985826184263</v>
      </c>
      <c r="J1375" s="189">
        <v>262.09509999999995</v>
      </c>
      <c r="K1375" s="180">
        <v>0.12810000000000077</v>
      </c>
      <c r="L1375" s="180">
        <v>0</v>
      </c>
      <c r="M1375" s="180">
        <v>0.37439999999999962</v>
      </c>
      <c r="N1375" s="180">
        <v>-4.6399999999999331E-2</v>
      </c>
      <c r="O1375" s="180">
        <v>-1.730697500932463E-2</v>
      </c>
      <c r="P1375" s="190">
        <v>0.11402500000000027</v>
      </c>
      <c r="Q1375" s="153" t="s">
        <v>186</v>
      </c>
      <c r="T1375" s="130"/>
    </row>
    <row r="1376" spans="1:20" ht="10.7" customHeight="1" x14ac:dyDescent="0.2">
      <c r="A1376" s="122"/>
      <c r="B1376" s="181"/>
      <c r="C1376" s="181"/>
      <c r="D1376" s="163"/>
      <c r="E1376" s="163"/>
      <c r="F1376" s="163"/>
      <c r="G1376" s="164"/>
      <c r="H1376" s="163"/>
      <c r="I1376" s="2"/>
      <c r="J1376" s="164"/>
      <c r="K1376" s="163"/>
      <c r="L1376" s="163"/>
      <c r="M1376" s="163"/>
      <c r="N1376" s="163"/>
      <c r="O1376" s="163"/>
      <c r="P1376" s="163"/>
      <c r="Q1376" s="182"/>
      <c r="T1376" s="130"/>
    </row>
    <row r="1377" spans="1:20" ht="10.7" customHeight="1" x14ac:dyDescent="0.2">
      <c r="A1377" s="122"/>
      <c r="B1377" s="181"/>
      <c r="C1377" s="181"/>
      <c r="D1377" s="135"/>
      <c r="E1377" s="183"/>
      <c r="F1377" s="183"/>
      <c r="G1377" s="184"/>
      <c r="H1377" s="183"/>
      <c r="I1377" s="163"/>
      <c r="J1377" s="184"/>
      <c r="K1377" s="185"/>
      <c r="L1377" s="185"/>
      <c r="M1377" s="185"/>
      <c r="N1377" s="185"/>
      <c r="O1377" s="173"/>
      <c r="P1377" s="183"/>
      <c r="Q1377" s="182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202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203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203" t="s">
        <v>74</v>
      </c>
      <c r="J1380" s="147" t="s">
        <v>75</v>
      </c>
      <c r="K1380" s="151">
        <v>43166</v>
      </c>
      <c r="L1380" s="151">
        <v>43173</v>
      </c>
      <c r="M1380" s="151">
        <v>43180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204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6"/>
      <c r="C1382" s="187" t="s">
        <v>130</v>
      </c>
      <c r="D1382" s="187"/>
      <c r="E1382" s="187"/>
      <c r="F1382" s="187"/>
      <c r="G1382" s="187"/>
      <c r="H1382" s="187"/>
      <c r="I1382" s="187"/>
      <c r="J1382" s="187"/>
      <c r="K1382" s="187"/>
      <c r="L1382" s="187"/>
      <c r="M1382" s="187"/>
      <c r="N1382" s="187"/>
      <c r="O1382" s="187"/>
      <c r="P1382" s="195"/>
      <c r="Q1382" s="145"/>
      <c r="T1382" s="130"/>
    </row>
    <row r="1383" spans="1:20" ht="10.7" customHeight="1" x14ac:dyDescent="0.2">
      <c r="A1383" s="122"/>
      <c r="B1383" s="161" t="s">
        <v>80</v>
      </c>
      <c r="C1383" s="162">
        <v>14.4</v>
      </c>
      <c r="D1383" s="206">
        <v>14.8</v>
      </c>
      <c r="E1383" s="163">
        <v>0.40000000000000036</v>
      </c>
      <c r="F1383" s="163">
        <v>0.40000000000000036</v>
      </c>
      <c r="G1383" s="164">
        <v>14.8</v>
      </c>
      <c r="H1383" s="163">
        <v>1.498</v>
      </c>
      <c r="I1383" s="165">
        <v>10.121621621621621</v>
      </c>
      <c r="J1383" s="164">
        <v>13.302000000000001</v>
      </c>
      <c r="K1383" s="163">
        <v>0.15700000000000003</v>
      </c>
      <c r="L1383" s="163">
        <v>0</v>
      </c>
      <c r="M1383" s="163">
        <v>0</v>
      </c>
      <c r="N1383" s="163">
        <v>0.33200000000000007</v>
      </c>
      <c r="O1383" s="163">
        <v>2.2432432432432434</v>
      </c>
      <c r="P1383" s="163">
        <v>0.12225000000000003</v>
      </c>
      <c r="Q1383" s="146" t="s">
        <v>186</v>
      </c>
      <c r="T1383" s="130"/>
    </row>
    <row r="1384" spans="1:20" ht="10.7" customHeight="1" x14ac:dyDescent="0.2">
      <c r="A1384" s="122"/>
      <c r="B1384" s="161" t="s">
        <v>81</v>
      </c>
      <c r="C1384" s="162">
        <v>19.7</v>
      </c>
      <c r="D1384" s="206">
        <v>19.7</v>
      </c>
      <c r="E1384" s="163">
        <v>0</v>
      </c>
      <c r="F1384" s="163">
        <v>0</v>
      </c>
      <c r="G1384" s="164">
        <v>19.7</v>
      </c>
      <c r="H1384" s="163">
        <v>0</v>
      </c>
      <c r="I1384" s="165">
        <v>0</v>
      </c>
      <c r="J1384" s="164">
        <v>19.7</v>
      </c>
      <c r="K1384" s="163">
        <v>0</v>
      </c>
      <c r="L1384" s="163">
        <v>0</v>
      </c>
      <c r="M1384" s="163">
        <v>0</v>
      </c>
      <c r="N1384" s="163">
        <v>0</v>
      </c>
      <c r="O1384" s="163">
        <v>0</v>
      </c>
      <c r="P1384" s="163">
        <v>0</v>
      </c>
      <c r="Q1384" s="146" t="s">
        <v>186</v>
      </c>
      <c r="T1384" s="130"/>
    </row>
    <row r="1385" spans="1:20" ht="10.7" customHeight="1" x14ac:dyDescent="0.2">
      <c r="A1385" s="122"/>
      <c r="B1385" s="161" t="s">
        <v>82</v>
      </c>
      <c r="C1385" s="162">
        <v>17.3</v>
      </c>
      <c r="D1385" s="206">
        <v>14.100000000000001</v>
      </c>
      <c r="E1385" s="163">
        <v>0</v>
      </c>
      <c r="F1385" s="163">
        <v>-3.1999999999999993</v>
      </c>
      <c r="G1385" s="164">
        <v>14.100000000000001</v>
      </c>
      <c r="H1385" s="163">
        <v>0.246</v>
      </c>
      <c r="I1385" s="165">
        <v>1.7446808510638296</v>
      </c>
      <c r="J1385" s="164">
        <v>13.854000000000001</v>
      </c>
      <c r="K1385" s="163">
        <v>0</v>
      </c>
      <c r="L1385" s="163">
        <v>0</v>
      </c>
      <c r="M1385" s="163">
        <v>0</v>
      </c>
      <c r="N1385" s="163">
        <v>0</v>
      </c>
      <c r="O1385" s="163">
        <v>0</v>
      </c>
      <c r="P1385" s="163">
        <v>0</v>
      </c>
      <c r="Q1385" s="146" t="s">
        <v>186</v>
      </c>
      <c r="T1385" s="130"/>
    </row>
    <row r="1386" spans="1:20" ht="10.7" customHeight="1" x14ac:dyDescent="0.2">
      <c r="A1386" s="122"/>
      <c r="B1386" s="161" t="s">
        <v>83</v>
      </c>
      <c r="C1386" s="162">
        <v>3.1</v>
      </c>
      <c r="D1386" s="206">
        <v>3.1</v>
      </c>
      <c r="E1386" s="163">
        <v>0</v>
      </c>
      <c r="F1386" s="163">
        <v>0</v>
      </c>
      <c r="G1386" s="164">
        <v>3.1</v>
      </c>
      <c r="H1386" s="163">
        <v>0</v>
      </c>
      <c r="I1386" s="165">
        <v>0</v>
      </c>
      <c r="J1386" s="164">
        <v>3.1</v>
      </c>
      <c r="K1386" s="163">
        <v>0</v>
      </c>
      <c r="L1386" s="163">
        <v>0</v>
      </c>
      <c r="M1386" s="163">
        <v>0</v>
      </c>
      <c r="N1386" s="163">
        <v>0</v>
      </c>
      <c r="O1386" s="163">
        <v>0</v>
      </c>
      <c r="P1386" s="163">
        <v>0</v>
      </c>
      <c r="Q1386" s="146" t="s">
        <v>186</v>
      </c>
      <c r="T1386" s="130"/>
    </row>
    <row r="1387" spans="1:20" ht="10.7" customHeight="1" x14ac:dyDescent="0.2">
      <c r="A1387" s="122"/>
      <c r="B1387" s="161" t="s">
        <v>84</v>
      </c>
      <c r="C1387" s="162">
        <v>0.1</v>
      </c>
      <c r="D1387" s="206">
        <v>0.1</v>
      </c>
      <c r="E1387" s="163">
        <v>0</v>
      </c>
      <c r="F1387" s="163">
        <v>0</v>
      </c>
      <c r="G1387" s="164">
        <v>0.1</v>
      </c>
      <c r="H1387" s="163">
        <v>0</v>
      </c>
      <c r="I1387" s="165">
        <v>0</v>
      </c>
      <c r="J1387" s="164">
        <v>0.1</v>
      </c>
      <c r="K1387" s="163">
        <v>0</v>
      </c>
      <c r="L1387" s="163">
        <v>0</v>
      </c>
      <c r="M1387" s="163">
        <v>0</v>
      </c>
      <c r="N1387" s="163">
        <v>0</v>
      </c>
      <c r="O1387" s="163">
        <v>0</v>
      </c>
      <c r="P1387" s="163">
        <v>0</v>
      </c>
      <c r="Q1387" s="146" t="s">
        <v>162</v>
      </c>
      <c r="T1387" s="130"/>
    </row>
    <row r="1388" spans="1:20" ht="10.7" customHeight="1" x14ac:dyDescent="0.2">
      <c r="A1388" s="122"/>
      <c r="B1388" s="161" t="s">
        <v>85</v>
      </c>
      <c r="C1388" s="162">
        <v>3</v>
      </c>
      <c r="D1388" s="206">
        <v>0.40000000000000036</v>
      </c>
      <c r="E1388" s="163">
        <v>0</v>
      </c>
      <c r="F1388" s="163">
        <v>-2.5999999999999996</v>
      </c>
      <c r="G1388" s="164">
        <v>0.40000000000000036</v>
      </c>
      <c r="H1388" s="163">
        <v>0</v>
      </c>
      <c r="I1388" s="165">
        <v>0</v>
      </c>
      <c r="J1388" s="164">
        <v>0.40000000000000036</v>
      </c>
      <c r="K1388" s="163">
        <v>0</v>
      </c>
      <c r="L1388" s="163">
        <v>0</v>
      </c>
      <c r="M1388" s="163">
        <v>0</v>
      </c>
      <c r="N1388" s="163">
        <v>0</v>
      </c>
      <c r="O1388" s="163">
        <v>0</v>
      </c>
      <c r="P1388" s="163">
        <v>0</v>
      </c>
      <c r="Q1388" s="146" t="s">
        <v>186</v>
      </c>
      <c r="T1388" s="130"/>
    </row>
    <row r="1389" spans="1:20" ht="10.7" customHeight="1" x14ac:dyDescent="0.2">
      <c r="A1389" s="122"/>
      <c r="B1389" s="161" t="s">
        <v>86</v>
      </c>
      <c r="C1389" s="162">
        <v>1.9</v>
      </c>
      <c r="D1389" s="206">
        <v>1.9</v>
      </c>
      <c r="E1389" s="163">
        <v>0</v>
      </c>
      <c r="F1389" s="163">
        <v>0</v>
      </c>
      <c r="G1389" s="164">
        <v>1.9</v>
      </c>
      <c r="H1389" s="163">
        <v>8.7999999999999995E-2</v>
      </c>
      <c r="I1389" s="165">
        <v>4.6315789473684204</v>
      </c>
      <c r="J1389" s="164">
        <v>1.8119999999999998</v>
      </c>
      <c r="K1389" s="163">
        <v>0</v>
      </c>
      <c r="L1389" s="163">
        <v>0</v>
      </c>
      <c r="M1389" s="163">
        <v>0</v>
      </c>
      <c r="N1389" s="163">
        <v>-0.33599999999999997</v>
      </c>
      <c r="O1389" s="163">
        <v>-17.684210526315788</v>
      </c>
      <c r="P1389" s="163">
        <v>-8.3999999999999991E-2</v>
      </c>
      <c r="Q1389" s="146" t="s">
        <v>186</v>
      </c>
      <c r="T1389" s="130"/>
    </row>
    <row r="1390" spans="1:20" ht="10.7" customHeight="1" x14ac:dyDescent="0.2">
      <c r="A1390" s="122"/>
      <c r="B1390" s="161" t="s">
        <v>87</v>
      </c>
      <c r="C1390" s="162">
        <v>0.8</v>
      </c>
      <c r="D1390" s="206">
        <v>0.8</v>
      </c>
      <c r="E1390" s="163">
        <v>0</v>
      </c>
      <c r="F1390" s="163">
        <v>0</v>
      </c>
      <c r="G1390" s="164">
        <v>0.8</v>
      </c>
      <c r="H1390" s="163">
        <v>0</v>
      </c>
      <c r="I1390" s="165">
        <v>0</v>
      </c>
      <c r="J1390" s="164">
        <v>0.8</v>
      </c>
      <c r="K1390" s="163">
        <v>0</v>
      </c>
      <c r="L1390" s="163">
        <v>0</v>
      </c>
      <c r="M1390" s="163">
        <v>0</v>
      </c>
      <c r="N1390" s="163">
        <v>0</v>
      </c>
      <c r="O1390" s="163">
        <v>0</v>
      </c>
      <c r="P1390" s="163">
        <v>0</v>
      </c>
      <c r="Q1390" s="146" t="s">
        <v>186</v>
      </c>
      <c r="T1390" s="130"/>
    </row>
    <row r="1391" spans="1:20" ht="10.7" customHeight="1" x14ac:dyDescent="0.2">
      <c r="A1391" s="122"/>
      <c r="B1391" s="161" t="s">
        <v>88</v>
      </c>
      <c r="C1391" s="162">
        <v>0</v>
      </c>
      <c r="D1391" s="206">
        <v>0</v>
      </c>
      <c r="E1391" s="163">
        <v>0</v>
      </c>
      <c r="F1391" s="163">
        <v>0</v>
      </c>
      <c r="G1391" s="164">
        <v>0</v>
      </c>
      <c r="H1391" s="163">
        <v>0</v>
      </c>
      <c r="I1391" s="165" t="s">
        <v>119</v>
      </c>
      <c r="J1391" s="164">
        <v>0</v>
      </c>
      <c r="K1391" s="163">
        <v>0</v>
      </c>
      <c r="L1391" s="163">
        <v>0</v>
      </c>
      <c r="M1391" s="163">
        <v>0</v>
      </c>
      <c r="N1391" s="163">
        <v>0</v>
      </c>
      <c r="O1391" s="163" t="s">
        <v>42</v>
      </c>
      <c r="P1391" s="163">
        <v>0</v>
      </c>
      <c r="Q1391" s="146" t="s">
        <v>162</v>
      </c>
      <c r="T1391" s="130"/>
    </row>
    <row r="1392" spans="1:20" ht="10.7" customHeight="1" x14ac:dyDescent="0.2">
      <c r="A1392" s="122"/>
      <c r="B1392" s="161" t="s">
        <v>89</v>
      </c>
      <c r="C1392" s="162">
        <v>6.7</v>
      </c>
      <c r="D1392" s="206">
        <v>7.1000000000000005</v>
      </c>
      <c r="E1392" s="163">
        <v>0</v>
      </c>
      <c r="F1392" s="163">
        <v>0.40000000000000036</v>
      </c>
      <c r="G1392" s="164">
        <v>7.1000000000000005</v>
      </c>
      <c r="H1392" s="163">
        <v>0</v>
      </c>
      <c r="I1392" s="165">
        <v>0</v>
      </c>
      <c r="J1392" s="164">
        <v>7.1000000000000005</v>
      </c>
      <c r="K1392" s="163">
        <v>0</v>
      </c>
      <c r="L1392" s="163">
        <v>0</v>
      </c>
      <c r="M1392" s="163">
        <v>0</v>
      </c>
      <c r="N1392" s="163">
        <v>0</v>
      </c>
      <c r="O1392" s="163">
        <v>0</v>
      </c>
      <c r="P1392" s="163">
        <v>0</v>
      </c>
      <c r="Q1392" s="146" t="s">
        <v>186</v>
      </c>
      <c r="T1392" s="130"/>
    </row>
    <row r="1393" spans="1:20" ht="10.7" customHeight="1" x14ac:dyDescent="0.2">
      <c r="A1393" s="122"/>
      <c r="B1393" s="168" t="s">
        <v>91</v>
      </c>
      <c r="C1393" s="162">
        <v>67</v>
      </c>
      <c r="D1393" s="206">
        <v>62</v>
      </c>
      <c r="E1393" s="163">
        <v>0.40000000000000036</v>
      </c>
      <c r="F1393" s="163">
        <v>-5.3999999999999986</v>
      </c>
      <c r="G1393" s="164">
        <v>62</v>
      </c>
      <c r="H1393" s="163">
        <v>1.8320000000000001</v>
      </c>
      <c r="I1393" s="165">
        <v>2.9548387096774196</v>
      </c>
      <c r="J1393" s="164">
        <v>60.167999999999999</v>
      </c>
      <c r="K1393" s="163">
        <v>0.15700000000000003</v>
      </c>
      <c r="L1393" s="163">
        <v>0</v>
      </c>
      <c r="M1393" s="163">
        <v>0</v>
      </c>
      <c r="N1393" s="163">
        <v>-3.9999999999998925E-3</v>
      </c>
      <c r="O1393" s="163">
        <v>-6.451612903225633E-3</v>
      </c>
      <c r="P1393" s="169">
        <v>3.8250000000000034E-2</v>
      </c>
      <c r="Q1393" s="146" t="s">
        <v>186</v>
      </c>
      <c r="T1393" s="130"/>
    </row>
    <row r="1394" spans="1:20" ht="10.7" customHeight="1" x14ac:dyDescent="0.2">
      <c r="A1394" s="122"/>
      <c r="B1394" s="168"/>
      <c r="D1394" s="206"/>
      <c r="E1394" s="163"/>
      <c r="F1394" s="163"/>
      <c r="G1394" s="164"/>
      <c r="H1394" s="163"/>
      <c r="I1394" s="165"/>
      <c r="J1394" s="164"/>
      <c r="K1394" s="163"/>
      <c r="L1394" s="163"/>
      <c r="M1394" s="163"/>
      <c r="N1394" s="163"/>
      <c r="O1394" s="163"/>
      <c r="P1394" s="163"/>
      <c r="Q1394" s="146"/>
      <c r="T1394" s="130"/>
    </row>
    <row r="1395" spans="1:20" ht="10.7" customHeight="1" x14ac:dyDescent="0.2">
      <c r="A1395" s="122"/>
      <c r="B1395" s="161" t="s">
        <v>92</v>
      </c>
      <c r="C1395" s="162">
        <v>9</v>
      </c>
      <c r="D1395" s="206">
        <v>9</v>
      </c>
      <c r="E1395" s="163">
        <v>0</v>
      </c>
      <c r="F1395" s="163">
        <v>0</v>
      </c>
      <c r="G1395" s="164">
        <v>9</v>
      </c>
      <c r="H1395" s="163">
        <v>0</v>
      </c>
      <c r="I1395" s="165">
        <v>0</v>
      </c>
      <c r="J1395" s="164">
        <v>9</v>
      </c>
      <c r="K1395" s="163">
        <v>0</v>
      </c>
      <c r="L1395" s="163">
        <v>0</v>
      </c>
      <c r="M1395" s="163">
        <v>0</v>
      </c>
      <c r="N1395" s="163">
        <v>0</v>
      </c>
      <c r="O1395" s="163">
        <v>0</v>
      </c>
      <c r="P1395" s="163">
        <v>0</v>
      </c>
      <c r="Q1395" s="146" t="s">
        <v>186</v>
      </c>
      <c r="T1395" s="130"/>
    </row>
    <row r="1396" spans="1:20" ht="10.7" customHeight="1" x14ac:dyDescent="0.2">
      <c r="A1396" s="122"/>
      <c r="B1396" s="161" t="s">
        <v>93</v>
      </c>
      <c r="C1396" s="162">
        <v>18.7</v>
      </c>
      <c r="D1396" s="206">
        <v>21.5</v>
      </c>
      <c r="E1396" s="163">
        <v>0</v>
      </c>
      <c r="F1396" s="163">
        <v>2.8000000000000007</v>
      </c>
      <c r="G1396" s="164">
        <v>21.5</v>
      </c>
      <c r="H1396" s="163">
        <v>1.8110000000000002</v>
      </c>
      <c r="I1396" s="165">
        <v>8.4232558139534888</v>
      </c>
      <c r="J1396" s="164">
        <v>19.689</v>
      </c>
      <c r="K1396" s="163">
        <v>0</v>
      </c>
      <c r="L1396" s="163">
        <v>0</v>
      </c>
      <c r="M1396" s="163">
        <v>5.5200000000000138E-2</v>
      </c>
      <c r="N1396" s="163">
        <v>0.54</v>
      </c>
      <c r="O1396" s="163">
        <v>2.5116279069767442</v>
      </c>
      <c r="P1396" s="163">
        <v>0.14880000000000004</v>
      </c>
      <c r="Q1396" s="146" t="s">
        <v>186</v>
      </c>
      <c r="T1396" s="130"/>
    </row>
    <row r="1397" spans="1:20" ht="10.7" hidden="1" customHeight="1" x14ac:dyDescent="0.2">
      <c r="A1397" s="122"/>
      <c r="B1397" s="161" t="s">
        <v>94</v>
      </c>
      <c r="C1397" s="162">
        <v>0</v>
      </c>
      <c r="D1397" s="206">
        <v>0</v>
      </c>
      <c r="E1397" s="163">
        <v>0</v>
      </c>
      <c r="F1397" s="163">
        <v>0</v>
      </c>
      <c r="G1397" s="164">
        <v>0</v>
      </c>
      <c r="H1397" s="163">
        <v>0</v>
      </c>
      <c r="I1397" s="165" t="s">
        <v>119</v>
      </c>
      <c r="J1397" s="164">
        <v>0</v>
      </c>
      <c r="K1397" s="163">
        <v>0</v>
      </c>
      <c r="L1397" s="163">
        <v>0</v>
      </c>
      <c r="M1397" s="163">
        <v>0</v>
      </c>
      <c r="N1397" s="163">
        <v>0</v>
      </c>
      <c r="O1397" s="163" t="s">
        <v>42</v>
      </c>
      <c r="P1397" s="163">
        <v>0</v>
      </c>
      <c r="Q1397" s="146" t="s">
        <v>162</v>
      </c>
      <c r="T1397" s="130"/>
    </row>
    <row r="1398" spans="1:20" ht="10.7" customHeight="1" x14ac:dyDescent="0.2">
      <c r="A1398" s="122"/>
      <c r="B1398" s="161" t="s">
        <v>95</v>
      </c>
      <c r="C1398" s="162">
        <v>0</v>
      </c>
      <c r="D1398" s="206">
        <v>0</v>
      </c>
      <c r="E1398" s="163">
        <v>0</v>
      </c>
      <c r="F1398" s="163">
        <v>0</v>
      </c>
      <c r="G1398" s="164">
        <v>0</v>
      </c>
      <c r="H1398" s="163">
        <v>0</v>
      </c>
      <c r="I1398" s="165" t="s">
        <v>119</v>
      </c>
      <c r="J1398" s="164">
        <v>0</v>
      </c>
      <c r="K1398" s="163">
        <v>0</v>
      </c>
      <c r="L1398" s="163">
        <v>0</v>
      </c>
      <c r="M1398" s="163">
        <v>0</v>
      </c>
      <c r="N1398" s="163">
        <v>0</v>
      </c>
      <c r="O1398" s="163" t="s">
        <v>42</v>
      </c>
      <c r="P1398" s="163">
        <v>0</v>
      </c>
      <c r="Q1398" s="146">
        <v>0</v>
      </c>
      <c r="T1398" s="130"/>
    </row>
    <row r="1399" spans="1:20" ht="10.7" customHeight="1" x14ac:dyDescent="0.2">
      <c r="A1399" s="122"/>
      <c r="B1399" s="161" t="s">
        <v>96</v>
      </c>
      <c r="C1399" s="162">
        <v>3.6</v>
      </c>
      <c r="D1399" s="206">
        <v>2.8</v>
      </c>
      <c r="E1399" s="163">
        <v>-0.40000000000000036</v>
      </c>
      <c r="F1399" s="163">
        <v>-0.80000000000000027</v>
      </c>
      <c r="G1399" s="164">
        <v>2.8</v>
      </c>
      <c r="H1399" s="163">
        <v>0.68400000000000005</v>
      </c>
      <c r="I1399" s="165">
        <v>24.428571428571431</v>
      </c>
      <c r="J1399" s="164">
        <v>2.1159999999999997</v>
      </c>
      <c r="K1399" s="163">
        <v>0.22799999999999998</v>
      </c>
      <c r="L1399" s="163">
        <v>0</v>
      </c>
      <c r="M1399" s="163">
        <v>0.21600000000000003</v>
      </c>
      <c r="N1399" s="163">
        <v>6.0000000000000053E-2</v>
      </c>
      <c r="O1399" s="163">
        <v>2.142857142857145</v>
      </c>
      <c r="P1399" s="163">
        <v>0.126</v>
      </c>
      <c r="Q1399" s="146">
        <v>14.793650793650791</v>
      </c>
      <c r="T1399" s="130"/>
    </row>
    <row r="1400" spans="1:20" ht="10.7" customHeight="1" x14ac:dyDescent="0.2">
      <c r="A1400" s="122"/>
      <c r="B1400" s="161" t="s">
        <v>97</v>
      </c>
      <c r="C1400" s="162">
        <v>0.5</v>
      </c>
      <c r="D1400" s="206">
        <v>0.5</v>
      </c>
      <c r="E1400" s="163">
        <v>0</v>
      </c>
      <c r="F1400" s="163">
        <v>0</v>
      </c>
      <c r="G1400" s="164">
        <v>0.5</v>
      </c>
      <c r="H1400" s="163">
        <v>0</v>
      </c>
      <c r="I1400" s="165">
        <v>0</v>
      </c>
      <c r="J1400" s="164">
        <v>0.5</v>
      </c>
      <c r="K1400" s="163">
        <v>0</v>
      </c>
      <c r="L1400" s="163">
        <v>0</v>
      </c>
      <c r="M1400" s="163">
        <v>0</v>
      </c>
      <c r="N1400" s="163">
        <v>0</v>
      </c>
      <c r="O1400" s="163">
        <v>0</v>
      </c>
      <c r="P1400" s="163">
        <v>0</v>
      </c>
      <c r="Q1400" s="146" t="s">
        <v>186</v>
      </c>
      <c r="T1400" s="130"/>
    </row>
    <row r="1401" spans="1:20" ht="10.7" customHeight="1" x14ac:dyDescent="0.2">
      <c r="A1401" s="122"/>
      <c r="B1401" s="161" t="s">
        <v>98</v>
      </c>
      <c r="C1401" s="162">
        <v>7.2</v>
      </c>
      <c r="D1401" s="206">
        <v>9.1999999999999993</v>
      </c>
      <c r="E1401" s="163">
        <v>0</v>
      </c>
      <c r="F1401" s="163">
        <v>1.9999999999999991</v>
      </c>
      <c r="G1401" s="164">
        <v>9.1999999999999993</v>
      </c>
      <c r="H1401" s="163">
        <v>6.8400000000000002E-2</v>
      </c>
      <c r="I1401" s="165">
        <v>0.74347826086956526</v>
      </c>
      <c r="J1401" s="164">
        <v>9.1315999999999988</v>
      </c>
      <c r="K1401" s="163">
        <v>0</v>
      </c>
      <c r="L1401" s="163">
        <v>0</v>
      </c>
      <c r="M1401" s="163">
        <v>0</v>
      </c>
      <c r="N1401" s="163">
        <v>0</v>
      </c>
      <c r="O1401" s="163">
        <v>0</v>
      </c>
      <c r="P1401" s="163">
        <v>0</v>
      </c>
      <c r="Q1401" s="146" t="s">
        <v>186</v>
      </c>
      <c r="T1401" s="130"/>
    </row>
    <row r="1402" spans="1:20" ht="10.7" customHeight="1" x14ac:dyDescent="0.2">
      <c r="A1402" s="122"/>
      <c r="B1402" s="161" t="s">
        <v>99</v>
      </c>
      <c r="C1402" s="162">
        <v>0</v>
      </c>
      <c r="D1402" s="206">
        <v>0</v>
      </c>
      <c r="E1402" s="163">
        <v>0</v>
      </c>
      <c r="F1402" s="163">
        <v>0</v>
      </c>
      <c r="G1402" s="164">
        <v>0</v>
      </c>
      <c r="H1402" s="163">
        <v>0</v>
      </c>
      <c r="I1402" s="165" t="s">
        <v>119</v>
      </c>
      <c r="J1402" s="164">
        <v>0</v>
      </c>
      <c r="K1402" s="163">
        <v>0</v>
      </c>
      <c r="L1402" s="163">
        <v>0</v>
      </c>
      <c r="M1402" s="163">
        <v>0</v>
      </c>
      <c r="N1402" s="163">
        <v>0</v>
      </c>
      <c r="O1402" s="163" t="s">
        <v>42</v>
      </c>
      <c r="P1402" s="163">
        <v>0</v>
      </c>
      <c r="Q1402" s="146">
        <v>0</v>
      </c>
      <c r="T1402" s="130"/>
    </row>
    <row r="1403" spans="1:20" ht="10.7" customHeight="1" x14ac:dyDescent="0.2">
      <c r="A1403" s="122"/>
      <c r="B1403" s="161" t="s">
        <v>100</v>
      </c>
      <c r="C1403" s="162">
        <v>0</v>
      </c>
      <c r="D1403" s="206">
        <v>2</v>
      </c>
      <c r="E1403" s="163">
        <v>0</v>
      </c>
      <c r="F1403" s="163">
        <v>2</v>
      </c>
      <c r="G1403" s="164">
        <v>2</v>
      </c>
      <c r="H1403" s="163">
        <v>0</v>
      </c>
      <c r="I1403" s="165">
        <v>0</v>
      </c>
      <c r="J1403" s="164">
        <v>2</v>
      </c>
      <c r="K1403" s="163">
        <v>0</v>
      </c>
      <c r="L1403" s="163">
        <v>0</v>
      </c>
      <c r="M1403" s="163">
        <v>0</v>
      </c>
      <c r="N1403" s="163">
        <v>0</v>
      </c>
      <c r="O1403" s="163">
        <v>0</v>
      </c>
      <c r="P1403" s="163">
        <v>0</v>
      </c>
      <c r="Q1403" s="146" t="s">
        <v>186</v>
      </c>
      <c r="T1403" s="130"/>
    </row>
    <row r="1404" spans="1:20" ht="10.7" customHeight="1" x14ac:dyDescent="0.2">
      <c r="A1404" s="122"/>
      <c r="B1404" s="161" t="s">
        <v>101</v>
      </c>
      <c r="C1404" s="162">
        <v>0.1</v>
      </c>
      <c r="D1404" s="206">
        <v>0.1</v>
      </c>
      <c r="E1404" s="163">
        <v>0</v>
      </c>
      <c r="F1404" s="163">
        <v>0</v>
      </c>
      <c r="G1404" s="164">
        <v>0.1</v>
      </c>
      <c r="H1404" s="163">
        <v>0</v>
      </c>
      <c r="I1404" s="165">
        <v>0</v>
      </c>
      <c r="J1404" s="164">
        <v>0.1</v>
      </c>
      <c r="K1404" s="163">
        <v>0</v>
      </c>
      <c r="L1404" s="163">
        <v>0</v>
      </c>
      <c r="M1404" s="163">
        <v>0</v>
      </c>
      <c r="N1404" s="163">
        <v>0</v>
      </c>
      <c r="O1404" s="163">
        <v>0</v>
      </c>
      <c r="P1404" s="163">
        <v>0</v>
      </c>
      <c r="Q1404" s="146" t="s">
        <v>186</v>
      </c>
      <c r="T1404" s="130"/>
    </row>
    <row r="1405" spans="1:20" ht="10.7" customHeight="1" x14ac:dyDescent="0.2">
      <c r="A1405" s="122"/>
      <c r="B1405" s="161" t="s">
        <v>102</v>
      </c>
      <c r="C1405" s="162">
        <v>0</v>
      </c>
      <c r="D1405" s="206">
        <v>0</v>
      </c>
      <c r="E1405" s="163">
        <v>0</v>
      </c>
      <c r="F1405" s="163">
        <v>0</v>
      </c>
      <c r="G1405" s="164">
        <v>0</v>
      </c>
      <c r="H1405" s="163">
        <v>0</v>
      </c>
      <c r="I1405" s="165" t="s">
        <v>119</v>
      </c>
      <c r="J1405" s="164">
        <v>0</v>
      </c>
      <c r="K1405" s="163">
        <v>0</v>
      </c>
      <c r="L1405" s="163">
        <v>0</v>
      </c>
      <c r="M1405" s="163">
        <v>0</v>
      </c>
      <c r="N1405" s="163">
        <v>0</v>
      </c>
      <c r="O1405" s="163" t="s">
        <v>42</v>
      </c>
      <c r="P1405" s="163">
        <v>0</v>
      </c>
      <c r="Q1405" s="146" t="s">
        <v>162</v>
      </c>
      <c r="T1405" s="130"/>
    </row>
    <row r="1406" spans="1:20" ht="10.7" customHeight="1" x14ac:dyDescent="0.2">
      <c r="A1406" s="122"/>
      <c r="B1406" s="161" t="s">
        <v>103</v>
      </c>
      <c r="C1406" s="162">
        <v>0</v>
      </c>
      <c r="D1406" s="206">
        <v>0</v>
      </c>
      <c r="E1406" s="163">
        <v>0</v>
      </c>
      <c r="F1406" s="163">
        <v>0</v>
      </c>
      <c r="G1406" s="164">
        <v>0</v>
      </c>
      <c r="H1406" s="163">
        <v>0</v>
      </c>
      <c r="I1406" s="165" t="s">
        <v>119</v>
      </c>
      <c r="J1406" s="164">
        <v>0</v>
      </c>
      <c r="K1406" s="163">
        <v>0</v>
      </c>
      <c r="L1406" s="163">
        <v>0</v>
      </c>
      <c r="M1406" s="163">
        <v>0</v>
      </c>
      <c r="N1406" s="163">
        <v>0</v>
      </c>
      <c r="O1406" s="163" t="s">
        <v>42</v>
      </c>
      <c r="P1406" s="163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104</v>
      </c>
      <c r="C1407" s="162">
        <v>0</v>
      </c>
      <c r="D1407" s="206">
        <v>0</v>
      </c>
      <c r="E1407" s="163">
        <v>0</v>
      </c>
      <c r="F1407" s="163">
        <v>0</v>
      </c>
      <c r="G1407" s="164">
        <v>0</v>
      </c>
      <c r="H1407" s="163">
        <v>0</v>
      </c>
      <c r="I1407" s="165" t="s">
        <v>119</v>
      </c>
      <c r="J1407" s="164">
        <v>0</v>
      </c>
      <c r="K1407" s="163">
        <v>0</v>
      </c>
      <c r="L1407" s="163">
        <v>0</v>
      </c>
      <c r="M1407" s="163">
        <v>0</v>
      </c>
      <c r="N1407" s="163">
        <v>0</v>
      </c>
      <c r="O1407" s="163" t="s">
        <v>42</v>
      </c>
      <c r="P1407" s="163">
        <v>0</v>
      </c>
      <c r="Q1407" s="146">
        <v>0</v>
      </c>
      <c r="T1407" s="130"/>
    </row>
    <row r="1408" spans="1:20" ht="10.7" customHeight="1" x14ac:dyDescent="0.2">
      <c r="A1408" s="122"/>
      <c r="B1408" s="168" t="s">
        <v>106</v>
      </c>
      <c r="C1408" s="172">
        <v>106.1</v>
      </c>
      <c r="D1408" s="206">
        <v>107.1</v>
      </c>
      <c r="E1408" s="163">
        <v>0</v>
      </c>
      <c r="F1408" s="163">
        <v>1</v>
      </c>
      <c r="G1408" s="164">
        <v>107.1</v>
      </c>
      <c r="H1408" s="163">
        <v>4.3954000000000004</v>
      </c>
      <c r="I1408" s="165">
        <v>4.1040149393090575</v>
      </c>
      <c r="J1408" s="164">
        <v>102.7046</v>
      </c>
      <c r="K1408" s="163">
        <v>0.38500000000000023</v>
      </c>
      <c r="L1408" s="163">
        <v>0</v>
      </c>
      <c r="M1408" s="163">
        <v>0.27119999999999989</v>
      </c>
      <c r="N1408" s="163">
        <v>0.59600000000000053</v>
      </c>
      <c r="O1408" s="163">
        <v>0.55648926237161589</v>
      </c>
      <c r="P1408" s="163">
        <v>0.31305000000000016</v>
      </c>
      <c r="Q1408" s="146" t="s">
        <v>186</v>
      </c>
      <c r="T1408" s="130"/>
    </row>
    <row r="1409" spans="1:20" ht="10.7" customHeight="1" x14ac:dyDescent="0.2">
      <c r="A1409" s="122"/>
      <c r="B1409" s="168"/>
      <c r="C1409" s="162"/>
      <c r="D1409" s="206"/>
      <c r="E1409" s="163"/>
      <c r="F1409" s="163"/>
      <c r="G1409" s="164"/>
      <c r="H1409" s="163"/>
      <c r="I1409" s="165"/>
      <c r="J1409" s="164"/>
      <c r="K1409" s="163"/>
      <c r="L1409" s="163"/>
      <c r="M1409" s="163"/>
      <c r="N1409" s="163"/>
      <c r="O1409" s="163"/>
      <c r="P1409" s="163"/>
      <c r="Q1409" s="146"/>
      <c r="T1409" s="130"/>
    </row>
    <row r="1410" spans="1:20" ht="10.7" customHeight="1" x14ac:dyDescent="0.2">
      <c r="A1410" s="122"/>
      <c r="B1410" s="161" t="s">
        <v>107</v>
      </c>
      <c r="C1410" s="162">
        <v>0</v>
      </c>
      <c r="D1410" s="206">
        <v>0</v>
      </c>
      <c r="E1410" s="163">
        <v>0</v>
      </c>
      <c r="F1410" s="163">
        <v>0</v>
      </c>
      <c r="G1410" s="164">
        <v>0</v>
      </c>
      <c r="H1410" s="163">
        <v>0</v>
      </c>
      <c r="I1410" s="165" t="s">
        <v>119</v>
      </c>
      <c r="J1410" s="164">
        <v>0</v>
      </c>
      <c r="K1410" s="163">
        <v>0</v>
      </c>
      <c r="L1410" s="163">
        <v>0</v>
      </c>
      <c r="M1410" s="163">
        <v>0</v>
      </c>
      <c r="N1410" s="163">
        <v>0</v>
      </c>
      <c r="O1410" s="163" t="s">
        <v>42</v>
      </c>
      <c r="P1410" s="163">
        <v>0</v>
      </c>
      <c r="Q1410" s="146">
        <v>0</v>
      </c>
      <c r="T1410" s="130"/>
    </row>
    <row r="1411" spans="1:20" ht="10.7" customHeight="1" x14ac:dyDescent="0.2">
      <c r="A1411" s="122"/>
      <c r="B1411" s="161" t="s">
        <v>108</v>
      </c>
      <c r="C1411" s="162">
        <v>0</v>
      </c>
      <c r="D1411" s="162">
        <v>0</v>
      </c>
      <c r="E1411" s="173">
        <v>0</v>
      </c>
      <c r="F1411" s="163">
        <v>0</v>
      </c>
      <c r="G1411" s="164">
        <v>0</v>
      </c>
      <c r="H1411" s="163">
        <v>0</v>
      </c>
      <c r="I1411" s="165" t="s">
        <v>119</v>
      </c>
      <c r="J1411" s="164">
        <v>0</v>
      </c>
      <c r="K1411" s="163">
        <v>0</v>
      </c>
      <c r="L1411" s="163">
        <v>0</v>
      </c>
      <c r="M1411" s="163">
        <v>0</v>
      </c>
      <c r="N1411" s="163">
        <v>0</v>
      </c>
      <c r="O1411" s="163" t="s">
        <v>42</v>
      </c>
      <c r="P1411" s="163">
        <v>0</v>
      </c>
      <c r="Q1411" s="146">
        <v>0</v>
      </c>
      <c r="T1411" s="130"/>
    </row>
    <row r="1412" spans="1:20" ht="10.7" customHeight="1" x14ac:dyDescent="0.2">
      <c r="A1412" s="122"/>
      <c r="B1412" s="174" t="s">
        <v>109</v>
      </c>
      <c r="C1412" s="162">
        <v>0</v>
      </c>
      <c r="D1412" s="162">
        <v>0</v>
      </c>
      <c r="E1412" s="173">
        <v>0</v>
      </c>
      <c r="F1412" s="163">
        <v>0</v>
      </c>
      <c r="G1412" s="164">
        <v>0</v>
      </c>
      <c r="H1412" s="163">
        <v>0</v>
      </c>
      <c r="I1412" s="165" t="s">
        <v>119</v>
      </c>
      <c r="J1412" s="164">
        <v>0</v>
      </c>
      <c r="K1412" s="163">
        <v>0</v>
      </c>
      <c r="L1412" s="163">
        <v>0</v>
      </c>
      <c r="M1412" s="163">
        <v>0</v>
      </c>
      <c r="N1412" s="163">
        <v>0</v>
      </c>
      <c r="O1412" s="163" t="s">
        <v>42</v>
      </c>
      <c r="P1412" s="163">
        <v>0</v>
      </c>
      <c r="Q1412" s="146">
        <v>0</v>
      </c>
      <c r="T1412" s="130"/>
    </row>
    <row r="1413" spans="1:20" ht="10.7" customHeight="1" x14ac:dyDescent="0.2">
      <c r="A1413" s="122"/>
      <c r="B1413" s="174"/>
      <c r="C1413" s="162"/>
      <c r="D1413" s="206"/>
      <c r="E1413" s="163"/>
      <c r="F1413" s="163"/>
      <c r="G1413" s="164"/>
      <c r="H1413" s="163"/>
      <c r="I1413" s="165"/>
      <c r="J1413" s="164"/>
      <c r="K1413" s="163"/>
      <c r="L1413" s="163"/>
      <c r="M1413" s="163"/>
      <c r="N1413" s="163"/>
      <c r="O1413" s="163"/>
      <c r="P1413" s="163"/>
      <c r="Q1413" s="146"/>
      <c r="T1413" s="130"/>
    </row>
    <row r="1414" spans="1:20" ht="10.7" customHeight="1" x14ac:dyDescent="0.2">
      <c r="A1414" s="122"/>
      <c r="B1414" s="174" t="s">
        <v>111</v>
      </c>
      <c r="C1414" s="162"/>
      <c r="D1414" s="206">
        <v>0</v>
      </c>
      <c r="E1414" s="163"/>
      <c r="F1414" s="163"/>
      <c r="G1414" s="164">
        <v>0</v>
      </c>
      <c r="H1414" s="163"/>
      <c r="I1414" s="165"/>
      <c r="J1414" s="164">
        <v>0</v>
      </c>
      <c r="K1414" s="163"/>
      <c r="L1414" s="163"/>
      <c r="M1414" s="163"/>
      <c r="N1414" s="163"/>
      <c r="O1414" s="163"/>
      <c r="P1414" s="163"/>
      <c r="Q1414" s="146"/>
      <c r="T1414" s="130"/>
    </row>
    <row r="1415" spans="1:20" ht="10.7" customHeight="1" x14ac:dyDescent="0.2">
      <c r="A1415" s="122"/>
      <c r="B1415" s="175" t="s">
        <v>112</v>
      </c>
      <c r="C1415" s="176">
        <v>106.1</v>
      </c>
      <c r="D1415" s="201">
        <v>107.1</v>
      </c>
      <c r="E1415" s="177">
        <v>0</v>
      </c>
      <c r="F1415" s="180">
        <v>1</v>
      </c>
      <c r="G1415" s="189">
        <v>107.1</v>
      </c>
      <c r="H1415" s="180">
        <v>4.3954000000000004</v>
      </c>
      <c r="I1415" s="179">
        <v>4.1040149393090575</v>
      </c>
      <c r="J1415" s="189">
        <v>102.7046</v>
      </c>
      <c r="K1415" s="180">
        <v>0.38500000000000023</v>
      </c>
      <c r="L1415" s="180">
        <v>0</v>
      </c>
      <c r="M1415" s="180">
        <v>0.27119999999999989</v>
      </c>
      <c r="N1415" s="180">
        <v>0.59600000000000053</v>
      </c>
      <c r="O1415" s="180">
        <v>0.55648926237161589</v>
      </c>
      <c r="P1415" s="180">
        <v>0.31305000000000016</v>
      </c>
      <c r="Q1415" s="153" t="s">
        <v>186</v>
      </c>
      <c r="T1415" s="130"/>
    </row>
    <row r="1416" spans="1:20" ht="10.7" customHeight="1" x14ac:dyDescent="0.2">
      <c r="A1416" s="122"/>
      <c r="B1416" s="191" t="s">
        <v>241</v>
      </c>
      <c r="C1416" s="191"/>
      <c r="D1416" s="183"/>
      <c r="E1416" s="183"/>
      <c r="F1416" s="183"/>
      <c r="G1416" s="184"/>
      <c r="H1416" s="183"/>
      <c r="I1416" s="163"/>
      <c r="J1416" s="184"/>
      <c r="K1416" s="185"/>
      <c r="L1416" s="185"/>
      <c r="M1416" s="185"/>
      <c r="N1416" s="185"/>
      <c r="O1416" s="173"/>
      <c r="P1416" s="183"/>
      <c r="Q1416" s="182"/>
      <c r="T1416" s="130"/>
    </row>
    <row r="1417" spans="1:20" ht="10.7" customHeight="1" x14ac:dyDescent="0.2">
      <c r="A1417" s="122"/>
      <c r="B1417" s="123" t="s">
        <v>114</v>
      </c>
      <c r="C1417" s="123"/>
      <c r="J1417" s="192"/>
      <c r="T1417" s="130"/>
    </row>
    <row r="1421" spans="1:20" ht="10.7" customHeight="1" x14ac:dyDescent="0.2">
      <c r="A1421" s="122"/>
      <c r="B1421" s="123" t="s">
        <v>185</v>
      </c>
      <c r="C1421" s="123"/>
      <c r="P1421" s="128"/>
      <c r="T1421" s="130"/>
    </row>
    <row r="1422" spans="1:20" ht="10.7" customHeight="1" x14ac:dyDescent="0.2">
      <c r="A1422" s="122"/>
      <c r="B1422" s="131" t="s">
        <v>240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43166</v>
      </c>
      <c r="L1426" s="151">
        <v>43173</v>
      </c>
      <c r="M1426" s="151">
        <v>43180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6"/>
      <c r="C1428" s="187" t="s">
        <v>118</v>
      </c>
      <c r="D1428" s="187"/>
      <c r="E1428" s="187"/>
      <c r="F1428" s="187"/>
      <c r="G1428" s="187"/>
      <c r="H1428" s="187"/>
      <c r="I1428" s="187"/>
      <c r="J1428" s="187"/>
      <c r="K1428" s="187"/>
      <c r="L1428" s="187"/>
      <c r="M1428" s="187"/>
      <c r="N1428" s="187"/>
      <c r="O1428" s="187"/>
      <c r="P1428" s="195"/>
      <c r="Q1428" s="145"/>
      <c r="T1428" s="130"/>
    </row>
    <row r="1429" spans="1:20" ht="10.7" customHeight="1" x14ac:dyDescent="0.2">
      <c r="A1429" s="122"/>
      <c r="B1429" s="161" t="s">
        <v>80</v>
      </c>
      <c r="C1429" s="162">
        <v>19.100000000000001</v>
      </c>
      <c r="D1429" s="206">
        <v>19.100000000000001</v>
      </c>
      <c r="E1429" s="163">
        <v>0</v>
      </c>
      <c r="F1429" s="163">
        <v>0</v>
      </c>
      <c r="G1429" s="164">
        <v>19.100000000000001</v>
      </c>
      <c r="H1429" s="163">
        <v>0</v>
      </c>
      <c r="I1429" s="165">
        <v>0</v>
      </c>
      <c r="J1429" s="164">
        <v>19.100000000000001</v>
      </c>
      <c r="K1429" s="163">
        <v>0</v>
      </c>
      <c r="L1429" s="163">
        <v>0</v>
      </c>
      <c r="M1429" s="163">
        <v>0</v>
      </c>
      <c r="N1429" s="163">
        <v>0</v>
      </c>
      <c r="O1429" s="163">
        <v>0</v>
      </c>
      <c r="P1429" s="163">
        <v>0</v>
      </c>
      <c r="Q1429" s="146" t="s">
        <v>162</v>
      </c>
      <c r="T1429" s="130"/>
    </row>
    <row r="1430" spans="1:20" ht="10.7" customHeight="1" x14ac:dyDescent="0.2">
      <c r="A1430" s="122"/>
      <c r="B1430" s="161" t="s">
        <v>81</v>
      </c>
      <c r="C1430" s="162">
        <v>0</v>
      </c>
      <c r="D1430" s="206">
        <v>0</v>
      </c>
      <c r="E1430" s="163">
        <v>0</v>
      </c>
      <c r="F1430" s="163">
        <v>0</v>
      </c>
      <c r="G1430" s="164">
        <v>0</v>
      </c>
      <c r="H1430" s="163">
        <v>0</v>
      </c>
      <c r="I1430" s="165" t="s">
        <v>119</v>
      </c>
      <c r="J1430" s="164">
        <v>0</v>
      </c>
      <c r="K1430" s="163">
        <v>0</v>
      </c>
      <c r="L1430" s="163">
        <v>0</v>
      </c>
      <c r="M1430" s="163">
        <v>0</v>
      </c>
      <c r="N1430" s="163">
        <v>0</v>
      </c>
      <c r="O1430" s="163" t="s">
        <v>42</v>
      </c>
      <c r="P1430" s="163">
        <v>0</v>
      </c>
      <c r="Q1430" s="146">
        <v>0</v>
      </c>
      <c r="T1430" s="130"/>
    </row>
    <row r="1431" spans="1:20" ht="10.7" customHeight="1" x14ac:dyDescent="0.2">
      <c r="A1431" s="122"/>
      <c r="B1431" s="161" t="s">
        <v>82</v>
      </c>
      <c r="C1431" s="162">
        <v>10.4</v>
      </c>
      <c r="D1431" s="206">
        <v>9.5</v>
      </c>
      <c r="E1431" s="163">
        <v>0</v>
      </c>
      <c r="F1431" s="163">
        <v>-0.90000000000000036</v>
      </c>
      <c r="G1431" s="164">
        <v>9.5</v>
      </c>
      <c r="H1431" s="163">
        <v>0</v>
      </c>
      <c r="I1431" s="165">
        <v>0</v>
      </c>
      <c r="J1431" s="164">
        <v>9.5</v>
      </c>
      <c r="K1431" s="163">
        <v>0</v>
      </c>
      <c r="L1431" s="163">
        <v>0</v>
      </c>
      <c r="M1431" s="163">
        <v>0</v>
      </c>
      <c r="N1431" s="163">
        <v>0</v>
      </c>
      <c r="O1431" s="163">
        <v>0</v>
      </c>
      <c r="P1431" s="163">
        <v>0</v>
      </c>
      <c r="Q1431" s="146" t="s">
        <v>186</v>
      </c>
      <c r="T1431" s="130"/>
    </row>
    <row r="1432" spans="1:20" ht="10.7" customHeight="1" x14ac:dyDescent="0.2">
      <c r="A1432" s="122"/>
      <c r="B1432" s="161" t="s">
        <v>83</v>
      </c>
      <c r="C1432" s="162">
        <v>1</v>
      </c>
      <c r="D1432" s="206">
        <v>1</v>
      </c>
      <c r="E1432" s="163">
        <v>0</v>
      </c>
      <c r="F1432" s="163">
        <v>0</v>
      </c>
      <c r="G1432" s="164">
        <v>1</v>
      </c>
      <c r="H1432" s="163">
        <v>0</v>
      </c>
      <c r="I1432" s="165">
        <v>0</v>
      </c>
      <c r="J1432" s="164">
        <v>1</v>
      </c>
      <c r="K1432" s="163">
        <v>0</v>
      </c>
      <c r="L1432" s="163">
        <v>0</v>
      </c>
      <c r="M1432" s="163">
        <v>0</v>
      </c>
      <c r="N1432" s="163">
        <v>0</v>
      </c>
      <c r="O1432" s="163">
        <v>0</v>
      </c>
      <c r="P1432" s="163">
        <v>0</v>
      </c>
      <c r="Q1432" s="146" t="s">
        <v>186</v>
      </c>
      <c r="T1432" s="130"/>
    </row>
    <row r="1433" spans="1:20" ht="10.7" customHeight="1" x14ac:dyDescent="0.2">
      <c r="A1433" s="122"/>
      <c r="B1433" s="161" t="s">
        <v>84</v>
      </c>
      <c r="C1433" s="162">
        <v>0</v>
      </c>
      <c r="D1433" s="206">
        <v>0</v>
      </c>
      <c r="E1433" s="163">
        <v>0</v>
      </c>
      <c r="F1433" s="163">
        <v>0</v>
      </c>
      <c r="G1433" s="164">
        <v>0</v>
      </c>
      <c r="H1433" s="163">
        <v>0</v>
      </c>
      <c r="I1433" s="165" t="s">
        <v>119</v>
      </c>
      <c r="J1433" s="164">
        <v>0</v>
      </c>
      <c r="K1433" s="163">
        <v>0</v>
      </c>
      <c r="L1433" s="163">
        <v>0</v>
      </c>
      <c r="M1433" s="163">
        <v>0</v>
      </c>
      <c r="N1433" s="163">
        <v>0</v>
      </c>
      <c r="O1433" s="163" t="s">
        <v>42</v>
      </c>
      <c r="P1433" s="163">
        <v>0</v>
      </c>
      <c r="Q1433" s="146" t="s">
        <v>162</v>
      </c>
      <c r="T1433" s="130"/>
    </row>
    <row r="1434" spans="1:20" ht="10.7" customHeight="1" x14ac:dyDescent="0.2">
      <c r="A1434" s="122"/>
      <c r="B1434" s="161" t="s">
        <v>85</v>
      </c>
      <c r="C1434" s="162">
        <v>0</v>
      </c>
      <c r="D1434" s="206">
        <v>0.9</v>
      </c>
      <c r="E1434" s="163">
        <v>0</v>
      </c>
      <c r="F1434" s="163">
        <v>0.9</v>
      </c>
      <c r="G1434" s="164">
        <v>0.9</v>
      </c>
      <c r="H1434" s="163">
        <v>0</v>
      </c>
      <c r="I1434" s="165">
        <v>0</v>
      </c>
      <c r="J1434" s="164">
        <v>0.9</v>
      </c>
      <c r="K1434" s="163">
        <v>0</v>
      </c>
      <c r="L1434" s="163">
        <v>0</v>
      </c>
      <c r="M1434" s="163">
        <v>0</v>
      </c>
      <c r="N1434" s="163">
        <v>0</v>
      </c>
      <c r="O1434" s="163">
        <v>0</v>
      </c>
      <c r="P1434" s="163">
        <v>0</v>
      </c>
      <c r="Q1434" s="146" t="s">
        <v>186</v>
      </c>
      <c r="T1434" s="130"/>
    </row>
    <row r="1435" spans="1:20" ht="10.7" customHeight="1" x14ac:dyDescent="0.2">
      <c r="A1435" s="122"/>
      <c r="B1435" s="161" t="s">
        <v>86</v>
      </c>
      <c r="C1435" s="162">
        <v>0</v>
      </c>
      <c r="D1435" s="206">
        <v>0</v>
      </c>
      <c r="E1435" s="163">
        <v>0</v>
      </c>
      <c r="F1435" s="163">
        <v>0</v>
      </c>
      <c r="G1435" s="164">
        <v>0</v>
      </c>
      <c r="H1435" s="163">
        <v>0</v>
      </c>
      <c r="I1435" s="165" t="s">
        <v>119</v>
      </c>
      <c r="J1435" s="164">
        <v>0</v>
      </c>
      <c r="K1435" s="163">
        <v>0</v>
      </c>
      <c r="L1435" s="163">
        <v>0</v>
      </c>
      <c r="M1435" s="163">
        <v>0</v>
      </c>
      <c r="N1435" s="163">
        <v>0</v>
      </c>
      <c r="O1435" s="163" t="s">
        <v>42</v>
      </c>
      <c r="P1435" s="163">
        <v>0</v>
      </c>
      <c r="Q1435" s="146" t="s">
        <v>162</v>
      </c>
      <c r="T1435" s="130"/>
    </row>
    <row r="1436" spans="1:20" ht="10.7" customHeight="1" x14ac:dyDescent="0.2">
      <c r="A1436" s="122"/>
      <c r="B1436" s="161" t="s">
        <v>87</v>
      </c>
      <c r="C1436" s="162">
        <v>5.2</v>
      </c>
      <c r="D1436" s="206">
        <v>5.2</v>
      </c>
      <c r="E1436" s="163">
        <v>0</v>
      </c>
      <c r="F1436" s="163">
        <v>0</v>
      </c>
      <c r="G1436" s="164">
        <v>5.2</v>
      </c>
      <c r="H1436" s="163">
        <v>0</v>
      </c>
      <c r="I1436" s="165">
        <v>0</v>
      </c>
      <c r="J1436" s="164">
        <v>5.2</v>
      </c>
      <c r="K1436" s="163">
        <v>0</v>
      </c>
      <c r="L1436" s="163">
        <v>0</v>
      </c>
      <c r="M1436" s="163">
        <v>0</v>
      </c>
      <c r="N1436" s="163">
        <v>0</v>
      </c>
      <c r="O1436" s="163">
        <v>0</v>
      </c>
      <c r="P1436" s="163">
        <v>0</v>
      </c>
      <c r="Q1436" s="146" t="s">
        <v>186</v>
      </c>
      <c r="T1436" s="130"/>
    </row>
    <row r="1437" spans="1:20" ht="10.7" customHeight="1" x14ac:dyDescent="0.2">
      <c r="A1437" s="122"/>
      <c r="B1437" s="161" t="s">
        <v>88</v>
      </c>
      <c r="C1437" s="162">
        <v>0</v>
      </c>
      <c r="D1437" s="206">
        <v>0</v>
      </c>
      <c r="E1437" s="163">
        <v>0</v>
      </c>
      <c r="F1437" s="163">
        <v>0</v>
      </c>
      <c r="G1437" s="164">
        <v>0</v>
      </c>
      <c r="H1437" s="163">
        <v>0</v>
      </c>
      <c r="I1437" s="165" t="s">
        <v>119</v>
      </c>
      <c r="J1437" s="164">
        <v>0</v>
      </c>
      <c r="K1437" s="163">
        <v>0</v>
      </c>
      <c r="L1437" s="163">
        <v>0</v>
      </c>
      <c r="M1437" s="163">
        <v>0</v>
      </c>
      <c r="N1437" s="163">
        <v>0</v>
      </c>
      <c r="O1437" s="163" t="s">
        <v>42</v>
      </c>
      <c r="P1437" s="163">
        <v>0</v>
      </c>
      <c r="Q1437" s="146" t="s">
        <v>162</v>
      </c>
      <c r="T1437" s="130"/>
    </row>
    <row r="1438" spans="1:20" ht="10.7" customHeight="1" x14ac:dyDescent="0.2">
      <c r="A1438" s="122"/>
      <c r="B1438" s="161" t="s">
        <v>89</v>
      </c>
      <c r="C1438" s="162">
        <v>0</v>
      </c>
      <c r="D1438" s="206">
        <v>0</v>
      </c>
      <c r="E1438" s="163">
        <v>0</v>
      </c>
      <c r="F1438" s="163">
        <v>0</v>
      </c>
      <c r="G1438" s="164">
        <v>0</v>
      </c>
      <c r="H1438" s="163">
        <v>0</v>
      </c>
      <c r="I1438" s="165" t="s">
        <v>119</v>
      </c>
      <c r="J1438" s="164">
        <v>0</v>
      </c>
      <c r="K1438" s="163">
        <v>0</v>
      </c>
      <c r="L1438" s="163">
        <v>0</v>
      </c>
      <c r="M1438" s="163">
        <v>0</v>
      </c>
      <c r="N1438" s="163">
        <v>0</v>
      </c>
      <c r="O1438" s="163" t="s">
        <v>42</v>
      </c>
      <c r="P1438" s="163">
        <v>0</v>
      </c>
      <c r="Q1438" s="146">
        <v>0</v>
      </c>
      <c r="T1438" s="130"/>
    </row>
    <row r="1439" spans="1:20" ht="10.7" customHeight="1" x14ac:dyDescent="0.2">
      <c r="A1439" s="122"/>
      <c r="B1439" s="168" t="s">
        <v>91</v>
      </c>
      <c r="C1439" s="162">
        <v>35.700000000000003</v>
      </c>
      <c r="D1439" s="206">
        <v>35.700000000000003</v>
      </c>
      <c r="E1439" s="163">
        <v>0</v>
      </c>
      <c r="F1439" s="163">
        <v>-3.3306690738754696E-16</v>
      </c>
      <c r="G1439" s="164">
        <v>35.700000000000003</v>
      </c>
      <c r="H1439" s="163">
        <v>0</v>
      </c>
      <c r="I1439" s="165">
        <v>0</v>
      </c>
      <c r="J1439" s="164">
        <v>35.700000000000003</v>
      </c>
      <c r="K1439" s="163">
        <v>0</v>
      </c>
      <c r="L1439" s="163">
        <v>0</v>
      </c>
      <c r="M1439" s="163">
        <v>0</v>
      </c>
      <c r="N1439" s="163">
        <v>0</v>
      </c>
      <c r="O1439" s="163">
        <v>0</v>
      </c>
      <c r="P1439" s="169">
        <v>0</v>
      </c>
      <c r="Q1439" s="146" t="s">
        <v>186</v>
      </c>
      <c r="T1439" s="130"/>
    </row>
    <row r="1440" spans="1:20" ht="10.7" customHeight="1" x14ac:dyDescent="0.2">
      <c r="A1440" s="122"/>
      <c r="B1440" s="168"/>
      <c r="D1440" s="206"/>
      <c r="E1440" s="163"/>
      <c r="F1440" s="163"/>
      <c r="G1440" s="164"/>
      <c r="H1440" s="163"/>
      <c r="I1440" s="165"/>
      <c r="J1440" s="164"/>
      <c r="K1440" s="163"/>
      <c r="L1440" s="163"/>
      <c r="M1440" s="163"/>
      <c r="N1440" s="163"/>
      <c r="O1440" s="163"/>
      <c r="P1440" s="163"/>
      <c r="Q1440" s="146"/>
      <c r="T1440" s="130"/>
    </row>
    <row r="1441" spans="1:20" ht="10.7" customHeight="1" x14ac:dyDescent="0.2">
      <c r="A1441" s="122"/>
      <c r="B1441" s="161" t="s">
        <v>92</v>
      </c>
      <c r="C1441" s="162">
        <v>0.3</v>
      </c>
      <c r="D1441" s="206">
        <v>0.3</v>
      </c>
      <c r="E1441" s="163">
        <v>0</v>
      </c>
      <c r="F1441" s="163">
        <v>0</v>
      </c>
      <c r="G1441" s="164">
        <v>0.3</v>
      </c>
      <c r="H1441" s="163">
        <v>0</v>
      </c>
      <c r="I1441" s="165">
        <v>0</v>
      </c>
      <c r="J1441" s="164">
        <v>0.3</v>
      </c>
      <c r="K1441" s="163">
        <v>0</v>
      </c>
      <c r="L1441" s="163">
        <v>0</v>
      </c>
      <c r="M1441" s="163">
        <v>0</v>
      </c>
      <c r="N1441" s="163">
        <v>0</v>
      </c>
      <c r="O1441" s="163">
        <v>0</v>
      </c>
      <c r="P1441" s="163">
        <v>0</v>
      </c>
      <c r="Q1441" s="146" t="s">
        <v>186</v>
      </c>
      <c r="T1441" s="130"/>
    </row>
    <row r="1442" spans="1:20" ht="10.7" customHeight="1" x14ac:dyDescent="0.2">
      <c r="A1442" s="122"/>
      <c r="B1442" s="161" t="s">
        <v>93</v>
      </c>
      <c r="C1442" s="162">
        <v>0</v>
      </c>
      <c r="D1442" s="206">
        <v>0</v>
      </c>
      <c r="E1442" s="163">
        <v>0</v>
      </c>
      <c r="F1442" s="163">
        <v>0</v>
      </c>
      <c r="G1442" s="164">
        <v>0</v>
      </c>
      <c r="H1442" s="163">
        <v>0</v>
      </c>
      <c r="I1442" s="165" t="s">
        <v>119</v>
      </c>
      <c r="J1442" s="164">
        <v>0</v>
      </c>
      <c r="K1442" s="163">
        <v>0</v>
      </c>
      <c r="L1442" s="163">
        <v>0</v>
      </c>
      <c r="M1442" s="163">
        <v>0</v>
      </c>
      <c r="N1442" s="163">
        <v>0</v>
      </c>
      <c r="O1442" s="163" t="s">
        <v>42</v>
      </c>
      <c r="P1442" s="163">
        <v>0</v>
      </c>
      <c r="Q1442" s="146">
        <v>0</v>
      </c>
      <c r="T1442" s="130"/>
    </row>
    <row r="1443" spans="1:20" ht="10.7" hidden="1" customHeight="1" x14ac:dyDescent="0.2">
      <c r="A1443" s="122"/>
      <c r="B1443" s="161" t="s">
        <v>94</v>
      </c>
      <c r="C1443" s="162">
        <v>0</v>
      </c>
      <c r="D1443" s="206">
        <v>0</v>
      </c>
      <c r="E1443" s="163">
        <v>0</v>
      </c>
      <c r="F1443" s="163">
        <v>0</v>
      </c>
      <c r="G1443" s="164">
        <v>0</v>
      </c>
      <c r="H1443" s="163">
        <v>0</v>
      </c>
      <c r="I1443" s="165" t="s">
        <v>119</v>
      </c>
      <c r="J1443" s="164">
        <v>0</v>
      </c>
      <c r="K1443" s="163">
        <v>0</v>
      </c>
      <c r="L1443" s="163">
        <v>0</v>
      </c>
      <c r="M1443" s="163">
        <v>0</v>
      </c>
      <c r="N1443" s="163">
        <v>0</v>
      </c>
      <c r="O1443" s="163" t="s">
        <v>42</v>
      </c>
      <c r="P1443" s="163">
        <v>0</v>
      </c>
      <c r="Q1443" s="146" t="s">
        <v>162</v>
      </c>
      <c r="T1443" s="130"/>
    </row>
    <row r="1444" spans="1:20" ht="10.7" customHeight="1" x14ac:dyDescent="0.2">
      <c r="A1444" s="122"/>
      <c r="B1444" s="161" t="s">
        <v>95</v>
      </c>
      <c r="C1444" s="162">
        <v>0</v>
      </c>
      <c r="D1444" s="206">
        <v>0</v>
      </c>
      <c r="E1444" s="163">
        <v>0</v>
      </c>
      <c r="F1444" s="163">
        <v>0</v>
      </c>
      <c r="G1444" s="164">
        <v>0</v>
      </c>
      <c r="H1444" s="163">
        <v>0</v>
      </c>
      <c r="I1444" s="165" t="s">
        <v>119</v>
      </c>
      <c r="J1444" s="164">
        <v>0</v>
      </c>
      <c r="K1444" s="163">
        <v>0</v>
      </c>
      <c r="L1444" s="163">
        <v>0</v>
      </c>
      <c r="M1444" s="163">
        <v>0</v>
      </c>
      <c r="N1444" s="163">
        <v>0</v>
      </c>
      <c r="O1444" s="163" t="s">
        <v>42</v>
      </c>
      <c r="P1444" s="163">
        <v>0</v>
      </c>
      <c r="Q1444" s="146">
        <v>0</v>
      </c>
      <c r="T1444" s="130"/>
    </row>
    <row r="1445" spans="1:20" ht="10.7" customHeight="1" x14ac:dyDescent="0.2">
      <c r="A1445" s="122"/>
      <c r="B1445" s="161" t="s">
        <v>96</v>
      </c>
      <c r="C1445" s="162">
        <v>0</v>
      </c>
      <c r="D1445" s="206">
        <v>0</v>
      </c>
      <c r="E1445" s="163">
        <v>0</v>
      </c>
      <c r="F1445" s="163">
        <v>0</v>
      </c>
      <c r="G1445" s="164">
        <v>0</v>
      </c>
      <c r="H1445" s="163">
        <v>0</v>
      </c>
      <c r="I1445" s="165" t="s">
        <v>119</v>
      </c>
      <c r="J1445" s="164">
        <v>0</v>
      </c>
      <c r="K1445" s="163">
        <v>0</v>
      </c>
      <c r="L1445" s="163">
        <v>0</v>
      </c>
      <c r="M1445" s="163">
        <v>0</v>
      </c>
      <c r="N1445" s="163">
        <v>0</v>
      </c>
      <c r="O1445" s="163" t="s">
        <v>42</v>
      </c>
      <c r="P1445" s="163">
        <v>0</v>
      </c>
      <c r="Q1445" s="146">
        <v>0</v>
      </c>
      <c r="T1445" s="130"/>
    </row>
    <row r="1446" spans="1:20" ht="10.7" customHeight="1" x14ac:dyDescent="0.2">
      <c r="A1446" s="122"/>
      <c r="B1446" s="161" t="s">
        <v>97</v>
      </c>
      <c r="C1446" s="162">
        <v>0</v>
      </c>
      <c r="D1446" s="206">
        <v>0</v>
      </c>
      <c r="E1446" s="163">
        <v>0</v>
      </c>
      <c r="F1446" s="163">
        <v>0</v>
      </c>
      <c r="G1446" s="164">
        <v>0</v>
      </c>
      <c r="H1446" s="163">
        <v>0</v>
      </c>
      <c r="I1446" s="165" t="s">
        <v>119</v>
      </c>
      <c r="J1446" s="164">
        <v>0</v>
      </c>
      <c r="K1446" s="163">
        <v>0</v>
      </c>
      <c r="L1446" s="163">
        <v>0</v>
      </c>
      <c r="M1446" s="163">
        <v>0</v>
      </c>
      <c r="N1446" s="163">
        <v>0</v>
      </c>
      <c r="O1446" s="163" t="s">
        <v>42</v>
      </c>
      <c r="P1446" s="163">
        <v>0</v>
      </c>
      <c r="Q1446" s="146">
        <v>0</v>
      </c>
      <c r="T1446" s="130"/>
    </row>
    <row r="1447" spans="1:20" ht="10.7" customHeight="1" x14ac:dyDescent="0.2">
      <c r="A1447" s="122"/>
      <c r="B1447" s="161" t="s">
        <v>98</v>
      </c>
      <c r="C1447" s="162">
        <v>6</v>
      </c>
      <c r="D1447" s="206">
        <v>6</v>
      </c>
      <c r="E1447" s="163">
        <v>0</v>
      </c>
      <c r="F1447" s="163">
        <v>0</v>
      </c>
      <c r="G1447" s="164">
        <v>6</v>
      </c>
      <c r="H1447" s="163">
        <v>0</v>
      </c>
      <c r="I1447" s="165">
        <v>0</v>
      </c>
      <c r="J1447" s="164">
        <v>6</v>
      </c>
      <c r="K1447" s="163">
        <v>0</v>
      </c>
      <c r="L1447" s="163">
        <v>0</v>
      </c>
      <c r="M1447" s="163">
        <v>0</v>
      </c>
      <c r="N1447" s="163">
        <v>0</v>
      </c>
      <c r="O1447" s="163">
        <v>0</v>
      </c>
      <c r="P1447" s="163">
        <v>0</v>
      </c>
      <c r="Q1447" s="146" t="s">
        <v>186</v>
      </c>
      <c r="T1447" s="130"/>
    </row>
    <row r="1448" spans="1:20" ht="10.7" customHeight="1" x14ac:dyDescent="0.2">
      <c r="A1448" s="122"/>
      <c r="B1448" s="161" t="s">
        <v>99</v>
      </c>
      <c r="C1448" s="162">
        <v>0</v>
      </c>
      <c r="D1448" s="206">
        <v>0</v>
      </c>
      <c r="E1448" s="163">
        <v>0</v>
      </c>
      <c r="F1448" s="163">
        <v>0</v>
      </c>
      <c r="G1448" s="164">
        <v>0</v>
      </c>
      <c r="H1448" s="163">
        <v>0</v>
      </c>
      <c r="I1448" s="165" t="s">
        <v>119</v>
      </c>
      <c r="J1448" s="164">
        <v>0</v>
      </c>
      <c r="K1448" s="163">
        <v>0</v>
      </c>
      <c r="L1448" s="163">
        <v>0</v>
      </c>
      <c r="M1448" s="163">
        <v>0</v>
      </c>
      <c r="N1448" s="163">
        <v>0</v>
      </c>
      <c r="O1448" s="163" t="s">
        <v>42</v>
      </c>
      <c r="P1448" s="163">
        <v>0</v>
      </c>
      <c r="Q1448" s="146">
        <v>0</v>
      </c>
      <c r="T1448" s="130"/>
    </row>
    <row r="1449" spans="1:20" ht="10.7" customHeight="1" x14ac:dyDescent="0.2">
      <c r="A1449" s="122"/>
      <c r="B1449" s="161" t="s">
        <v>100</v>
      </c>
      <c r="C1449" s="162">
        <v>0</v>
      </c>
      <c r="D1449" s="206">
        <v>0</v>
      </c>
      <c r="E1449" s="163">
        <v>0</v>
      </c>
      <c r="F1449" s="163">
        <v>0</v>
      </c>
      <c r="G1449" s="164">
        <v>0</v>
      </c>
      <c r="H1449" s="163">
        <v>0</v>
      </c>
      <c r="I1449" s="165" t="s">
        <v>119</v>
      </c>
      <c r="J1449" s="164">
        <v>0</v>
      </c>
      <c r="K1449" s="163">
        <v>0</v>
      </c>
      <c r="L1449" s="163">
        <v>0</v>
      </c>
      <c r="M1449" s="163">
        <v>0</v>
      </c>
      <c r="N1449" s="163">
        <v>0</v>
      </c>
      <c r="O1449" s="163" t="s">
        <v>42</v>
      </c>
      <c r="P1449" s="163">
        <v>0</v>
      </c>
      <c r="Q1449" s="146">
        <v>0</v>
      </c>
      <c r="T1449" s="130"/>
    </row>
    <row r="1450" spans="1:20" ht="10.7" customHeight="1" x14ac:dyDescent="0.2">
      <c r="A1450" s="122"/>
      <c r="B1450" s="161" t="s">
        <v>101</v>
      </c>
      <c r="C1450" s="162">
        <v>0</v>
      </c>
      <c r="D1450" s="206">
        <v>0</v>
      </c>
      <c r="E1450" s="163">
        <v>0</v>
      </c>
      <c r="F1450" s="163">
        <v>0</v>
      </c>
      <c r="G1450" s="164">
        <v>0</v>
      </c>
      <c r="H1450" s="163">
        <v>0</v>
      </c>
      <c r="I1450" s="165" t="s">
        <v>119</v>
      </c>
      <c r="J1450" s="164">
        <v>0</v>
      </c>
      <c r="K1450" s="163">
        <v>0</v>
      </c>
      <c r="L1450" s="163">
        <v>0</v>
      </c>
      <c r="M1450" s="163">
        <v>0</v>
      </c>
      <c r="N1450" s="163">
        <v>0</v>
      </c>
      <c r="O1450" s="163" t="s">
        <v>42</v>
      </c>
      <c r="P1450" s="163">
        <v>0</v>
      </c>
      <c r="Q1450" s="146">
        <v>0</v>
      </c>
      <c r="T1450" s="130"/>
    </row>
    <row r="1451" spans="1:20" ht="10.7" customHeight="1" x14ac:dyDescent="0.2">
      <c r="A1451" s="122"/>
      <c r="B1451" s="161" t="s">
        <v>102</v>
      </c>
      <c r="C1451" s="162">
        <v>0</v>
      </c>
      <c r="D1451" s="206">
        <v>0</v>
      </c>
      <c r="E1451" s="163">
        <v>0</v>
      </c>
      <c r="F1451" s="163">
        <v>0</v>
      </c>
      <c r="G1451" s="164">
        <v>0</v>
      </c>
      <c r="H1451" s="163">
        <v>0</v>
      </c>
      <c r="I1451" s="165" t="s">
        <v>119</v>
      </c>
      <c r="J1451" s="164">
        <v>0</v>
      </c>
      <c r="K1451" s="163">
        <v>0</v>
      </c>
      <c r="L1451" s="163">
        <v>0</v>
      </c>
      <c r="M1451" s="163">
        <v>0</v>
      </c>
      <c r="N1451" s="163">
        <v>0</v>
      </c>
      <c r="O1451" s="163" t="s">
        <v>42</v>
      </c>
      <c r="P1451" s="163">
        <v>0</v>
      </c>
      <c r="Q1451" s="146" t="s">
        <v>162</v>
      </c>
      <c r="T1451" s="130"/>
    </row>
    <row r="1452" spans="1:20" ht="10.7" customHeight="1" x14ac:dyDescent="0.2">
      <c r="A1452" s="122"/>
      <c r="B1452" s="161" t="s">
        <v>103</v>
      </c>
      <c r="C1452" s="162">
        <v>0</v>
      </c>
      <c r="D1452" s="206">
        <v>0</v>
      </c>
      <c r="E1452" s="163">
        <v>0</v>
      </c>
      <c r="F1452" s="163">
        <v>0</v>
      </c>
      <c r="G1452" s="164">
        <v>0</v>
      </c>
      <c r="H1452" s="163">
        <v>0</v>
      </c>
      <c r="I1452" s="165" t="s">
        <v>119</v>
      </c>
      <c r="J1452" s="164">
        <v>0</v>
      </c>
      <c r="K1452" s="163">
        <v>0</v>
      </c>
      <c r="L1452" s="163">
        <v>0</v>
      </c>
      <c r="M1452" s="163">
        <v>0</v>
      </c>
      <c r="N1452" s="163">
        <v>0</v>
      </c>
      <c r="O1452" s="163" t="s">
        <v>42</v>
      </c>
      <c r="P1452" s="163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104</v>
      </c>
      <c r="C1453" s="162">
        <v>0</v>
      </c>
      <c r="D1453" s="206">
        <v>0</v>
      </c>
      <c r="E1453" s="163">
        <v>0</v>
      </c>
      <c r="F1453" s="163">
        <v>0</v>
      </c>
      <c r="G1453" s="164">
        <v>0</v>
      </c>
      <c r="H1453" s="163">
        <v>0</v>
      </c>
      <c r="I1453" s="165" t="s">
        <v>119</v>
      </c>
      <c r="J1453" s="164">
        <v>0</v>
      </c>
      <c r="K1453" s="163">
        <v>0</v>
      </c>
      <c r="L1453" s="163">
        <v>0</v>
      </c>
      <c r="M1453" s="163">
        <v>0</v>
      </c>
      <c r="N1453" s="163">
        <v>0</v>
      </c>
      <c r="O1453" s="163" t="s">
        <v>42</v>
      </c>
      <c r="P1453" s="163">
        <v>0</v>
      </c>
      <c r="Q1453" s="146">
        <v>0</v>
      </c>
      <c r="T1453" s="130"/>
    </row>
    <row r="1454" spans="1:20" ht="10.7" customHeight="1" x14ac:dyDescent="0.2">
      <c r="A1454" s="122"/>
      <c r="B1454" s="168" t="s">
        <v>106</v>
      </c>
      <c r="C1454" s="172">
        <v>42</v>
      </c>
      <c r="D1454" s="206">
        <v>42</v>
      </c>
      <c r="E1454" s="163">
        <v>0</v>
      </c>
      <c r="F1454" s="163">
        <v>-3.3306690738754696E-16</v>
      </c>
      <c r="G1454" s="164">
        <v>42</v>
      </c>
      <c r="H1454" s="163">
        <v>0</v>
      </c>
      <c r="I1454" s="165">
        <v>0</v>
      </c>
      <c r="J1454" s="164">
        <v>42</v>
      </c>
      <c r="K1454" s="163">
        <v>0</v>
      </c>
      <c r="L1454" s="163">
        <v>0</v>
      </c>
      <c r="M1454" s="163">
        <v>0</v>
      </c>
      <c r="N1454" s="163">
        <v>0</v>
      </c>
      <c r="O1454" s="163">
        <v>0</v>
      </c>
      <c r="P1454" s="163">
        <v>0</v>
      </c>
      <c r="Q1454" s="146" t="s">
        <v>186</v>
      </c>
      <c r="T1454" s="130"/>
    </row>
    <row r="1455" spans="1:20" ht="10.7" customHeight="1" x14ac:dyDescent="0.2">
      <c r="A1455" s="122"/>
      <c r="B1455" s="168"/>
      <c r="C1455" s="162"/>
      <c r="D1455" s="206"/>
      <c r="E1455" s="163"/>
      <c r="F1455" s="163"/>
      <c r="G1455" s="164"/>
      <c r="H1455" s="163"/>
      <c r="I1455" s="165"/>
      <c r="J1455" s="164"/>
      <c r="K1455" s="163"/>
      <c r="L1455" s="163"/>
      <c r="M1455" s="163"/>
      <c r="N1455" s="163"/>
      <c r="O1455" s="163"/>
      <c r="P1455" s="163"/>
      <c r="Q1455" s="146"/>
      <c r="T1455" s="130"/>
    </row>
    <row r="1456" spans="1:20" ht="10.7" customHeight="1" x14ac:dyDescent="0.2">
      <c r="A1456" s="122"/>
      <c r="B1456" s="161" t="s">
        <v>107</v>
      </c>
      <c r="C1456" s="162">
        <v>0</v>
      </c>
      <c r="D1456" s="206">
        <v>0</v>
      </c>
      <c r="E1456" s="163">
        <v>0</v>
      </c>
      <c r="F1456" s="163">
        <v>0</v>
      </c>
      <c r="G1456" s="164">
        <v>0</v>
      </c>
      <c r="H1456" s="163">
        <v>0</v>
      </c>
      <c r="I1456" s="165" t="s">
        <v>119</v>
      </c>
      <c r="J1456" s="164">
        <v>0</v>
      </c>
      <c r="K1456" s="163">
        <v>0</v>
      </c>
      <c r="L1456" s="163">
        <v>0</v>
      </c>
      <c r="M1456" s="163">
        <v>0</v>
      </c>
      <c r="N1456" s="163">
        <v>0</v>
      </c>
      <c r="O1456" s="163" t="s">
        <v>42</v>
      </c>
      <c r="P1456" s="163">
        <v>0</v>
      </c>
      <c r="Q1456" s="146">
        <v>0</v>
      </c>
      <c r="T1456" s="130"/>
    </row>
    <row r="1457" spans="1:20" ht="10.7" customHeight="1" x14ac:dyDescent="0.2">
      <c r="A1457" s="122"/>
      <c r="B1457" s="161" t="s">
        <v>108</v>
      </c>
      <c r="C1457" s="162">
        <v>0</v>
      </c>
      <c r="D1457" s="162">
        <v>0</v>
      </c>
      <c r="E1457" s="173">
        <v>0</v>
      </c>
      <c r="F1457" s="163">
        <v>0</v>
      </c>
      <c r="G1457" s="164">
        <v>0</v>
      </c>
      <c r="H1457" s="163">
        <v>0</v>
      </c>
      <c r="I1457" s="165" t="s">
        <v>119</v>
      </c>
      <c r="J1457" s="164">
        <v>0</v>
      </c>
      <c r="K1457" s="163">
        <v>0</v>
      </c>
      <c r="L1457" s="163">
        <v>0</v>
      </c>
      <c r="M1457" s="163">
        <v>0</v>
      </c>
      <c r="N1457" s="163">
        <v>0</v>
      </c>
      <c r="O1457" s="163" t="s">
        <v>42</v>
      </c>
      <c r="P1457" s="163">
        <v>0</v>
      </c>
      <c r="Q1457" s="146">
        <v>0</v>
      </c>
      <c r="T1457" s="130"/>
    </row>
    <row r="1458" spans="1:20" ht="10.7" customHeight="1" x14ac:dyDescent="0.2">
      <c r="A1458" s="122"/>
      <c r="B1458" s="174" t="s">
        <v>109</v>
      </c>
      <c r="C1458" s="162">
        <v>0</v>
      </c>
      <c r="D1458" s="162">
        <v>0</v>
      </c>
      <c r="E1458" s="173">
        <v>0</v>
      </c>
      <c r="F1458" s="163">
        <v>0</v>
      </c>
      <c r="G1458" s="164">
        <v>0</v>
      </c>
      <c r="H1458" s="163">
        <v>0</v>
      </c>
      <c r="I1458" s="165" t="s">
        <v>119</v>
      </c>
      <c r="J1458" s="164">
        <v>0</v>
      </c>
      <c r="K1458" s="163">
        <v>0</v>
      </c>
      <c r="L1458" s="163">
        <v>0</v>
      </c>
      <c r="M1458" s="163">
        <v>0</v>
      </c>
      <c r="N1458" s="163">
        <v>0</v>
      </c>
      <c r="O1458" s="163" t="s">
        <v>42</v>
      </c>
      <c r="P1458" s="163">
        <v>0</v>
      </c>
      <c r="Q1458" s="146">
        <v>0</v>
      </c>
      <c r="T1458" s="130"/>
    </row>
    <row r="1459" spans="1:20" ht="10.7" customHeight="1" x14ac:dyDescent="0.2">
      <c r="A1459" s="122"/>
      <c r="B1459" s="174"/>
      <c r="C1459" s="162"/>
      <c r="D1459" s="206"/>
      <c r="E1459" s="163"/>
      <c r="F1459" s="163"/>
      <c r="G1459" s="164"/>
      <c r="H1459" s="163"/>
      <c r="I1459" s="165"/>
      <c r="J1459" s="164"/>
      <c r="K1459" s="163"/>
      <c r="L1459" s="163"/>
      <c r="M1459" s="163"/>
      <c r="N1459" s="163"/>
      <c r="O1459" s="163"/>
      <c r="P1459" s="163"/>
      <c r="Q1459" s="146"/>
      <c r="T1459" s="130"/>
    </row>
    <row r="1460" spans="1:20" ht="10.7" customHeight="1" x14ac:dyDescent="0.2">
      <c r="A1460" s="122"/>
      <c r="B1460" s="174" t="s">
        <v>111</v>
      </c>
      <c r="C1460" s="162"/>
      <c r="D1460" s="206"/>
      <c r="E1460" s="163"/>
      <c r="F1460" s="163"/>
      <c r="G1460" s="164">
        <v>0</v>
      </c>
      <c r="H1460" s="163"/>
      <c r="I1460" s="165"/>
      <c r="J1460" s="164"/>
      <c r="K1460" s="163"/>
      <c r="L1460" s="163"/>
      <c r="M1460" s="163"/>
      <c r="N1460" s="163"/>
      <c r="O1460" s="163"/>
      <c r="P1460" s="163"/>
      <c r="Q1460" s="146"/>
      <c r="T1460" s="130"/>
    </row>
    <row r="1461" spans="1:20" ht="10.7" customHeight="1" x14ac:dyDescent="0.2">
      <c r="A1461" s="122"/>
      <c r="B1461" s="175" t="s">
        <v>112</v>
      </c>
      <c r="C1461" s="176">
        <v>42</v>
      </c>
      <c r="D1461" s="201">
        <v>42</v>
      </c>
      <c r="E1461" s="177">
        <v>0</v>
      </c>
      <c r="F1461" s="180">
        <v>0</v>
      </c>
      <c r="G1461" s="189">
        <v>42</v>
      </c>
      <c r="H1461" s="180">
        <v>0</v>
      </c>
      <c r="I1461" s="179">
        <v>0</v>
      </c>
      <c r="J1461" s="189">
        <v>42</v>
      </c>
      <c r="K1461" s="180">
        <v>0</v>
      </c>
      <c r="L1461" s="180">
        <v>0</v>
      </c>
      <c r="M1461" s="180">
        <v>0</v>
      </c>
      <c r="N1461" s="180">
        <v>0</v>
      </c>
      <c r="O1461" s="180">
        <v>0</v>
      </c>
      <c r="P1461" s="190">
        <v>0</v>
      </c>
      <c r="Q1461" s="153" t="s">
        <v>186</v>
      </c>
      <c r="T1461" s="130"/>
    </row>
    <row r="1462" spans="1:20" ht="10.7" customHeight="1" x14ac:dyDescent="0.2">
      <c r="A1462" s="122"/>
      <c r="B1462" s="181"/>
      <c r="C1462" s="181"/>
      <c r="D1462" s="163"/>
      <c r="E1462" s="163"/>
      <c r="F1462" s="163"/>
      <c r="G1462" s="164"/>
      <c r="H1462" s="163"/>
      <c r="I1462" s="2"/>
      <c r="J1462" s="164"/>
      <c r="K1462" s="163"/>
      <c r="L1462" s="163"/>
      <c r="M1462" s="163"/>
      <c r="N1462" s="163"/>
      <c r="O1462" s="163"/>
      <c r="P1462" s="163"/>
      <c r="Q1462" s="182"/>
      <c r="T1462" s="130"/>
    </row>
    <row r="1463" spans="1:20" ht="10.7" customHeight="1" x14ac:dyDescent="0.2">
      <c r="A1463" s="122"/>
      <c r="B1463" s="181"/>
      <c r="C1463" s="181"/>
      <c r="D1463" s="135"/>
      <c r="E1463" s="183"/>
      <c r="F1463" s="183"/>
      <c r="G1463" s="184"/>
      <c r="H1463" s="183"/>
      <c r="I1463" s="163"/>
      <c r="J1463" s="184"/>
      <c r="K1463" s="185"/>
      <c r="L1463" s="185"/>
      <c r="M1463" s="185"/>
      <c r="N1463" s="185"/>
      <c r="O1463" s="173"/>
      <c r="P1463" s="183"/>
      <c r="Q1463" s="182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202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203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203" t="s">
        <v>74</v>
      </c>
      <c r="J1466" s="147" t="s">
        <v>75</v>
      </c>
      <c r="K1466" s="151">
        <v>43166</v>
      </c>
      <c r="L1466" s="151">
        <v>43173</v>
      </c>
      <c r="M1466" s="151">
        <v>43180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204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6"/>
      <c r="C1468" s="187" t="s">
        <v>131</v>
      </c>
      <c r="D1468" s="187"/>
      <c r="E1468" s="187"/>
      <c r="F1468" s="187"/>
      <c r="G1468" s="187"/>
      <c r="H1468" s="187"/>
      <c r="I1468" s="187"/>
      <c r="J1468" s="187"/>
      <c r="K1468" s="187"/>
      <c r="L1468" s="187"/>
      <c r="M1468" s="187"/>
      <c r="N1468" s="187"/>
      <c r="O1468" s="187"/>
      <c r="P1468" s="195"/>
      <c r="Q1468" s="145"/>
      <c r="T1468" s="130"/>
    </row>
    <row r="1469" spans="1:20" ht="10.7" customHeight="1" x14ac:dyDescent="0.2">
      <c r="A1469" s="122"/>
      <c r="B1469" s="161" t="s">
        <v>80</v>
      </c>
      <c r="C1469" s="162">
        <v>1.4</v>
      </c>
      <c r="D1469" s="206">
        <v>1.4</v>
      </c>
      <c r="E1469" s="163">
        <v>0</v>
      </c>
      <c r="F1469" s="163">
        <v>0</v>
      </c>
      <c r="G1469" s="164">
        <v>1.4</v>
      </c>
      <c r="H1469" s="163">
        <v>0.108</v>
      </c>
      <c r="I1469" s="165">
        <v>7.7142857142857153</v>
      </c>
      <c r="J1469" s="164">
        <v>1.2919999999999998</v>
      </c>
      <c r="K1469" s="163">
        <v>0.06</v>
      </c>
      <c r="L1469" s="163">
        <v>0</v>
      </c>
      <c r="M1469" s="163">
        <v>0</v>
      </c>
      <c r="N1469" s="163">
        <v>0</v>
      </c>
      <c r="O1469" s="163">
        <v>0</v>
      </c>
      <c r="P1469" s="163">
        <v>1.4999999999999999E-2</v>
      </c>
      <c r="Q1469" s="146" t="s">
        <v>186</v>
      </c>
      <c r="T1469" s="130"/>
    </row>
    <row r="1470" spans="1:20" ht="10.7" customHeight="1" x14ac:dyDescent="0.2">
      <c r="A1470" s="122"/>
      <c r="B1470" s="161" t="s">
        <v>81</v>
      </c>
      <c r="C1470" s="162">
        <v>0.4</v>
      </c>
      <c r="D1470" s="206">
        <v>0.4</v>
      </c>
      <c r="E1470" s="163">
        <v>0</v>
      </c>
      <c r="F1470" s="163">
        <v>0</v>
      </c>
      <c r="G1470" s="164">
        <v>0.4</v>
      </c>
      <c r="H1470" s="163">
        <v>0</v>
      </c>
      <c r="I1470" s="165">
        <v>0</v>
      </c>
      <c r="J1470" s="164">
        <v>0.4</v>
      </c>
      <c r="K1470" s="163">
        <v>0</v>
      </c>
      <c r="L1470" s="163">
        <v>0</v>
      </c>
      <c r="M1470" s="163">
        <v>0</v>
      </c>
      <c r="N1470" s="163">
        <v>0</v>
      </c>
      <c r="O1470" s="163">
        <v>0</v>
      </c>
      <c r="P1470" s="163">
        <v>0</v>
      </c>
      <c r="Q1470" s="146" t="s">
        <v>162</v>
      </c>
      <c r="T1470" s="130"/>
    </row>
    <row r="1471" spans="1:20" ht="10.7" customHeight="1" x14ac:dyDescent="0.2">
      <c r="A1471" s="122"/>
      <c r="B1471" s="161" t="s">
        <v>82</v>
      </c>
      <c r="C1471" s="162">
        <v>0.4</v>
      </c>
      <c r="D1471" s="206">
        <v>0.4</v>
      </c>
      <c r="E1471" s="163">
        <v>0</v>
      </c>
      <c r="F1471" s="163">
        <v>0</v>
      </c>
      <c r="G1471" s="164">
        <v>0.4</v>
      </c>
      <c r="H1471" s="163">
        <v>0</v>
      </c>
      <c r="I1471" s="165">
        <v>0</v>
      </c>
      <c r="J1471" s="164">
        <v>0.4</v>
      </c>
      <c r="K1471" s="163">
        <v>0</v>
      </c>
      <c r="L1471" s="163">
        <v>0</v>
      </c>
      <c r="M1471" s="163">
        <v>0</v>
      </c>
      <c r="N1471" s="163">
        <v>0</v>
      </c>
      <c r="O1471" s="163">
        <v>0</v>
      </c>
      <c r="P1471" s="163">
        <v>0</v>
      </c>
      <c r="Q1471" s="146" t="s">
        <v>186</v>
      </c>
      <c r="T1471" s="130"/>
    </row>
    <row r="1472" spans="1:20" ht="10.7" customHeight="1" x14ac:dyDescent="0.2">
      <c r="A1472" s="122"/>
      <c r="B1472" s="161" t="s">
        <v>83</v>
      </c>
      <c r="C1472" s="162">
        <v>0.1</v>
      </c>
      <c r="D1472" s="206">
        <v>0.1</v>
      </c>
      <c r="E1472" s="163">
        <v>0</v>
      </c>
      <c r="F1472" s="163">
        <v>0</v>
      </c>
      <c r="G1472" s="164">
        <v>0.1</v>
      </c>
      <c r="H1472" s="163">
        <v>0</v>
      </c>
      <c r="I1472" s="165">
        <v>0</v>
      </c>
      <c r="J1472" s="164">
        <v>0.1</v>
      </c>
      <c r="K1472" s="163">
        <v>0</v>
      </c>
      <c r="L1472" s="163">
        <v>0</v>
      </c>
      <c r="M1472" s="163">
        <v>0</v>
      </c>
      <c r="N1472" s="163">
        <v>0</v>
      </c>
      <c r="O1472" s="163">
        <v>0</v>
      </c>
      <c r="P1472" s="163">
        <v>0</v>
      </c>
      <c r="Q1472" s="146" t="s">
        <v>186</v>
      </c>
      <c r="T1472" s="130"/>
    </row>
    <row r="1473" spans="1:20" ht="10.7" customHeight="1" x14ac:dyDescent="0.2">
      <c r="A1473" s="122"/>
      <c r="B1473" s="161" t="s">
        <v>84</v>
      </c>
      <c r="C1473" s="162">
        <v>0</v>
      </c>
      <c r="D1473" s="206">
        <v>0</v>
      </c>
      <c r="E1473" s="163">
        <v>0</v>
      </c>
      <c r="F1473" s="163">
        <v>0</v>
      </c>
      <c r="G1473" s="164">
        <v>0</v>
      </c>
      <c r="H1473" s="163">
        <v>0</v>
      </c>
      <c r="I1473" s="165" t="s">
        <v>119</v>
      </c>
      <c r="J1473" s="164">
        <v>0</v>
      </c>
      <c r="K1473" s="163">
        <v>0</v>
      </c>
      <c r="L1473" s="163">
        <v>0</v>
      </c>
      <c r="M1473" s="163">
        <v>0</v>
      </c>
      <c r="N1473" s="163">
        <v>0</v>
      </c>
      <c r="O1473" s="163" t="s">
        <v>42</v>
      </c>
      <c r="P1473" s="163">
        <v>0</v>
      </c>
      <c r="Q1473" s="146" t="s">
        <v>162</v>
      </c>
      <c r="T1473" s="130"/>
    </row>
    <row r="1474" spans="1:20" ht="10.7" customHeight="1" x14ac:dyDescent="0.2">
      <c r="A1474" s="122"/>
      <c r="B1474" s="161" t="s">
        <v>85</v>
      </c>
      <c r="C1474" s="162">
        <v>0.1</v>
      </c>
      <c r="D1474" s="206">
        <v>0</v>
      </c>
      <c r="E1474" s="163">
        <v>0</v>
      </c>
      <c r="F1474" s="163">
        <v>-0.1</v>
      </c>
      <c r="G1474" s="164">
        <v>0</v>
      </c>
      <c r="H1474" s="163">
        <v>0</v>
      </c>
      <c r="I1474" s="165" t="s">
        <v>119</v>
      </c>
      <c r="J1474" s="164">
        <v>0</v>
      </c>
      <c r="K1474" s="163">
        <v>0</v>
      </c>
      <c r="L1474" s="163">
        <v>0</v>
      </c>
      <c r="M1474" s="163">
        <v>0</v>
      </c>
      <c r="N1474" s="163">
        <v>0</v>
      </c>
      <c r="O1474" s="163" t="s">
        <v>42</v>
      </c>
      <c r="P1474" s="163">
        <v>0</v>
      </c>
      <c r="Q1474" s="146">
        <v>0</v>
      </c>
      <c r="T1474" s="130"/>
    </row>
    <row r="1475" spans="1:20" ht="10.7" customHeight="1" x14ac:dyDescent="0.2">
      <c r="A1475" s="122"/>
      <c r="B1475" s="161" t="s">
        <v>86</v>
      </c>
      <c r="C1475" s="162">
        <v>0.1</v>
      </c>
      <c r="D1475" s="206">
        <v>0.1</v>
      </c>
      <c r="E1475" s="163">
        <v>0</v>
      </c>
      <c r="F1475" s="163">
        <v>0</v>
      </c>
      <c r="G1475" s="164">
        <v>0.1</v>
      </c>
      <c r="H1475" s="163">
        <v>0</v>
      </c>
      <c r="I1475" s="165">
        <v>0</v>
      </c>
      <c r="J1475" s="164">
        <v>0.1</v>
      </c>
      <c r="K1475" s="163">
        <v>0</v>
      </c>
      <c r="L1475" s="163">
        <v>0</v>
      </c>
      <c r="M1475" s="163">
        <v>0</v>
      </c>
      <c r="N1475" s="163">
        <v>0</v>
      </c>
      <c r="O1475" s="163">
        <v>0</v>
      </c>
      <c r="P1475" s="163">
        <v>0</v>
      </c>
      <c r="Q1475" s="146" t="s">
        <v>186</v>
      </c>
      <c r="T1475" s="130"/>
    </row>
    <row r="1476" spans="1:20" ht="10.7" customHeight="1" x14ac:dyDescent="0.2">
      <c r="A1476" s="122"/>
      <c r="B1476" s="161" t="s">
        <v>87</v>
      </c>
      <c r="C1476" s="162">
        <v>0</v>
      </c>
      <c r="D1476" s="206">
        <v>0</v>
      </c>
      <c r="E1476" s="163">
        <v>0</v>
      </c>
      <c r="F1476" s="163">
        <v>0</v>
      </c>
      <c r="G1476" s="164">
        <v>0</v>
      </c>
      <c r="H1476" s="163">
        <v>0</v>
      </c>
      <c r="I1476" s="165" t="s">
        <v>119</v>
      </c>
      <c r="J1476" s="164">
        <v>0</v>
      </c>
      <c r="K1476" s="163">
        <v>0</v>
      </c>
      <c r="L1476" s="163">
        <v>0</v>
      </c>
      <c r="M1476" s="163">
        <v>0</v>
      </c>
      <c r="N1476" s="163">
        <v>0</v>
      </c>
      <c r="O1476" s="163" t="s">
        <v>42</v>
      </c>
      <c r="P1476" s="163">
        <v>0</v>
      </c>
      <c r="Q1476" s="146">
        <v>0</v>
      </c>
      <c r="T1476" s="130"/>
    </row>
    <row r="1477" spans="1:20" ht="10.7" customHeight="1" x14ac:dyDescent="0.2">
      <c r="A1477" s="122"/>
      <c r="B1477" s="161" t="s">
        <v>88</v>
      </c>
      <c r="C1477" s="162">
        <v>0</v>
      </c>
      <c r="D1477" s="206">
        <v>0</v>
      </c>
      <c r="E1477" s="163">
        <v>0</v>
      </c>
      <c r="F1477" s="163">
        <v>0</v>
      </c>
      <c r="G1477" s="164">
        <v>0</v>
      </c>
      <c r="H1477" s="163">
        <v>0</v>
      </c>
      <c r="I1477" s="165" t="s">
        <v>119</v>
      </c>
      <c r="J1477" s="164">
        <v>0</v>
      </c>
      <c r="K1477" s="163">
        <v>0</v>
      </c>
      <c r="L1477" s="163">
        <v>0</v>
      </c>
      <c r="M1477" s="163">
        <v>0</v>
      </c>
      <c r="N1477" s="163">
        <v>0</v>
      </c>
      <c r="O1477" s="163" t="s">
        <v>42</v>
      </c>
      <c r="P1477" s="163">
        <v>0</v>
      </c>
      <c r="Q1477" s="146" t="s">
        <v>162</v>
      </c>
      <c r="T1477" s="130"/>
    </row>
    <row r="1478" spans="1:20" ht="10.7" customHeight="1" x14ac:dyDescent="0.2">
      <c r="A1478" s="122"/>
      <c r="B1478" s="161" t="s">
        <v>89</v>
      </c>
      <c r="C1478" s="162">
        <v>0.7</v>
      </c>
      <c r="D1478" s="206">
        <v>0.7</v>
      </c>
      <c r="E1478" s="163">
        <v>0</v>
      </c>
      <c r="F1478" s="163">
        <v>0</v>
      </c>
      <c r="G1478" s="164">
        <v>0.7</v>
      </c>
      <c r="H1478" s="163">
        <v>0</v>
      </c>
      <c r="I1478" s="165">
        <v>0</v>
      </c>
      <c r="J1478" s="164">
        <v>0.7</v>
      </c>
      <c r="K1478" s="163">
        <v>0</v>
      </c>
      <c r="L1478" s="163">
        <v>0</v>
      </c>
      <c r="M1478" s="163">
        <v>0</v>
      </c>
      <c r="N1478" s="163">
        <v>0</v>
      </c>
      <c r="O1478" s="163">
        <v>0</v>
      </c>
      <c r="P1478" s="163">
        <v>0</v>
      </c>
      <c r="Q1478" s="146" t="s">
        <v>186</v>
      </c>
      <c r="T1478" s="130"/>
    </row>
    <row r="1479" spans="1:20" ht="10.7" customHeight="1" x14ac:dyDescent="0.2">
      <c r="A1479" s="122"/>
      <c r="B1479" s="168" t="s">
        <v>91</v>
      </c>
      <c r="C1479" s="162">
        <v>3.2</v>
      </c>
      <c r="D1479" s="206">
        <v>3.0999999999999996</v>
      </c>
      <c r="E1479" s="163">
        <v>0</v>
      </c>
      <c r="F1479" s="163">
        <v>-0.10000000000000053</v>
      </c>
      <c r="G1479" s="164">
        <v>3.0999999999999996</v>
      </c>
      <c r="H1479" s="163">
        <v>0.108</v>
      </c>
      <c r="I1479" s="165">
        <v>3.4838709677419359</v>
      </c>
      <c r="J1479" s="164">
        <v>2.992</v>
      </c>
      <c r="K1479" s="163">
        <v>0.06</v>
      </c>
      <c r="L1479" s="163">
        <v>0</v>
      </c>
      <c r="M1479" s="163">
        <v>0</v>
      </c>
      <c r="N1479" s="163">
        <v>0</v>
      </c>
      <c r="O1479" s="163">
        <v>0</v>
      </c>
      <c r="P1479" s="169">
        <v>1.4999999999999999E-2</v>
      </c>
      <c r="Q1479" s="146" t="s">
        <v>186</v>
      </c>
      <c r="T1479" s="130"/>
    </row>
    <row r="1480" spans="1:20" ht="10.7" customHeight="1" x14ac:dyDescent="0.2">
      <c r="A1480" s="122"/>
      <c r="B1480" s="168"/>
      <c r="D1480" s="206"/>
      <c r="E1480" s="163"/>
      <c r="F1480" s="163"/>
      <c r="G1480" s="164"/>
      <c r="H1480" s="163"/>
      <c r="I1480" s="165"/>
      <c r="J1480" s="164"/>
      <c r="K1480" s="163"/>
      <c r="L1480" s="163"/>
      <c r="M1480" s="163"/>
      <c r="N1480" s="163"/>
      <c r="O1480" s="163"/>
      <c r="P1480" s="163"/>
      <c r="Q1480" s="146"/>
      <c r="T1480" s="130"/>
    </row>
    <row r="1481" spans="1:20" ht="10.7" customHeight="1" x14ac:dyDescent="0.2">
      <c r="A1481" s="122"/>
      <c r="B1481" s="161" t="s">
        <v>92</v>
      </c>
      <c r="C1481" s="162">
        <v>0.2</v>
      </c>
      <c r="D1481" s="206">
        <v>0.30000000000000004</v>
      </c>
      <c r="E1481" s="163">
        <v>0</v>
      </c>
      <c r="F1481" s="163">
        <v>0.10000000000000003</v>
      </c>
      <c r="G1481" s="164">
        <v>0.30000000000000004</v>
      </c>
      <c r="H1481" s="163">
        <v>0</v>
      </c>
      <c r="I1481" s="165">
        <v>0</v>
      </c>
      <c r="J1481" s="164">
        <v>0.30000000000000004</v>
      </c>
      <c r="K1481" s="163">
        <v>0</v>
      </c>
      <c r="L1481" s="163">
        <v>0</v>
      </c>
      <c r="M1481" s="163">
        <v>0</v>
      </c>
      <c r="N1481" s="163">
        <v>0</v>
      </c>
      <c r="O1481" s="163">
        <v>0</v>
      </c>
      <c r="P1481" s="163">
        <v>0</v>
      </c>
      <c r="Q1481" s="146" t="s">
        <v>186</v>
      </c>
      <c r="T1481" s="130"/>
    </row>
    <row r="1482" spans="1:20" ht="10.7" customHeight="1" x14ac:dyDescent="0.2">
      <c r="A1482" s="122"/>
      <c r="B1482" s="161" t="s">
        <v>93</v>
      </c>
      <c r="C1482" s="162">
        <v>0.3</v>
      </c>
      <c r="D1482" s="206">
        <v>0.4</v>
      </c>
      <c r="E1482" s="163">
        <v>0</v>
      </c>
      <c r="F1482" s="163">
        <v>0.10000000000000003</v>
      </c>
      <c r="G1482" s="164">
        <v>0.4</v>
      </c>
      <c r="H1482" s="163">
        <v>0</v>
      </c>
      <c r="I1482" s="165">
        <v>0</v>
      </c>
      <c r="J1482" s="164">
        <v>0.4</v>
      </c>
      <c r="K1482" s="163">
        <v>0</v>
      </c>
      <c r="L1482" s="163">
        <v>0</v>
      </c>
      <c r="M1482" s="163">
        <v>0</v>
      </c>
      <c r="N1482" s="163">
        <v>0</v>
      </c>
      <c r="O1482" s="163">
        <v>0</v>
      </c>
      <c r="P1482" s="163">
        <v>0</v>
      </c>
      <c r="Q1482" s="146" t="s">
        <v>186</v>
      </c>
      <c r="T1482" s="130"/>
    </row>
    <row r="1483" spans="1:20" ht="10.7" hidden="1" customHeight="1" x14ac:dyDescent="0.2">
      <c r="A1483" s="122"/>
      <c r="B1483" s="161" t="s">
        <v>94</v>
      </c>
      <c r="C1483" s="162">
        <v>0</v>
      </c>
      <c r="D1483" s="206">
        <v>0</v>
      </c>
      <c r="E1483" s="163">
        <v>0</v>
      </c>
      <c r="F1483" s="163">
        <v>0</v>
      </c>
      <c r="G1483" s="164">
        <v>0</v>
      </c>
      <c r="H1483" s="163">
        <v>0</v>
      </c>
      <c r="I1483" s="165" t="s">
        <v>119</v>
      </c>
      <c r="J1483" s="164">
        <v>0</v>
      </c>
      <c r="K1483" s="163">
        <v>0</v>
      </c>
      <c r="L1483" s="163">
        <v>0</v>
      </c>
      <c r="M1483" s="163">
        <v>0</v>
      </c>
      <c r="N1483" s="163">
        <v>0</v>
      </c>
      <c r="O1483" s="163" t="s">
        <v>42</v>
      </c>
      <c r="P1483" s="163">
        <v>0</v>
      </c>
      <c r="Q1483" s="146" t="s">
        <v>162</v>
      </c>
      <c r="T1483" s="130"/>
    </row>
    <row r="1484" spans="1:20" ht="10.7" customHeight="1" x14ac:dyDescent="0.2">
      <c r="A1484" s="122"/>
      <c r="B1484" s="161" t="s">
        <v>95</v>
      </c>
      <c r="C1484" s="162">
        <v>0</v>
      </c>
      <c r="D1484" s="206">
        <v>0</v>
      </c>
      <c r="E1484" s="163">
        <v>0</v>
      </c>
      <c r="F1484" s="163">
        <v>0</v>
      </c>
      <c r="G1484" s="164">
        <v>0</v>
      </c>
      <c r="H1484" s="163">
        <v>0</v>
      </c>
      <c r="I1484" s="165" t="s">
        <v>119</v>
      </c>
      <c r="J1484" s="164">
        <v>0</v>
      </c>
      <c r="K1484" s="163">
        <v>0</v>
      </c>
      <c r="L1484" s="163">
        <v>0</v>
      </c>
      <c r="M1484" s="163">
        <v>0</v>
      </c>
      <c r="N1484" s="163">
        <v>0</v>
      </c>
      <c r="O1484" s="163" t="s">
        <v>42</v>
      </c>
      <c r="P1484" s="163">
        <v>0</v>
      </c>
      <c r="Q1484" s="146">
        <v>0</v>
      </c>
      <c r="T1484" s="130"/>
    </row>
    <row r="1485" spans="1:20" ht="10.7" customHeight="1" x14ac:dyDescent="0.2">
      <c r="A1485" s="122"/>
      <c r="B1485" s="161" t="s">
        <v>96</v>
      </c>
      <c r="C1485" s="162">
        <v>0.1</v>
      </c>
      <c r="D1485" s="206">
        <v>0</v>
      </c>
      <c r="E1485" s="163">
        <v>0</v>
      </c>
      <c r="F1485" s="163">
        <v>-0.1</v>
      </c>
      <c r="G1485" s="164">
        <v>0</v>
      </c>
      <c r="H1485" s="163">
        <v>0</v>
      </c>
      <c r="I1485" s="165" t="s">
        <v>119</v>
      </c>
      <c r="J1485" s="164">
        <v>0</v>
      </c>
      <c r="K1485" s="163">
        <v>0</v>
      </c>
      <c r="L1485" s="163">
        <v>0</v>
      </c>
      <c r="M1485" s="163">
        <v>0</v>
      </c>
      <c r="N1485" s="163">
        <v>0</v>
      </c>
      <c r="O1485" s="163" t="s">
        <v>42</v>
      </c>
      <c r="P1485" s="163">
        <v>0</v>
      </c>
      <c r="Q1485" s="146">
        <v>0</v>
      </c>
      <c r="T1485" s="130"/>
    </row>
    <row r="1486" spans="1:20" ht="10.7" customHeight="1" x14ac:dyDescent="0.2">
      <c r="A1486" s="122"/>
      <c r="B1486" s="161" t="s">
        <v>97</v>
      </c>
      <c r="C1486" s="162">
        <v>0</v>
      </c>
      <c r="D1486" s="206">
        <v>0</v>
      </c>
      <c r="E1486" s="163">
        <v>0</v>
      </c>
      <c r="F1486" s="163">
        <v>0</v>
      </c>
      <c r="G1486" s="164">
        <v>0</v>
      </c>
      <c r="H1486" s="163">
        <v>0</v>
      </c>
      <c r="I1486" s="165" t="s">
        <v>119</v>
      </c>
      <c r="J1486" s="164">
        <v>0</v>
      </c>
      <c r="K1486" s="163">
        <v>0</v>
      </c>
      <c r="L1486" s="163">
        <v>0</v>
      </c>
      <c r="M1486" s="163">
        <v>0</v>
      </c>
      <c r="N1486" s="163">
        <v>0</v>
      </c>
      <c r="O1486" s="163" t="s">
        <v>42</v>
      </c>
      <c r="P1486" s="163">
        <v>0</v>
      </c>
      <c r="Q1486" s="146">
        <v>0</v>
      </c>
      <c r="T1486" s="130"/>
    </row>
    <row r="1487" spans="1:20" ht="10.7" customHeight="1" x14ac:dyDescent="0.2">
      <c r="A1487" s="122"/>
      <c r="B1487" s="161" t="s">
        <v>98</v>
      </c>
      <c r="C1487" s="162">
        <v>0.2</v>
      </c>
      <c r="D1487" s="206">
        <v>0.2</v>
      </c>
      <c r="E1487" s="163">
        <v>0</v>
      </c>
      <c r="F1487" s="163">
        <v>0</v>
      </c>
      <c r="G1487" s="164">
        <v>0.2</v>
      </c>
      <c r="H1487" s="163">
        <v>0</v>
      </c>
      <c r="I1487" s="165">
        <v>0</v>
      </c>
      <c r="J1487" s="164">
        <v>0.2</v>
      </c>
      <c r="K1487" s="163">
        <v>0</v>
      </c>
      <c r="L1487" s="163">
        <v>0</v>
      </c>
      <c r="M1487" s="163">
        <v>0</v>
      </c>
      <c r="N1487" s="163">
        <v>0</v>
      </c>
      <c r="O1487" s="163">
        <v>0</v>
      </c>
      <c r="P1487" s="163">
        <v>0</v>
      </c>
      <c r="Q1487" s="146" t="s">
        <v>186</v>
      </c>
      <c r="T1487" s="130"/>
    </row>
    <row r="1488" spans="1:20" ht="10.7" customHeight="1" x14ac:dyDescent="0.2">
      <c r="A1488" s="122"/>
      <c r="B1488" s="161" t="s">
        <v>99</v>
      </c>
      <c r="C1488" s="162">
        <v>0</v>
      </c>
      <c r="D1488" s="206">
        <v>0</v>
      </c>
      <c r="E1488" s="163">
        <v>0</v>
      </c>
      <c r="F1488" s="163">
        <v>0</v>
      </c>
      <c r="G1488" s="164">
        <v>0</v>
      </c>
      <c r="H1488" s="163">
        <v>0</v>
      </c>
      <c r="I1488" s="165" t="s">
        <v>119</v>
      </c>
      <c r="J1488" s="164">
        <v>0</v>
      </c>
      <c r="K1488" s="163">
        <v>0</v>
      </c>
      <c r="L1488" s="163">
        <v>0</v>
      </c>
      <c r="M1488" s="163">
        <v>0</v>
      </c>
      <c r="N1488" s="163">
        <v>0</v>
      </c>
      <c r="O1488" s="163" t="s">
        <v>42</v>
      </c>
      <c r="P1488" s="163">
        <v>0</v>
      </c>
      <c r="Q1488" s="146">
        <v>0</v>
      </c>
      <c r="T1488" s="130"/>
    </row>
    <row r="1489" spans="1:20" ht="10.7" customHeight="1" x14ac:dyDescent="0.2">
      <c r="A1489" s="122"/>
      <c r="B1489" s="161" t="s">
        <v>100</v>
      </c>
      <c r="C1489" s="162">
        <v>0</v>
      </c>
      <c r="D1489" s="206">
        <v>0</v>
      </c>
      <c r="E1489" s="163">
        <v>0</v>
      </c>
      <c r="F1489" s="163">
        <v>0</v>
      </c>
      <c r="G1489" s="164">
        <v>0</v>
      </c>
      <c r="H1489" s="163">
        <v>0</v>
      </c>
      <c r="I1489" s="165" t="s">
        <v>119</v>
      </c>
      <c r="J1489" s="164">
        <v>0</v>
      </c>
      <c r="K1489" s="163">
        <v>0</v>
      </c>
      <c r="L1489" s="163">
        <v>0</v>
      </c>
      <c r="M1489" s="163">
        <v>0</v>
      </c>
      <c r="N1489" s="163">
        <v>0</v>
      </c>
      <c r="O1489" s="163" t="s">
        <v>42</v>
      </c>
      <c r="P1489" s="163">
        <v>0</v>
      </c>
      <c r="Q1489" s="146">
        <v>0</v>
      </c>
      <c r="T1489" s="130"/>
    </row>
    <row r="1490" spans="1:20" ht="10.7" customHeight="1" x14ac:dyDescent="0.2">
      <c r="A1490" s="122"/>
      <c r="B1490" s="161" t="s">
        <v>101</v>
      </c>
      <c r="C1490" s="162">
        <v>0</v>
      </c>
      <c r="D1490" s="206">
        <v>0</v>
      </c>
      <c r="E1490" s="163">
        <v>0</v>
      </c>
      <c r="F1490" s="163">
        <v>0</v>
      </c>
      <c r="G1490" s="164">
        <v>0</v>
      </c>
      <c r="H1490" s="163">
        <v>0</v>
      </c>
      <c r="I1490" s="165" t="s">
        <v>119</v>
      </c>
      <c r="J1490" s="164">
        <v>0</v>
      </c>
      <c r="K1490" s="163">
        <v>0</v>
      </c>
      <c r="L1490" s="163">
        <v>0</v>
      </c>
      <c r="M1490" s="163">
        <v>0</v>
      </c>
      <c r="N1490" s="163">
        <v>0</v>
      </c>
      <c r="O1490" s="163" t="s">
        <v>42</v>
      </c>
      <c r="P1490" s="163">
        <v>0</v>
      </c>
      <c r="Q1490" s="146">
        <v>0</v>
      </c>
      <c r="T1490" s="130"/>
    </row>
    <row r="1491" spans="1:20" ht="10.7" customHeight="1" x14ac:dyDescent="0.2">
      <c r="A1491" s="122"/>
      <c r="B1491" s="161" t="s">
        <v>102</v>
      </c>
      <c r="C1491" s="162">
        <v>0</v>
      </c>
      <c r="D1491" s="206">
        <v>0</v>
      </c>
      <c r="E1491" s="163">
        <v>0</v>
      </c>
      <c r="F1491" s="163">
        <v>0</v>
      </c>
      <c r="G1491" s="164">
        <v>0</v>
      </c>
      <c r="H1491" s="163">
        <v>0</v>
      </c>
      <c r="I1491" s="165" t="s">
        <v>119</v>
      </c>
      <c r="J1491" s="164">
        <v>0</v>
      </c>
      <c r="K1491" s="163">
        <v>0</v>
      </c>
      <c r="L1491" s="163">
        <v>0</v>
      </c>
      <c r="M1491" s="163">
        <v>0</v>
      </c>
      <c r="N1491" s="163">
        <v>0</v>
      </c>
      <c r="O1491" s="163" t="s">
        <v>42</v>
      </c>
      <c r="P1491" s="163">
        <v>0</v>
      </c>
      <c r="Q1491" s="146" t="s">
        <v>162</v>
      </c>
      <c r="T1491" s="130"/>
    </row>
    <row r="1492" spans="1:20" ht="10.7" customHeight="1" x14ac:dyDescent="0.2">
      <c r="A1492" s="122"/>
      <c r="B1492" s="161" t="s">
        <v>103</v>
      </c>
      <c r="C1492" s="162">
        <v>0</v>
      </c>
      <c r="D1492" s="206">
        <v>0</v>
      </c>
      <c r="E1492" s="163">
        <v>0</v>
      </c>
      <c r="F1492" s="163">
        <v>0</v>
      </c>
      <c r="G1492" s="164">
        <v>0</v>
      </c>
      <c r="H1492" s="163">
        <v>0</v>
      </c>
      <c r="I1492" s="165" t="s">
        <v>119</v>
      </c>
      <c r="J1492" s="164">
        <v>0</v>
      </c>
      <c r="K1492" s="163">
        <v>0</v>
      </c>
      <c r="L1492" s="163">
        <v>0</v>
      </c>
      <c r="M1492" s="163">
        <v>0</v>
      </c>
      <c r="N1492" s="163">
        <v>0</v>
      </c>
      <c r="O1492" s="163" t="s">
        <v>42</v>
      </c>
      <c r="P1492" s="163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104</v>
      </c>
      <c r="C1493" s="162">
        <v>0</v>
      </c>
      <c r="D1493" s="206">
        <v>0</v>
      </c>
      <c r="E1493" s="163">
        <v>0</v>
      </c>
      <c r="F1493" s="163">
        <v>0</v>
      </c>
      <c r="G1493" s="164">
        <v>0</v>
      </c>
      <c r="H1493" s="163">
        <v>0</v>
      </c>
      <c r="I1493" s="165" t="s">
        <v>119</v>
      </c>
      <c r="J1493" s="164">
        <v>0</v>
      </c>
      <c r="K1493" s="163">
        <v>0</v>
      </c>
      <c r="L1493" s="163">
        <v>0</v>
      </c>
      <c r="M1493" s="163">
        <v>0</v>
      </c>
      <c r="N1493" s="163">
        <v>0</v>
      </c>
      <c r="O1493" s="163" t="s">
        <v>42</v>
      </c>
      <c r="P1493" s="163">
        <v>0</v>
      </c>
      <c r="Q1493" s="146">
        <v>0</v>
      </c>
      <c r="T1493" s="130"/>
    </row>
    <row r="1494" spans="1:20" ht="10.7" customHeight="1" x14ac:dyDescent="0.2">
      <c r="A1494" s="122"/>
      <c r="B1494" s="168" t="s">
        <v>106</v>
      </c>
      <c r="C1494" s="172">
        <v>4</v>
      </c>
      <c r="D1494" s="206">
        <v>3.9999999999999996</v>
      </c>
      <c r="E1494" s="163">
        <v>0</v>
      </c>
      <c r="F1494" s="163">
        <v>0</v>
      </c>
      <c r="G1494" s="164">
        <v>3.9999999999999996</v>
      </c>
      <c r="H1494" s="163">
        <v>0.108</v>
      </c>
      <c r="I1494" s="165">
        <v>2.7000000000000006</v>
      </c>
      <c r="J1494" s="164">
        <v>3.8919999999999995</v>
      </c>
      <c r="K1494" s="163">
        <v>0.06</v>
      </c>
      <c r="L1494" s="163">
        <v>0</v>
      </c>
      <c r="M1494" s="163">
        <v>0</v>
      </c>
      <c r="N1494" s="163">
        <v>0</v>
      </c>
      <c r="O1494" s="163">
        <v>0</v>
      </c>
      <c r="P1494" s="163">
        <v>1.4999999999999999E-2</v>
      </c>
      <c r="Q1494" s="146" t="s">
        <v>186</v>
      </c>
      <c r="T1494" s="130"/>
    </row>
    <row r="1495" spans="1:20" ht="10.7" customHeight="1" x14ac:dyDescent="0.2">
      <c r="A1495" s="122"/>
      <c r="B1495" s="168"/>
      <c r="C1495" s="162"/>
      <c r="D1495" s="206"/>
      <c r="E1495" s="163"/>
      <c r="F1495" s="163"/>
      <c r="G1495" s="164"/>
      <c r="H1495" s="163"/>
      <c r="I1495" s="165"/>
      <c r="J1495" s="164"/>
      <c r="K1495" s="163"/>
      <c r="L1495" s="163"/>
      <c r="M1495" s="163"/>
      <c r="N1495" s="163"/>
      <c r="O1495" s="163"/>
      <c r="P1495" s="163"/>
      <c r="Q1495" s="146"/>
      <c r="T1495" s="130"/>
    </row>
    <row r="1496" spans="1:20" ht="10.7" customHeight="1" x14ac:dyDescent="0.2">
      <c r="A1496" s="122"/>
      <c r="B1496" s="161" t="s">
        <v>107</v>
      </c>
      <c r="C1496" s="162">
        <v>0</v>
      </c>
      <c r="D1496" s="206">
        <v>0</v>
      </c>
      <c r="E1496" s="163">
        <v>0</v>
      </c>
      <c r="F1496" s="163">
        <v>0</v>
      </c>
      <c r="G1496" s="164">
        <v>0</v>
      </c>
      <c r="H1496" s="163">
        <v>0</v>
      </c>
      <c r="I1496" s="165" t="s">
        <v>119</v>
      </c>
      <c r="J1496" s="164">
        <v>0</v>
      </c>
      <c r="K1496" s="163">
        <v>0</v>
      </c>
      <c r="L1496" s="163">
        <v>0</v>
      </c>
      <c r="M1496" s="163">
        <v>0</v>
      </c>
      <c r="N1496" s="163">
        <v>0</v>
      </c>
      <c r="O1496" s="163" t="s">
        <v>42</v>
      </c>
      <c r="P1496" s="163">
        <v>0</v>
      </c>
      <c r="Q1496" s="146">
        <v>0</v>
      </c>
      <c r="T1496" s="130"/>
    </row>
    <row r="1497" spans="1:20" ht="10.7" customHeight="1" x14ac:dyDescent="0.2">
      <c r="A1497" s="122"/>
      <c r="B1497" s="161" t="s">
        <v>108</v>
      </c>
      <c r="C1497" s="162">
        <v>0</v>
      </c>
      <c r="D1497" s="162">
        <v>0</v>
      </c>
      <c r="E1497" s="173">
        <v>0</v>
      </c>
      <c r="F1497" s="163">
        <v>0</v>
      </c>
      <c r="G1497" s="164">
        <v>0</v>
      </c>
      <c r="H1497" s="163">
        <v>0</v>
      </c>
      <c r="I1497" s="165" t="s">
        <v>119</v>
      </c>
      <c r="J1497" s="164">
        <v>0</v>
      </c>
      <c r="K1497" s="163">
        <v>0</v>
      </c>
      <c r="L1497" s="163">
        <v>0</v>
      </c>
      <c r="M1497" s="163">
        <v>0</v>
      </c>
      <c r="N1497" s="163">
        <v>0</v>
      </c>
      <c r="O1497" s="163" t="s">
        <v>42</v>
      </c>
      <c r="P1497" s="163">
        <v>0</v>
      </c>
      <c r="Q1497" s="146">
        <v>0</v>
      </c>
      <c r="T1497" s="130"/>
    </row>
    <row r="1498" spans="1:20" ht="10.7" customHeight="1" x14ac:dyDescent="0.2">
      <c r="A1498" s="122"/>
      <c r="B1498" s="174" t="s">
        <v>109</v>
      </c>
      <c r="C1498" s="162">
        <v>0</v>
      </c>
      <c r="D1498" s="162">
        <v>0</v>
      </c>
      <c r="E1498" s="173">
        <v>0</v>
      </c>
      <c r="F1498" s="163">
        <v>0</v>
      </c>
      <c r="G1498" s="164">
        <v>0</v>
      </c>
      <c r="H1498" s="163">
        <v>0</v>
      </c>
      <c r="I1498" s="165" t="s">
        <v>119</v>
      </c>
      <c r="J1498" s="164">
        <v>0</v>
      </c>
      <c r="K1498" s="163">
        <v>0</v>
      </c>
      <c r="L1498" s="163">
        <v>0</v>
      </c>
      <c r="M1498" s="163">
        <v>0</v>
      </c>
      <c r="N1498" s="163">
        <v>0</v>
      </c>
      <c r="O1498" s="163" t="s">
        <v>42</v>
      </c>
      <c r="P1498" s="163">
        <v>0</v>
      </c>
      <c r="Q1498" s="146">
        <v>0</v>
      </c>
      <c r="T1498" s="130"/>
    </row>
    <row r="1499" spans="1:20" ht="10.7" customHeight="1" x14ac:dyDescent="0.2">
      <c r="A1499" s="122"/>
      <c r="B1499" s="174"/>
      <c r="C1499" s="162"/>
      <c r="D1499" s="206"/>
      <c r="E1499" s="163"/>
      <c r="F1499" s="163"/>
      <c r="G1499" s="164"/>
      <c r="H1499" s="163"/>
      <c r="I1499" s="165"/>
      <c r="J1499" s="164"/>
      <c r="K1499" s="163"/>
      <c r="L1499" s="163"/>
      <c r="M1499" s="163"/>
      <c r="N1499" s="163"/>
      <c r="O1499" s="163"/>
      <c r="P1499" s="163"/>
      <c r="Q1499" s="146"/>
      <c r="T1499" s="130"/>
    </row>
    <row r="1500" spans="1:20" ht="10.7" customHeight="1" x14ac:dyDescent="0.2">
      <c r="A1500" s="122"/>
      <c r="B1500" s="174" t="s">
        <v>111</v>
      </c>
      <c r="C1500" s="162"/>
      <c r="D1500" s="206"/>
      <c r="E1500" s="163"/>
      <c r="F1500" s="163"/>
      <c r="G1500" s="164">
        <v>0</v>
      </c>
      <c r="H1500" s="163"/>
      <c r="I1500" s="165"/>
      <c r="J1500" s="164">
        <v>0</v>
      </c>
      <c r="K1500" s="163"/>
      <c r="L1500" s="163"/>
      <c r="M1500" s="163"/>
      <c r="N1500" s="163"/>
      <c r="O1500" s="163" t="s">
        <v>42</v>
      </c>
      <c r="P1500" s="163"/>
      <c r="Q1500" s="146"/>
      <c r="T1500" s="130"/>
    </row>
    <row r="1501" spans="1:20" ht="10.7" customHeight="1" x14ac:dyDescent="0.2">
      <c r="A1501" s="122"/>
      <c r="B1501" s="175" t="s">
        <v>112</v>
      </c>
      <c r="C1501" s="176">
        <v>4</v>
      </c>
      <c r="D1501" s="201">
        <v>3.9999999999999996</v>
      </c>
      <c r="E1501" s="177">
        <v>0</v>
      </c>
      <c r="F1501" s="180">
        <v>0</v>
      </c>
      <c r="G1501" s="189">
        <v>3.9999999999999996</v>
      </c>
      <c r="H1501" s="180">
        <v>0.108</v>
      </c>
      <c r="I1501" s="179">
        <v>2.7</v>
      </c>
      <c r="J1501" s="189">
        <v>3.8919999999999995</v>
      </c>
      <c r="K1501" s="180">
        <v>0.06</v>
      </c>
      <c r="L1501" s="180">
        <v>0</v>
      </c>
      <c r="M1501" s="180">
        <v>0</v>
      </c>
      <c r="N1501" s="180">
        <v>0</v>
      </c>
      <c r="O1501" s="180">
        <v>0</v>
      </c>
      <c r="P1501" s="180">
        <v>1.4999999999999999E-2</v>
      </c>
      <c r="Q1501" s="153" t="s">
        <v>186</v>
      </c>
      <c r="T1501" s="130"/>
    </row>
    <row r="1502" spans="1:20" ht="10.7" customHeight="1" x14ac:dyDescent="0.2">
      <c r="A1502" s="122"/>
      <c r="B1502" s="191" t="s">
        <v>241</v>
      </c>
      <c r="C1502" s="191"/>
      <c r="D1502" s="183"/>
      <c r="E1502" s="183"/>
      <c r="F1502" s="183"/>
      <c r="G1502" s="184"/>
      <c r="H1502" s="183"/>
      <c r="I1502" s="163"/>
      <c r="J1502" s="184"/>
      <c r="K1502" s="185"/>
      <c r="L1502" s="185"/>
      <c r="M1502" s="185"/>
      <c r="N1502" s="185"/>
      <c r="O1502" s="173"/>
      <c r="P1502" s="183"/>
      <c r="Q1502" s="182"/>
      <c r="T1502" s="130"/>
    </row>
    <row r="1503" spans="1:20" ht="10.7" customHeight="1" x14ac:dyDescent="0.2">
      <c r="A1503" s="122"/>
      <c r="B1503" s="123" t="s">
        <v>114</v>
      </c>
      <c r="C1503" s="123"/>
      <c r="J1503" s="192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16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6" customWidth="1"/>
    <col min="20" max="16384" width="10.28515625" style="130"/>
  </cols>
  <sheetData>
    <row r="1" spans="1:16" s="130" customFormat="1" ht="10.7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tr">
        <f>"Landings on Fisheries Administrations' System by Wednesday "&amp; TEXT('[1]Cumulative '!$B$5,"dd mmmm yyy")</f>
        <v>Landings on Fisheries Administrations' System by Wednesday 28 March 2018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f>[1]weeks!$B$154</f>
        <v>43166</v>
      </c>
      <c r="K6" s="151">
        <f>[1]weeks!$B$105</f>
        <v>43173</v>
      </c>
      <c r="L6" s="151">
        <f>[1]weeks!$B$55</f>
        <v>43180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158" t="s">
        <v>163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145"/>
    </row>
    <row r="9" spans="1:16" s="130" customFormat="1" ht="10.7" customHeight="1" x14ac:dyDescent="0.2">
      <c r="A9" s="122"/>
      <c r="B9" s="161" t="s">
        <v>132</v>
      </c>
      <c r="C9" s="162">
        <f>'[2]IV&amp;VI Combined'!$B$29</f>
        <v>14.7</v>
      </c>
      <c r="D9" s="163">
        <f>F9-VLOOKUP(B9,[1]Quota!$B$103:$BJ$143,3,FALSE)</f>
        <v>-0.5</v>
      </c>
      <c r="E9" s="163">
        <f>F9-C9</f>
        <v>-0.5</v>
      </c>
      <c r="F9" s="164">
        <f>VLOOKUP(B9,[1]Quota!$B$81:$BJ$92,3,FALSE)</f>
        <v>14.2</v>
      </c>
      <c r="G9" s="163">
        <f>'[1]Cumulative '!D221</f>
        <v>1.9410000000000001</v>
      </c>
      <c r="H9" s="165">
        <f t="shared" ref="H9:H23" si="0">IF(AND(F9&lt;=0),"n/a",IF(F9=0,0,100*G9/F9))</f>
        <v>13.669014084507042</v>
      </c>
      <c r="I9" s="164">
        <f>F9-G9</f>
        <v>12.258999999999999</v>
      </c>
      <c r="J9" s="163">
        <f>VLOOKUP(B9,[1]weeks!$B$156:$BO$193,3,FALSE)-VLOOKUP(B9,[1]weeks!$B$206:$BO$243,3,FALSE)</f>
        <v>0.5797000000000001</v>
      </c>
      <c r="K9" s="163">
        <f>VLOOKUP(B9,[1]weeks!$B$107:$BO$144,3,FALSE)-VLOOKUP(B9,[1]weeks!$B$156:$BO$193,3,FALSE)</f>
        <v>3.0000000000000027E-2</v>
      </c>
      <c r="L9" s="163">
        <f>VLOOKUP(B9,[1]weeks!$B$55:$BO$94,3,FALSE)-VLOOKUP(B9,[1]weeks!$B$107:$BO$144,3,FALSE)</f>
        <v>0.1895</v>
      </c>
      <c r="M9" s="163">
        <f>VLOOKUP(B9,[1]weeks!$B$5:$BO$44,3,FALSE)-VLOOKUP(B9,[1]weeks!$B$55:$BO$94,3,FALSE)</f>
        <v>2.3900000000000032E-2</v>
      </c>
      <c r="N9" s="163">
        <f>IF(F9&gt;0,M9/F9*100,"-")</f>
        <v>0.1683098591549298</v>
      </c>
      <c r="O9" s="163">
        <f>SUM(J9:M9)/4</f>
        <v>0.20577500000000004</v>
      </c>
      <c r="P9" s="146" t="str">
        <f>IF(ISNUMBER(VLOOKUP(B9,[1]Closures!B:BI,3,FALSE)),TEXT(VLOOKUP(B9,[1]Closures!B:BI,3,FALSE),"ddmmm"),IF(C9&lt;=0,0,IF(I9&lt;=0,0,IF(AND(C9&gt;0,O9&lt;=0),"&gt;52",IF(I9/O9&gt;52,"&gt;52", MAX(0,I9/O9-2))))))</f>
        <v>&gt;52</v>
      </c>
    </row>
    <row r="10" spans="1:16" s="130" customFormat="1" ht="10.7" customHeight="1" x14ac:dyDescent="0.2">
      <c r="A10" s="122"/>
      <c r="B10" s="161" t="s">
        <v>133</v>
      </c>
      <c r="C10" s="162">
        <f>'[2]IV&amp;VI Combined'!$B$30</f>
        <v>3.3</v>
      </c>
      <c r="D10" s="163">
        <f>F10-VLOOKUP(B10,[1]Quota!$B$103:$BJ$143,3,FALSE)</f>
        <v>0</v>
      </c>
      <c r="E10" s="163">
        <f t="shared" ref="E10:E23" si="1">F10-C10</f>
        <v>-3.3</v>
      </c>
      <c r="F10" s="164">
        <f>VLOOKUP(B10,[1]Quota!$B$81:$BJ$92,3,FALSE)</f>
        <v>0</v>
      </c>
      <c r="G10" s="163">
        <f>'[1]Cumulative '!D222</f>
        <v>0</v>
      </c>
      <c r="H10" s="165" t="str">
        <f t="shared" si="0"/>
        <v>n/a</v>
      </c>
      <c r="I10" s="164">
        <f t="shared" ref="I10:I13" si="2">F10-G10</f>
        <v>0</v>
      </c>
      <c r="J10" s="163">
        <f>VLOOKUP(B10,[1]weeks!$B$156:$BO$193,3,FALSE)-VLOOKUP(B10,[1]weeks!$B$206:$BO$243,3,FALSE)</f>
        <v>0</v>
      </c>
      <c r="K10" s="163">
        <f>VLOOKUP(B10,[1]weeks!$B$107:$BO$144,3,FALSE)-VLOOKUP(B10,[1]weeks!$B$156:$BO$193,3,FALSE)</f>
        <v>0</v>
      </c>
      <c r="L10" s="163">
        <f>VLOOKUP(B10,[1]weeks!$B$55:$BO$94,3,FALSE)-VLOOKUP(B10,[1]weeks!$B$107:$BO$144,3,FALSE)</f>
        <v>0</v>
      </c>
      <c r="M10" s="163">
        <f>VLOOKUP(B10,[1]weeks!$B$5:$BO$44,3,FALSE)-VLOOKUP(B10,[1]weeks!$B$55:$BO$94,3,FALSE)</f>
        <v>0</v>
      </c>
      <c r="N10" s="163" t="str">
        <f t="shared" ref="N10:N23" si="3">IF(F10&gt;0,M10/F10*100,"-")</f>
        <v>-</v>
      </c>
      <c r="O10" s="163">
        <f t="shared" ref="O10:O16" si="4">SUM(J10:M10)/4</f>
        <v>0</v>
      </c>
      <c r="P10" s="146">
        <f>IF(ISNUMBER(VLOOKUP(B10,[1]Closures!B:BI,3,FALSE)),TEXT(VLOOKUP(B10,[1]Closures!B:BI,3,FALSE),"ddmmm"),IF(C10&lt;=0,0,IF(I10&lt;=0,0,IF(AND(C10&gt;0,O10&lt;=0),"&gt;52",IF(I10/O10&gt;52,"&gt;52", MAX(0,I10/O10-2))))))</f>
        <v>0</v>
      </c>
    </row>
    <row r="11" spans="1:16" s="130" customFormat="1" ht="10.7" customHeight="1" x14ac:dyDescent="0.2">
      <c r="A11" s="122"/>
      <c r="B11" s="161" t="s">
        <v>134</v>
      </c>
      <c r="C11" s="162">
        <f>'[2]IV&amp;VI Combined'!$B$31</f>
        <v>3.5</v>
      </c>
      <c r="D11" s="163">
        <f>F11-VLOOKUP(B11,[1]Quota!$B$103:$BJ$143,3,FALSE)</f>
        <v>0</v>
      </c>
      <c r="E11" s="163">
        <f t="shared" si="1"/>
        <v>0</v>
      </c>
      <c r="F11" s="164">
        <f>VLOOKUP(B11,[1]Quota!$B$81:$BJ$92,3,FALSE)</f>
        <v>3.5</v>
      </c>
      <c r="G11" s="163">
        <f>'[1]Cumulative '!D223</f>
        <v>4.1000000000000002E-2</v>
      </c>
      <c r="H11" s="165">
        <f t="shared" si="0"/>
        <v>1.1714285714285715</v>
      </c>
      <c r="I11" s="164">
        <f t="shared" si="2"/>
        <v>3.4590000000000001</v>
      </c>
      <c r="J11" s="163">
        <f>VLOOKUP(B11,[1]weeks!$B$156:$BO$193,3,FALSE)-VLOOKUP(B11,[1]weeks!$B$206:$BO$243,3,FALSE)</f>
        <v>0</v>
      </c>
      <c r="K11" s="163">
        <f>VLOOKUP(B11,[1]weeks!$B$107:$BO$144,3,FALSE)-VLOOKUP(B11,[1]weeks!$B$156:$BO$193,3,FALSE)</f>
        <v>0</v>
      </c>
      <c r="L11" s="163">
        <f>VLOOKUP(B11,[1]weeks!$B$55:$BO$94,3,FALSE)-VLOOKUP(B11,[1]weeks!$B$107:$BO$144,3,FALSE)</f>
        <v>0</v>
      </c>
      <c r="M11" s="163">
        <f>VLOOKUP(B11,[1]weeks!$B$5:$BO$44,3,FALSE)-VLOOKUP(B11,[1]weeks!$B$55:$BO$94,3,FALSE)</f>
        <v>0</v>
      </c>
      <c r="N11" s="163">
        <f t="shared" si="3"/>
        <v>0</v>
      </c>
      <c r="O11" s="163">
        <f t="shared" si="4"/>
        <v>0</v>
      </c>
      <c r="P11" s="146" t="str">
        <f>IF(ISNUMBER(VLOOKUP(B11,[1]Closures!B:BI,3,FALSE)),TEXT(VLOOKUP(B11,[1]Closures!B:BI,3,FALSE),"ddmmm"),IF(C11&lt;=0,0,IF(I11&lt;=0,0,IF(AND(C11&gt;0,O11&lt;=0),"&gt;52",IF(I11/O11&gt;52,"&gt;52", MAX(0,I11/O11-2))))))</f>
        <v>&gt;52</v>
      </c>
    </row>
    <row r="12" spans="1:16" s="130" customFormat="1" ht="10.7" customHeight="1" x14ac:dyDescent="0.2">
      <c r="A12" s="122"/>
      <c r="B12" s="161" t="s">
        <v>135</v>
      </c>
      <c r="C12" s="162">
        <f>'[2]IV&amp;VI Combined'!$B$32</f>
        <v>0</v>
      </c>
      <c r="D12" s="163">
        <f>F12-VLOOKUP(B12,[1]Quota!$B$103:$BJ$143,3,FALSE)</f>
        <v>0</v>
      </c>
      <c r="E12" s="163">
        <f t="shared" si="1"/>
        <v>0</v>
      </c>
      <c r="F12" s="164">
        <f>VLOOKUP(B12,[1]Quota!$B$81:$BJ$92,3,FALSE)</f>
        <v>0</v>
      </c>
      <c r="G12" s="163">
        <f>'[1]Cumulative '!D224</f>
        <v>0</v>
      </c>
      <c r="H12" s="165" t="str">
        <f t="shared" si="0"/>
        <v>n/a</v>
      </c>
      <c r="I12" s="164">
        <f t="shared" si="2"/>
        <v>0</v>
      </c>
      <c r="J12" s="163">
        <f>VLOOKUP(B12,[1]weeks!$B$156:$BO$193,3,FALSE)-VLOOKUP(B12,[1]weeks!$B$206:$BO$243,3,FALSE)</f>
        <v>0</v>
      </c>
      <c r="K12" s="163">
        <f>VLOOKUP(B12,[1]weeks!$B$107:$BO$144,3,FALSE)-VLOOKUP(B12,[1]weeks!$B$156:$BO$193,3,FALSE)</f>
        <v>0</v>
      </c>
      <c r="L12" s="163">
        <f>VLOOKUP(B12,[1]weeks!$B$55:$BO$94,3,FALSE)-VLOOKUP(B12,[1]weeks!$B$107:$BO$144,3,FALSE)</f>
        <v>0</v>
      </c>
      <c r="M12" s="163">
        <f>VLOOKUP(B12,[1]weeks!$B$5:$BO$44,3,FALSE)-VLOOKUP(B12,[1]weeks!$B$55:$BO$94,3,FALSE)</f>
        <v>0</v>
      </c>
      <c r="N12" s="163" t="str">
        <f t="shared" si="3"/>
        <v>-</v>
      </c>
      <c r="O12" s="163">
        <f t="shared" si="4"/>
        <v>0</v>
      </c>
      <c r="P12" s="146">
        <f>IF(ISNUMBER(VLOOKUP(B12,[1]Closures!B:BI,3,FALSE)),TEXT(VLOOKUP(B12,[1]Closures!B:BI,3,FALSE),"ddmmm"),IF(C12&lt;=0,0,IF(I12&lt;=0,0,IF(AND(C12&gt;0,O12&lt;=0),"&gt;52",IF(I12/O12&gt;52,"&gt;52", MAX(0,I12/O12-2))))))</f>
        <v>0</v>
      </c>
    </row>
    <row r="13" spans="1:16" s="130" customFormat="1" ht="10.7" customHeight="1" x14ac:dyDescent="0.2">
      <c r="A13" s="122"/>
      <c r="B13" s="161" t="s">
        <v>136</v>
      </c>
      <c r="C13" s="162"/>
      <c r="D13" s="163">
        <f>F13-VLOOKUP(B13,[1]Quota!$B$32:$BJ$43,3,FALSE)</f>
        <v>0</v>
      </c>
      <c r="E13" s="163"/>
      <c r="F13" s="164">
        <f>VLOOKUP(B13,[1]Quota!$B$81:$BJ$92,3,FALSE)</f>
        <v>0</v>
      </c>
      <c r="G13" s="163"/>
      <c r="H13" s="165" t="str">
        <f t="shared" si="0"/>
        <v>n/a</v>
      </c>
      <c r="I13" s="164">
        <f t="shared" si="2"/>
        <v>0</v>
      </c>
      <c r="J13" s="163"/>
      <c r="K13" s="163"/>
      <c r="L13" s="163"/>
      <c r="M13" s="163"/>
      <c r="N13" s="163"/>
      <c r="O13" s="163"/>
      <c r="P13" s="146"/>
    </row>
    <row r="14" spans="1:16" s="130" customFormat="1" ht="10.7" customHeight="1" x14ac:dyDescent="0.2">
      <c r="A14" s="122"/>
      <c r="B14" s="168" t="s">
        <v>137</v>
      </c>
      <c r="C14" s="173">
        <f>SUM(C9:C12)</f>
        <v>21.5</v>
      </c>
      <c r="D14" s="173">
        <f t="shared" ref="D14:O14" si="5">SUM(D9:D12)</f>
        <v>-0.5</v>
      </c>
      <c r="E14" s="163">
        <f t="shared" si="1"/>
        <v>-3.8000000000000007</v>
      </c>
      <c r="F14" s="217">
        <f t="shared" si="5"/>
        <v>17.7</v>
      </c>
      <c r="G14" s="173">
        <f t="shared" si="5"/>
        <v>1.982</v>
      </c>
      <c r="H14" s="173">
        <f t="shared" si="5"/>
        <v>14.840442655935613</v>
      </c>
      <c r="I14" s="217">
        <f t="shared" si="5"/>
        <v>15.717999999999998</v>
      </c>
      <c r="J14" s="173">
        <f t="shared" si="5"/>
        <v>0.5797000000000001</v>
      </c>
      <c r="K14" s="173">
        <f t="shared" si="5"/>
        <v>3.0000000000000027E-2</v>
      </c>
      <c r="L14" s="173">
        <f t="shared" si="5"/>
        <v>0.1895</v>
      </c>
      <c r="M14" s="173">
        <f t="shared" si="5"/>
        <v>2.3900000000000032E-2</v>
      </c>
      <c r="N14" s="163">
        <f t="shared" si="3"/>
        <v>0.13502824858757081</v>
      </c>
      <c r="O14" s="173">
        <f t="shared" si="5"/>
        <v>0.20577500000000004</v>
      </c>
      <c r="P14" s="146" t="str">
        <f>IF(ISNUMBER(VLOOKUP(B14,[1]Closures!B:BI,3,FALSE)),TEXT(VLOOKUP(B14,[1]Closures!B:BI,3,FALSE),"ddmmm"),IF(C14&lt;=0,0,IF(I14&lt;=0,0,IF(AND(C14&gt;0,O14&lt;=0),"&gt;52",IF(I14/O14&gt;52,"&gt;52", MAX(0,I14/O14-2))))))</f>
        <v>&gt;52</v>
      </c>
    </row>
    <row r="15" spans="1:16" s="130" customFormat="1" ht="10.7" customHeight="1" x14ac:dyDescent="0.2">
      <c r="A15" s="122"/>
      <c r="B15" s="168"/>
      <c r="C15" s="162"/>
      <c r="D15" s="163"/>
      <c r="E15" s="163"/>
      <c r="F15" s="164"/>
      <c r="G15" s="163"/>
      <c r="H15" s="165"/>
      <c r="I15" s="164"/>
      <c r="J15" s="163"/>
      <c r="K15" s="163"/>
      <c r="L15" s="163"/>
      <c r="M15" s="163"/>
      <c r="N15" s="163" t="str">
        <f t="shared" si="3"/>
        <v>-</v>
      </c>
      <c r="O15" s="163"/>
      <c r="P15" s="146"/>
    </row>
    <row r="16" spans="1:16" s="130" customFormat="1" ht="10.7" customHeight="1" x14ac:dyDescent="0.2">
      <c r="A16" s="122"/>
      <c r="B16" s="174" t="s">
        <v>138</v>
      </c>
      <c r="C16" s="162">
        <f>'[2]IV&amp;VI Combined'!$B$36</f>
        <v>504.1</v>
      </c>
      <c r="D16" s="163">
        <f>F16-VLOOKUP(B16,[1]Quota!$B$103:$BJ$143,3,FALSE)</f>
        <v>-16</v>
      </c>
      <c r="E16" s="163">
        <f t="shared" si="1"/>
        <v>-100</v>
      </c>
      <c r="F16" s="164">
        <f>VLOOKUP(B16,[1]Quota!$B$81:$BJ$92,3,FALSE)</f>
        <v>404.1</v>
      </c>
      <c r="G16" s="163">
        <f>'[1]Cumulative '!D228</f>
        <v>16.184000000000001</v>
      </c>
      <c r="H16" s="165">
        <f t="shared" si="0"/>
        <v>4.0049492699826779</v>
      </c>
      <c r="I16" s="164">
        <f t="shared" ref="I16:I23" si="6">F16-G16</f>
        <v>387.916</v>
      </c>
      <c r="J16" s="163">
        <f>VLOOKUP(B16,[1]weeks!$B$156:$BO$193,3,FALSE)-VLOOKUP(B16,[1]weeks!$B$206:$BO$243,3,FALSE)</f>
        <v>0.98650000000000126</v>
      </c>
      <c r="K16" s="163">
        <f>VLOOKUP(B16,[1]weeks!$B$107:$BO$144,3,FALSE)-VLOOKUP(B16,[1]weeks!$B$156:$BO$193,3,FALSE)</f>
        <v>1.1117999999999988</v>
      </c>
      <c r="L16" s="163">
        <f>VLOOKUP(B16,[1]weeks!$B$55:$BO$94,3,FALSE)-VLOOKUP(B16,[1]weeks!$B$107:$BO$144,3,FALSE)</f>
        <v>2.5592000000000006</v>
      </c>
      <c r="M16" s="163">
        <f>VLOOKUP(B16,[1]weeks!$B$5:$BO$44,3,FALSE)-VLOOKUP(B16,[1]weeks!$B$55:$BO$94,3,FALSE)</f>
        <v>0.71440000000000126</v>
      </c>
      <c r="N16" s="163">
        <f t="shared" si="3"/>
        <v>0.17678792378124258</v>
      </c>
      <c r="O16" s="163">
        <f t="shared" si="4"/>
        <v>1.3429750000000005</v>
      </c>
      <c r="P16" s="146" t="str">
        <f>IF(ISNUMBER(VLOOKUP(B16,[1]Closures!B:BI,3,FALSE)),TEXT(VLOOKUP(B16,[1]Closures!B:BI,3,FALSE),"ddmmm"),IF(C16&lt;=0,0,IF(I16&lt;=0,0,IF(AND(C16&gt;0,O16&lt;=0),"&gt;52",IF(I16/O16&gt;52,"&gt;52", MAX(0,I16/O16-2))))))</f>
        <v>&gt;52</v>
      </c>
    </row>
    <row r="17" spans="1:19" ht="10.7" customHeight="1" x14ac:dyDescent="0.2">
      <c r="A17" s="122"/>
      <c r="B17" s="174" t="s">
        <v>139</v>
      </c>
      <c r="C17" s="162">
        <f>'[2]IV&amp;VI Combined'!$B$37</f>
        <v>3.7</v>
      </c>
      <c r="D17" s="163">
        <f>F17-VLOOKUP(B17,[1]Quota!$B$103:$BJ$143,3,FALSE)</f>
        <v>0</v>
      </c>
      <c r="E17" s="163">
        <f t="shared" si="1"/>
        <v>-3.7</v>
      </c>
      <c r="F17" s="164">
        <f>VLOOKUP(B17,[1]Quota!$B$81:$BJ$92,3,FALSE)</f>
        <v>0</v>
      </c>
      <c r="G17" s="163">
        <f>'[1]Cumulative '!D229</f>
        <v>0</v>
      </c>
      <c r="H17" s="165" t="str">
        <f t="shared" si="0"/>
        <v>n/a</v>
      </c>
      <c r="I17" s="164">
        <f t="shared" si="6"/>
        <v>0</v>
      </c>
      <c r="J17" s="163">
        <f>VLOOKUP(B17,[1]weeks!$B$156:$BO$193,3,FALSE)-VLOOKUP(B17,[1]weeks!$B$206:$BO$243,3,FALSE)</f>
        <v>0</v>
      </c>
      <c r="K17" s="163">
        <f>VLOOKUP(B17,[1]weeks!$B$107:$BO$144,3,FALSE)-VLOOKUP(B17,[1]weeks!$B$156:$BO$193,3,FALSE)</f>
        <v>0</v>
      </c>
      <c r="L17" s="163">
        <f>VLOOKUP(B17,[1]weeks!$B$55:$BO$94,3,FALSE)-VLOOKUP(B17,[1]weeks!$B$107:$BO$144,3,FALSE)</f>
        <v>0</v>
      </c>
      <c r="M17" s="163">
        <f>VLOOKUP(B17,[1]weeks!$B$5:$BO$44,3,FALSE)-VLOOKUP(B17,[1]weeks!$B$55:$BO$94,3,FALSE)</f>
        <v>0</v>
      </c>
      <c r="N17" s="163" t="str">
        <f t="shared" si="3"/>
        <v>-</v>
      </c>
      <c r="O17" s="163">
        <f>SUM(J17:M17)/4</f>
        <v>0</v>
      </c>
      <c r="P17" s="146">
        <f>IF(ISNUMBER(VLOOKUP(B17,[1]Closures!B:BI,3,FALSE)),TEXT(VLOOKUP(B17,[1]Closures!B:BI,3,FALSE),"ddmmm"),IF(C17&lt;=0,0,IF(I17&lt;=0,0,IF(AND(C17&gt;0,O17&lt;=0),"&gt;52",IF(I17/O17&gt;52,"&gt;52", MAX(0,I17/O17-2))))))</f>
        <v>0</v>
      </c>
    </row>
    <row r="18" spans="1:19" ht="10.7" customHeight="1" x14ac:dyDescent="0.2">
      <c r="A18" s="122"/>
      <c r="B18" s="174" t="s">
        <v>140</v>
      </c>
      <c r="C18" s="162">
        <f>'[2]IV&amp;VI Combined'!$B$38</f>
        <v>66</v>
      </c>
      <c r="D18" s="163">
        <f>F18-VLOOKUP(B18,[1]Quota!$B$103:$BJ$143,3,FALSE)</f>
        <v>0</v>
      </c>
      <c r="E18" s="163">
        <f t="shared" si="1"/>
        <v>30</v>
      </c>
      <c r="F18" s="164">
        <f>VLOOKUP(B18,[1]Quota!$B$81:$BJ$92,3,FALSE)</f>
        <v>96</v>
      </c>
      <c r="G18" s="163">
        <f>'[1]Cumulative '!D230</f>
        <v>13.026</v>
      </c>
      <c r="H18" s="165">
        <f>IF(AND(F18&lt;=0),"n/a",IF(F18=0,0,100*G18/F18))</f>
        <v>13.56875</v>
      </c>
      <c r="I18" s="164">
        <f t="shared" si="6"/>
        <v>82.974000000000004</v>
      </c>
      <c r="J18" s="163">
        <f>VLOOKUP(B18,[1]weeks!$B$156:$BO$193,3,FALSE)-VLOOKUP(B18,[1]weeks!$B$206:$BO$243,3,FALSE)</f>
        <v>0</v>
      </c>
      <c r="K18" s="163">
        <f>VLOOKUP(B18,[1]weeks!$B$107:$BO$144,3,FALSE)-VLOOKUP(B18,[1]weeks!$B$156:$BO$193,3,FALSE)</f>
        <v>1.6659999999999986</v>
      </c>
      <c r="L18" s="163">
        <f>VLOOKUP(B18,[1]weeks!$B$55:$BO$94,3,FALSE)-VLOOKUP(B18,[1]weeks!$B$107:$BO$144,3,FALSE)</f>
        <v>0.40399999999999991</v>
      </c>
      <c r="M18" s="163">
        <f>VLOOKUP(B18,[1]weeks!$B$5:$BO$44,3,FALSE)-VLOOKUP(B18,[1]weeks!$B$55:$BO$94,3,FALSE)</f>
        <v>2.0760000000000005</v>
      </c>
      <c r="N18" s="163">
        <f t="shared" si="3"/>
        <v>2.1625000000000005</v>
      </c>
      <c r="O18" s="163">
        <f t="shared" ref="O18:O19" si="7">SUM(J18:M18)/4</f>
        <v>1.0364999999999998</v>
      </c>
      <c r="P18" s="146" t="str">
        <f>IF(ISNUMBER(VLOOKUP(B18,[1]Closures!B:BI,3,FALSE)),TEXT(VLOOKUP(B18,[1]Closures!B:BI,3,FALSE),"ddmmm"),IF(C18&lt;=0,0,IF(I18&lt;=0,0,IF(AND(C18&gt;0,O18&lt;=0),"&gt;52",IF(I18/O18&gt;52,"&gt;52", MAX(0,I18/O18-2))))))</f>
        <v>&gt;52</v>
      </c>
    </row>
    <row r="19" spans="1:19" ht="10.7" customHeight="1" x14ac:dyDescent="0.2">
      <c r="A19" s="122"/>
      <c r="B19" s="174" t="s">
        <v>141</v>
      </c>
      <c r="C19" s="162">
        <f>'[2]IV&amp;VI Combined'!$B$39</f>
        <v>2.8</v>
      </c>
      <c r="D19" s="163">
        <f>F19-VLOOKUP(B19,[1]Quota!$B$103:$BJ$143,3,FALSE)</f>
        <v>0</v>
      </c>
      <c r="E19" s="163">
        <f t="shared" si="1"/>
        <v>0</v>
      </c>
      <c r="F19" s="164">
        <f>VLOOKUP(B19,[1]Quota!$B$81:$BJ$92,3,FALSE)</f>
        <v>2.8</v>
      </c>
      <c r="G19" s="163">
        <f>'[1]Cumulative '!D231</f>
        <v>0</v>
      </c>
      <c r="H19" s="165">
        <f t="shared" si="0"/>
        <v>0</v>
      </c>
      <c r="I19" s="164">
        <f t="shared" si="6"/>
        <v>2.8</v>
      </c>
      <c r="J19" s="163">
        <f>VLOOKUP(B19,[1]weeks!$B$156:$BO$193,3,FALSE)-VLOOKUP(B19,[1]weeks!$B$206:$BO$243,3,FALSE)</f>
        <v>0</v>
      </c>
      <c r="K19" s="163">
        <f>VLOOKUP(B19,[1]weeks!$B$107:$BO$144,3,FALSE)-VLOOKUP(B19,[1]weeks!$B$156:$BO$193,3,FALSE)</f>
        <v>0</v>
      </c>
      <c r="L19" s="163">
        <f>VLOOKUP(B19,[1]weeks!$B$55:$BO$94,3,FALSE)-VLOOKUP(B19,[1]weeks!$B$107:$BO$144,3,FALSE)</f>
        <v>0</v>
      </c>
      <c r="M19" s="163">
        <f>VLOOKUP(B19,[1]weeks!$B$5:$BO$44,3,FALSE)-VLOOKUP(B19,[1]weeks!$B$55:$BO$94,3,FALSE)</f>
        <v>0</v>
      </c>
      <c r="N19" s="163">
        <f t="shared" si="3"/>
        <v>0</v>
      </c>
      <c r="O19" s="163">
        <f t="shared" si="7"/>
        <v>0</v>
      </c>
      <c r="P19" s="146" t="str">
        <f>IF(ISNUMBER(VLOOKUP(B19,[1]Closures!B:BI,3,FALSE)),TEXT(VLOOKUP(B19,[1]Closures!B:BI,3,FALSE),"ddmmm"),IF(C19&lt;=0,0,IF(I19&lt;=0,0,IF(AND(C19&gt;0,O19&lt;=0),"&gt;52",IF(I19/O19&gt;52,"&gt;52", MAX(0,I19/O19-2))))))</f>
        <v>&gt;52</v>
      </c>
    </row>
    <row r="20" spans="1:19" ht="10.7" customHeight="1" x14ac:dyDescent="0.2">
      <c r="A20" s="122"/>
      <c r="B20" s="174" t="s">
        <v>142</v>
      </c>
      <c r="C20" s="162"/>
      <c r="D20" s="163">
        <f>F20-VLOOKUP(B20,[1]Quota!$B$32:$BJ$43,3,FALSE)</f>
        <v>0</v>
      </c>
      <c r="E20" s="163"/>
      <c r="F20" s="164">
        <f>VLOOKUP(B20,[1]Quota!$B$81:$BJ$92,3,FALSE)</f>
        <v>0</v>
      </c>
      <c r="G20" s="163">
        <v>0</v>
      </c>
      <c r="H20" s="165" t="str">
        <f>IF(AND(F20&lt;=0),"n/a",IF(F20=0,0,100*G20/F20))</f>
        <v>n/a</v>
      </c>
      <c r="I20" s="164">
        <f>F20-G20</f>
        <v>0</v>
      </c>
      <c r="J20" s="163"/>
      <c r="K20" s="163"/>
      <c r="L20" s="163"/>
      <c r="M20" s="163"/>
      <c r="N20" s="163"/>
      <c r="O20" s="163"/>
      <c r="P20" s="146">
        <f>IF(ISNUMBER(VLOOKUP(B20,[1]Closures!B:BI,3,FALSE)),TEXT(VLOOKUP(B20,[1]Closures!B:BI,3,FALSE),"ddmmm"),IF(C20&lt;=0,0,IF(I20&lt;=0,0,IF(AND(C20&gt;0,O20&lt;=0),"&gt;52",IF(I20/O20&gt;52,"&gt;52", MAX(0,I20/O20-2))))))</f>
        <v>0</v>
      </c>
    </row>
    <row r="21" spans="1:19" ht="10.7" customHeight="1" x14ac:dyDescent="0.2">
      <c r="A21" s="122"/>
      <c r="B21" s="168" t="s">
        <v>143</v>
      </c>
      <c r="C21" s="162">
        <f>SUM(C16:C20)</f>
        <v>576.59999999999991</v>
      </c>
      <c r="D21" s="163">
        <f>SUM(D16:D19)</f>
        <v>-16</v>
      </c>
      <c r="E21" s="163">
        <f t="shared" si="1"/>
        <v>-73.699999999999875</v>
      </c>
      <c r="F21" s="164">
        <f>SUM(F16:F19)</f>
        <v>502.90000000000003</v>
      </c>
      <c r="G21" s="173">
        <f>SUM(G16:G19)</f>
        <v>29.21</v>
      </c>
      <c r="H21" s="165">
        <f t="shared" si="0"/>
        <v>5.8083117916086691</v>
      </c>
      <c r="I21" s="164">
        <f t="shared" si="6"/>
        <v>473.69000000000005</v>
      </c>
      <c r="J21" s="163">
        <f>SUM(J16:J19)</f>
        <v>0.98650000000000126</v>
      </c>
      <c r="K21" s="163">
        <f>SUM(K16:K19)</f>
        <v>2.7777999999999974</v>
      </c>
      <c r="L21" s="163">
        <f>SUM(L16:L19)</f>
        <v>2.9632000000000005</v>
      </c>
      <c r="M21" s="163">
        <f>SUM(M16:M19)</f>
        <v>2.7904000000000018</v>
      </c>
      <c r="N21" s="163">
        <f t="shared" si="3"/>
        <v>0.55486180155100451</v>
      </c>
      <c r="O21" s="163">
        <f>SUM(J21:M21)/4</f>
        <v>2.3794750000000002</v>
      </c>
      <c r="P21" s="146" t="str">
        <f>IF(ISNUMBER(VLOOKUP(B21,[1]Closures!B:BI,3,FALSE)),TEXT(VLOOKUP(B21,[1]Closures!B:BI,3,FALSE),"ddmmm"),IF(C21&lt;=0,0,IF(I21&lt;=0,0,IF(AND(C21&gt;0,O21&lt;=0),"&gt;52",IF(I21/O21&gt;52,"&gt;52", MAX(0,I21/O21-2))))))</f>
        <v>&gt;52</v>
      </c>
      <c r="S21" s="170"/>
    </row>
    <row r="22" spans="1:19" ht="10.7" customHeight="1" x14ac:dyDescent="0.2">
      <c r="A22" s="122"/>
      <c r="B22" s="168"/>
      <c r="C22" s="162"/>
      <c r="D22" s="163"/>
      <c r="E22" s="163"/>
      <c r="F22" s="164"/>
      <c r="G22" s="163"/>
      <c r="H22" s="165"/>
      <c r="I22" s="164"/>
      <c r="J22" s="163"/>
      <c r="K22" s="163"/>
      <c r="L22" s="163"/>
      <c r="M22" s="163"/>
      <c r="N22" s="163"/>
      <c r="O22" s="163"/>
      <c r="P22" s="146"/>
    </row>
    <row r="23" spans="1:19" ht="10.7" customHeight="1" x14ac:dyDescent="0.2">
      <c r="A23" s="122"/>
      <c r="B23" s="175" t="s">
        <v>112</v>
      </c>
      <c r="C23" s="176">
        <f>C21+C14</f>
        <v>598.09999999999991</v>
      </c>
      <c r="D23" s="177">
        <f>D21+D14</f>
        <v>-16.5</v>
      </c>
      <c r="E23" s="180">
        <f t="shared" si="1"/>
        <v>-77.499999999999886</v>
      </c>
      <c r="F23" s="189">
        <f>F21+F14</f>
        <v>520.6</v>
      </c>
      <c r="G23" s="180">
        <f>G21+G14</f>
        <v>31.192</v>
      </c>
      <c r="H23" s="179">
        <f t="shared" si="0"/>
        <v>5.9915482135996925</v>
      </c>
      <c r="I23" s="218">
        <f t="shared" si="6"/>
        <v>489.40800000000002</v>
      </c>
      <c r="J23" s="177">
        <f>J21+J14</f>
        <v>1.5662000000000014</v>
      </c>
      <c r="K23" s="177">
        <f>K21+K14</f>
        <v>2.8077999999999976</v>
      </c>
      <c r="L23" s="177">
        <f>L21+L14</f>
        <v>3.1527000000000003</v>
      </c>
      <c r="M23" s="180">
        <f>M14+M21</f>
        <v>2.814300000000002</v>
      </c>
      <c r="N23" s="180">
        <f t="shared" si="3"/>
        <v>0.5405877833269308</v>
      </c>
      <c r="O23" s="180">
        <f>SUM(J23:M23)/4</f>
        <v>2.5852500000000003</v>
      </c>
      <c r="P23" s="153" t="str">
        <f>IF(ISNUMBER(VLOOKUP(B23,[1]Closures!B:BI,3,FALSE)),TEXT(VLOOKUP(B23,[1]Closures!B:BI,3,FALSE),"ddmmm"),IF(C23&lt;=0,0,IF(I23&lt;=0,0,IF(AND(C23&gt;0,O23&lt;=0),"&gt;52",IF(I23/O23&gt;52,"&gt;52", MAX(0,I23/O23-2))))))</f>
        <v>&gt;52</v>
      </c>
    </row>
    <row r="24" spans="1:19" ht="10.7" customHeight="1" x14ac:dyDescent="0.2">
      <c r="A24" s="122"/>
      <c r="B24" s="181"/>
      <c r="C24" s="173"/>
      <c r="D24" s="163"/>
      <c r="E24" s="163"/>
      <c r="F24" s="164"/>
      <c r="G24" s="163"/>
      <c r="H24" s="2"/>
      <c r="I24" s="164"/>
      <c r="J24" s="163"/>
      <c r="K24" s="163"/>
      <c r="L24" s="163"/>
      <c r="M24" s="163"/>
      <c r="N24" s="163"/>
      <c r="O24" s="163"/>
      <c r="P24" s="182"/>
    </row>
    <row r="25" spans="1:19" ht="10.7" customHeight="1" x14ac:dyDescent="0.2">
      <c r="A25" s="122"/>
      <c r="B25" s="181"/>
      <c r="C25" s="181"/>
      <c r="D25" s="183"/>
      <c r="E25" s="183"/>
      <c r="F25" s="184"/>
      <c r="G25" s="183"/>
      <c r="H25" s="163"/>
      <c r="I25" s="184"/>
      <c r="J25" s="185"/>
      <c r="K25" s="185"/>
      <c r="L25" s="185"/>
      <c r="M25" s="185"/>
      <c r="N25" s="173"/>
      <c r="O25" s="183"/>
      <c r="P25" s="182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tr">
        <f>C5</f>
        <v>Initial Quota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f>[1]weeks!$B$154</f>
        <v>43166</v>
      </c>
      <c r="K28" s="151">
        <f>[1]weeks!$B$105</f>
        <v>43173</v>
      </c>
      <c r="L28" s="151">
        <f>[1]weeks!$B$55</f>
        <v>43180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6"/>
      <c r="C30" s="187" t="s">
        <v>168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36"/>
    </row>
    <row r="31" spans="1:19" ht="10.7" customHeight="1" x14ac:dyDescent="0.2">
      <c r="A31" s="122"/>
      <c r="B31" s="161" t="s">
        <v>132</v>
      </c>
      <c r="C31" s="162">
        <f>'[2]IV&amp;VI Combined'!$C$29</f>
        <v>0.4</v>
      </c>
      <c r="D31" s="163">
        <f>F31-VLOOKUP(B31,[1]Quota!$B$103:$BJ$143,4,FALSE)</f>
        <v>0</v>
      </c>
      <c r="E31" s="163">
        <f>F31-C31</f>
        <v>0</v>
      </c>
      <c r="F31" s="164">
        <f>VLOOKUP(B31,[1]Quota!$B$81:$BJ$92,4,FALSE)</f>
        <v>0.4</v>
      </c>
      <c r="G31" s="163">
        <f>'[1]Cumulative '!E221</f>
        <v>6.4500000000000002E-2</v>
      </c>
      <c r="H31" s="165">
        <f t="shared" ref="H31:H45" si="8">IF(AND(F31&lt;=0),"n/a",IF(F31=0,0,100*G31/F31))</f>
        <v>16.125</v>
      </c>
      <c r="I31" s="164">
        <f>F31-G31</f>
        <v>0.33550000000000002</v>
      </c>
      <c r="J31" s="163">
        <f>VLOOKUP(B31,[1]weeks!$B$156:$BO$193,4,FALSE)-VLOOKUP(B31,[1]weeks!$B$206:$BO$243,4,FALSE)</f>
        <v>0</v>
      </c>
      <c r="K31" s="163">
        <f>VLOOKUP(B31,[1]weeks!$B$107:$BO$144,4,FALSE)-VLOOKUP(B31,[1]weeks!$B$156:$BO$193,4,FALSE)</f>
        <v>0</v>
      </c>
      <c r="L31" s="163">
        <f>VLOOKUP(B31,[1]weeks!$B$55:$BO$94,4,FALSE)-VLOOKUP(B31,[1]weeks!$B$107:$BO$144,4,FALSE)</f>
        <v>9.2999999999999958E-3</v>
      </c>
      <c r="M31" s="163">
        <f>VLOOKUP(B31,[1]weeks!$B$5:$BO$44,4,FALSE)-VLOOKUP(B31,[1]weeks!$B$55:$BO$94,4,FALSE)</f>
        <v>1.9000000000000003E-2</v>
      </c>
      <c r="N31" s="163">
        <f>IF(F31&gt;0,M31/F31*100,"-")</f>
        <v>4.7500000000000009</v>
      </c>
      <c r="O31" s="163">
        <f>SUM(J31:M31)/4</f>
        <v>7.0749999999999997E-3</v>
      </c>
      <c r="P31" s="146">
        <f>IF(ISNUMBER(VLOOKUP(B31,[1]Closures!B:BI,4,FALSE)),TEXT(VLOOKUP(B31,[1]Closures!B:BI,4,FALSE),"ddmmm"),IF(C31&lt;=0,0,IF(I31&lt;=0,0,IF(AND(C31&gt;0,O31&lt;=0),"&gt;52",IF(I31/O31&gt;52,"&gt;52", MAX(0,I31/O31-2))))))</f>
        <v>45.420494699646646</v>
      </c>
    </row>
    <row r="32" spans="1:19" ht="10.7" customHeight="1" x14ac:dyDescent="0.2">
      <c r="A32" s="122"/>
      <c r="B32" s="161" t="s">
        <v>133</v>
      </c>
      <c r="C32" s="162">
        <f>'[2]IV&amp;VI Combined'!$C$30</f>
        <v>0</v>
      </c>
      <c r="D32" s="163">
        <f>F32-VLOOKUP(B32,[1]Quota!$B$103:$BJ$143,4,FALSE)</f>
        <v>0</v>
      </c>
      <c r="E32" s="163">
        <f t="shared" ref="E32:E45" si="9">F32-C32</f>
        <v>0</v>
      </c>
      <c r="F32" s="164">
        <f>VLOOKUP(B32,[1]Quota!$B$81:$BJ$92,4,FALSE)</f>
        <v>0</v>
      </c>
      <c r="G32" s="163">
        <f>'[1]Cumulative '!E222</f>
        <v>0</v>
      </c>
      <c r="H32" s="165" t="str">
        <f t="shared" si="8"/>
        <v>n/a</v>
      </c>
      <c r="I32" s="164">
        <f t="shared" ref="I32:I35" si="10">F32-G32</f>
        <v>0</v>
      </c>
      <c r="J32" s="163">
        <f>VLOOKUP(B32,[1]weeks!$B$156:$BO$193,4,FALSE)-VLOOKUP(B32,[1]weeks!$B$206:$BO$243,4,FALSE)</f>
        <v>0</v>
      </c>
      <c r="K32" s="163">
        <f>VLOOKUP(B32,[1]weeks!$B$107:$BO$144,4,FALSE)-VLOOKUP(B32,[1]weeks!$B$156:$BO$193,4,FALSE)</f>
        <v>0</v>
      </c>
      <c r="L32" s="163">
        <f>VLOOKUP(B32,[1]weeks!$B$55:$BO$94,4,FALSE)-VLOOKUP(B32,[1]weeks!$B$107:$BO$144,4,FALSE)</f>
        <v>0</v>
      </c>
      <c r="M32" s="163">
        <f>VLOOKUP(B32,[1]weeks!$B$5:$BO$44,4,FALSE)-VLOOKUP(B32,[1]weeks!$B$55:$BO$94,4,FALSE)</f>
        <v>0</v>
      </c>
      <c r="N32" s="163" t="str">
        <f t="shared" ref="N32:N45" si="11">IF(F32&gt;0,M32/F32*100,"-")</f>
        <v>-</v>
      </c>
      <c r="O32" s="163">
        <f>SUM(J32:M32)/4</f>
        <v>0</v>
      </c>
      <c r="P32" s="146">
        <f>IF(ISNUMBER(VLOOKUP(B32,[1]Closures!B:BI,4,FALSE)),TEXT(VLOOKUP(B32,[1]Closures!B:BI,4,FALSE),"ddmmm"),IF(C32&lt;=0,0,IF(I32&lt;=0,0,IF(AND(C32&gt;0,O32&lt;=0),"&gt;52",IF(I32/O32&gt;52,"&gt;52", MAX(0,I32/O32-2))))))</f>
        <v>0</v>
      </c>
    </row>
    <row r="33" spans="1:16" s="130" customFormat="1" ht="10.7" customHeight="1" x14ac:dyDescent="0.2">
      <c r="A33" s="122"/>
      <c r="B33" s="161" t="s">
        <v>134</v>
      </c>
      <c r="C33" s="162">
        <f>'[2]IV&amp;VI Combined'!$C$31</f>
        <v>1</v>
      </c>
      <c r="D33" s="163">
        <f>F33-VLOOKUP(B33,[1]Quota!$B$103:$BJ$143,4,FALSE)</f>
        <v>0</v>
      </c>
      <c r="E33" s="163">
        <f t="shared" si="9"/>
        <v>0</v>
      </c>
      <c r="F33" s="164">
        <f>VLOOKUP(B33,[1]Quota!$B$81:$BJ$92,4,FALSE)</f>
        <v>1</v>
      </c>
      <c r="G33" s="163">
        <f>'[1]Cumulative '!E223</f>
        <v>0.14699999999999999</v>
      </c>
      <c r="H33" s="165">
        <f t="shared" si="8"/>
        <v>14.7</v>
      </c>
      <c r="I33" s="164">
        <f t="shared" si="10"/>
        <v>0.85299999999999998</v>
      </c>
      <c r="J33" s="163">
        <f>VLOOKUP(B33,[1]weeks!$B$156:$BO$193,4,FALSE)-VLOOKUP(B33,[1]weeks!$B$206:$BO$243,4,FALSE)</f>
        <v>0</v>
      </c>
      <c r="K33" s="163">
        <f>VLOOKUP(B33,[1]weeks!$B$107:$BO$144,4,FALSE)-VLOOKUP(B33,[1]weeks!$B$156:$BO$193,4,FALSE)</f>
        <v>0</v>
      </c>
      <c r="L33" s="163">
        <f>VLOOKUP(B33,[1]weeks!$B$55:$BO$94,4,FALSE)-VLOOKUP(B33,[1]weeks!$B$107:$BO$144,4,FALSE)</f>
        <v>0</v>
      </c>
      <c r="M33" s="163">
        <f>VLOOKUP(B33,[1]weeks!$B$5:$BO$44,4,FALSE)-VLOOKUP(B33,[1]weeks!$B$55:$BO$94,4,FALSE)</f>
        <v>0.13999999999999999</v>
      </c>
      <c r="N33" s="163">
        <f t="shared" si="11"/>
        <v>13.999999999999998</v>
      </c>
      <c r="O33" s="163">
        <f>SUM(J33:M33)/4</f>
        <v>3.4999999999999996E-2</v>
      </c>
      <c r="P33" s="146">
        <f>IF(ISNUMBER(VLOOKUP(B33,[1]Closures!B:BI,4,FALSE)),TEXT(VLOOKUP(B33,[1]Closures!B:BI,4,FALSE),"ddmmm"),IF(C33&lt;=0,0,IF(I33&lt;=0,0,IF(AND(C33&gt;0,O33&lt;=0),"&gt;52",IF(I33/O33&gt;52,"&gt;52", MAX(0,I33/O33-2))))))</f>
        <v>22.371428571428574</v>
      </c>
    </row>
    <row r="34" spans="1:16" s="130" customFormat="1" ht="10.7" customHeight="1" x14ac:dyDescent="0.2">
      <c r="A34" s="122"/>
      <c r="B34" s="161" t="s">
        <v>135</v>
      </c>
      <c r="C34" s="162">
        <f>'[2]IV&amp;VI Combined'!$C$32</f>
        <v>0</v>
      </c>
      <c r="D34" s="163">
        <f>F34-VLOOKUP(B34,[1]Quota!$B$103:$BJ$143,4,FALSE)</f>
        <v>0</v>
      </c>
      <c r="E34" s="163">
        <f t="shared" si="9"/>
        <v>0</v>
      </c>
      <c r="F34" s="164">
        <f>VLOOKUP(B34,[1]Quota!$B$81:$BJ$92,4,FALSE)</f>
        <v>0</v>
      </c>
      <c r="G34" s="163">
        <f>'[1]Cumulative '!E224</f>
        <v>0</v>
      </c>
      <c r="H34" s="165" t="str">
        <f t="shared" si="8"/>
        <v>n/a</v>
      </c>
      <c r="I34" s="164">
        <f t="shared" si="10"/>
        <v>0</v>
      </c>
      <c r="J34" s="163">
        <f>VLOOKUP(B34,[1]weeks!$B$156:$BO$193,4,FALSE)-VLOOKUP(B34,[1]weeks!$B$206:$BO$243,4,FALSE)</f>
        <v>0</v>
      </c>
      <c r="K34" s="163">
        <f>VLOOKUP(B34,[1]weeks!$B$107:$BO$144,4,FALSE)-VLOOKUP(B34,[1]weeks!$B$156:$BO$193,4,FALSE)</f>
        <v>0</v>
      </c>
      <c r="L34" s="163">
        <f>VLOOKUP(B34,[1]weeks!$B$55:$BO$94,4,FALSE)-VLOOKUP(B34,[1]weeks!$B$107:$BO$144,4,FALSE)</f>
        <v>0</v>
      </c>
      <c r="M34" s="163">
        <f>VLOOKUP(B34,[1]weeks!$B$5:$BO$44,4,FALSE)-VLOOKUP(B34,[1]weeks!$B$55:$BO$94,4,FALSE)</f>
        <v>0</v>
      </c>
      <c r="N34" s="163" t="str">
        <f t="shared" si="11"/>
        <v>-</v>
      </c>
      <c r="O34" s="163">
        <f>SUM(J34:M34)/4</f>
        <v>0</v>
      </c>
      <c r="P34" s="146">
        <f>IF(ISNUMBER(VLOOKUP(B34,[1]Closures!B:BI,4,FALSE)),TEXT(VLOOKUP(B34,[1]Closures!B:BI,4,FALSE),"ddmmm"),IF(C34&lt;=0,0,IF(I34&lt;=0,0,IF(AND(C34&gt;0,O34&lt;=0),"&gt;52",IF(I34/O34&gt;52,"&gt;52", MAX(0,I34/O34-2))))))</f>
        <v>0</v>
      </c>
    </row>
    <row r="35" spans="1:16" s="130" customFormat="1" ht="10.7" customHeight="1" x14ac:dyDescent="0.2">
      <c r="A35" s="122"/>
      <c r="B35" s="161" t="s">
        <v>136</v>
      </c>
      <c r="C35" s="162"/>
      <c r="D35" s="163">
        <f>F35-VLOOKUP(B35,[1]Quota!$B$32:$BJ$43,4,FALSE)</f>
        <v>0</v>
      </c>
      <c r="E35" s="163"/>
      <c r="F35" s="164">
        <f>VLOOKUP(B35,[1]Quota!$B$81:$BJ$92,4,FALSE)</f>
        <v>0</v>
      </c>
      <c r="G35" s="163"/>
      <c r="H35" s="165" t="str">
        <f t="shared" si="8"/>
        <v>n/a</v>
      </c>
      <c r="I35" s="164">
        <f t="shared" si="10"/>
        <v>0</v>
      </c>
      <c r="J35" s="163"/>
      <c r="K35" s="163"/>
      <c r="L35" s="163"/>
      <c r="M35" s="163"/>
      <c r="N35" s="163"/>
      <c r="O35" s="163"/>
      <c r="P35" s="146"/>
    </row>
    <row r="36" spans="1:16" s="130" customFormat="1" ht="10.7" customHeight="1" x14ac:dyDescent="0.2">
      <c r="A36" s="122"/>
      <c r="B36" s="168" t="s">
        <v>137</v>
      </c>
      <c r="C36" s="162">
        <f>SUM(C31:C34)</f>
        <v>1.4</v>
      </c>
      <c r="D36" s="163">
        <f>SUM(D31:D34)</f>
        <v>0</v>
      </c>
      <c r="E36" s="163">
        <f t="shared" si="9"/>
        <v>0</v>
      </c>
      <c r="F36" s="217">
        <f t="shared" ref="F36" si="12">SUM(F31:F34)</f>
        <v>1.4</v>
      </c>
      <c r="G36" s="173">
        <f>SUM(G31:G34)</f>
        <v>0.21149999999999999</v>
      </c>
      <c r="H36" s="165">
        <f t="shared" si="8"/>
        <v>15.107142857142858</v>
      </c>
      <c r="I36" s="217">
        <f t="shared" ref="I36:L36" si="13">SUM(I31:I34)</f>
        <v>1.1884999999999999</v>
      </c>
      <c r="J36" s="163">
        <f t="shared" si="13"/>
        <v>0</v>
      </c>
      <c r="K36" s="163">
        <f t="shared" si="13"/>
        <v>0</v>
      </c>
      <c r="L36" s="163">
        <f t="shared" si="13"/>
        <v>9.2999999999999958E-3</v>
      </c>
      <c r="M36" s="163">
        <f>SUM(M31:M34)</f>
        <v>0.15899999999999997</v>
      </c>
      <c r="N36" s="163">
        <f t="shared" si="11"/>
        <v>11.357142857142856</v>
      </c>
      <c r="O36" s="163">
        <f>SUM(J36:M36)/4</f>
        <v>4.2074999999999994E-2</v>
      </c>
      <c r="P36" s="146">
        <f>IF(ISNUMBER(VLOOKUP(B36,[1]Closures!B:BI,4,FALSE)),TEXT(VLOOKUP(B36,[1]Closures!B:BI,4,FALSE),"ddmmm"),IF(C36&lt;=0,0,IF(I36&lt;=0,0,IF(AND(C36&gt;0,O36&lt;=0),"&gt;52",IF(I36/O36&gt;52,"&gt;52", MAX(0,I36/O36-2))))))</f>
        <v>26.247177658942366</v>
      </c>
    </row>
    <row r="37" spans="1:16" s="130" customFormat="1" ht="10.7" customHeight="1" x14ac:dyDescent="0.2">
      <c r="A37" s="122"/>
      <c r="B37" s="168"/>
      <c r="C37" s="162"/>
      <c r="D37" s="163"/>
      <c r="E37" s="163"/>
      <c r="F37" s="164"/>
      <c r="G37" s="163"/>
      <c r="H37" s="165"/>
      <c r="I37" s="164"/>
      <c r="J37" s="163"/>
      <c r="K37" s="163"/>
      <c r="L37" s="163"/>
      <c r="M37" s="163"/>
      <c r="N37" s="163" t="str">
        <f t="shared" si="11"/>
        <v>-</v>
      </c>
      <c r="O37" s="163"/>
      <c r="P37" s="146"/>
    </row>
    <row r="38" spans="1:16" s="130" customFormat="1" ht="10.7" customHeight="1" x14ac:dyDescent="0.2">
      <c r="A38" s="122"/>
      <c r="B38" s="174" t="s">
        <v>138</v>
      </c>
      <c r="C38" s="162">
        <f>'[2]IV&amp;VI Combined'!$C$36</f>
        <v>96.3</v>
      </c>
      <c r="D38" s="163">
        <f>F38-VLOOKUP(B38,[1]Quota!$B$103:$BJ$143,4,FALSE)</f>
        <v>0</v>
      </c>
      <c r="E38" s="163">
        <f t="shared" si="9"/>
        <v>-61.2</v>
      </c>
      <c r="F38" s="164">
        <f>VLOOKUP(B38,[1]Quota!$B$81:$BJ$92,4,FALSE)</f>
        <v>35.099999999999994</v>
      </c>
      <c r="G38" s="163">
        <f>'[1]Cumulative '!E228</f>
        <v>1.0384</v>
      </c>
      <c r="H38" s="165">
        <f t="shared" si="8"/>
        <v>2.9584045584045588</v>
      </c>
      <c r="I38" s="164">
        <f t="shared" ref="I38:I45" si="14">F38-G38</f>
        <v>34.061599999999991</v>
      </c>
      <c r="J38" s="163">
        <f>VLOOKUP(B38,[1]weeks!$B$156:$BO$193,4,FALSE)-VLOOKUP(B38,[1]weeks!$B$206:$BO$243,4,FALSE)</f>
        <v>0.23670000000000002</v>
      </c>
      <c r="K38" s="163">
        <f>VLOOKUP(B38,[1]weeks!$B$107:$BO$144,4,FALSE)-VLOOKUP(B38,[1]weeks!$B$156:$BO$193,4,FALSE)</f>
        <v>0</v>
      </c>
      <c r="L38" s="163">
        <f>VLOOKUP(B38,[1]weeks!$B$55:$BO$94,4,FALSE)-VLOOKUP(B38,[1]weeks!$B$107:$BO$144,4,FALSE)</f>
        <v>0.23380000000000001</v>
      </c>
      <c r="M38" s="163">
        <f>VLOOKUP(B38,[1]weeks!$B$5:$BO$44,4,FALSE)-VLOOKUP(B38,[1]weeks!$B$55:$BO$94,4,FALSE)</f>
        <v>6.0000000000000053E-3</v>
      </c>
      <c r="N38" s="163">
        <f t="shared" si="11"/>
        <v>1.7094017094017113E-2</v>
      </c>
      <c r="O38" s="163">
        <f>SUM(J38:M38)/4</f>
        <v>0.11912500000000001</v>
      </c>
      <c r="P38" s="146" t="str">
        <f>IF(ISNUMBER(VLOOKUP(B38,[1]Closures!B:BI,4,FALSE)),TEXT(VLOOKUP(B38,[1]Closures!B:BI,4,FALSE),"ddmmm"),IF(C38&lt;=0,0,IF(I38&lt;=0,0,IF(AND(C38&gt;0,O38&lt;=0),"&gt;52",IF(I38/O38&gt;52,"&gt;52", MAX(0,I38/O38-2))))))</f>
        <v>&gt;52</v>
      </c>
    </row>
    <row r="39" spans="1:16" s="130" customFormat="1" ht="10.7" customHeight="1" x14ac:dyDescent="0.2">
      <c r="A39" s="122"/>
      <c r="B39" s="174" t="s">
        <v>139</v>
      </c>
      <c r="C39" s="162">
        <f>'[2]IV&amp;VI Combined'!$C$37</f>
        <v>1.8</v>
      </c>
      <c r="D39" s="163">
        <f>F39-VLOOKUP(B39,[1]Quota!$B$103:$BJ$143,4,FALSE)</f>
        <v>0</v>
      </c>
      <c r="E39" s="163">
        <f t="shared" si="9"/>
        <v>-1.8</v>
      </c>
      <c r="F39" s="164">
        <f>VLOOKUP(B39,[1]Quota!$B$81:$BJ$92,4,FALSE)</f>
        <v>0</v>
      </c>
      <c r="G39" s="163">
        <f>'[1]Cumulative '!E229</f>
        <v>0</v>
      </c>
      <c r="H39" s="165" t="str">
        <f t="shared" si="8"/>
        <v>n/a</v>
      </c>
      <c r="I39" s="164">
        <f t="shared" si="14"/>
        <v>0</v>
      </c>
      <c r="J39" s="163">
        <f>VLOOKUP(B39,[1]weeks!$B$156:$BO$193,4,FALSE)-VLOOKUP(B39,[1]weeks!$B$206:$BO$243,4,FALSE)</f>
        <v>0</v>
      </c>
      <c r="K39" s="163">
        <f>VLOOKUP(B39,[1]weeks!$B$107:$BO$144,4,FALSE)-VLOOKUP(B39,[1]weeks!$B$156:$BO$193,4,FALSE)</f>
        <v>0</v>
      </c>
      <c r="L39" s="163">
        <f>VLOOKUP(B39,[1]weeks!$B$55:$BO$94,4,FALSE)-VLOOKUP(B39,[1]weeks!$B$107:$BO$144,4,FALSE)</f>
        <v>0</v>
      </c>
      <c r="M39" s="163">
        <f>VLOOKUP(B39,[1]weeks!$B$5:$BO$44,4,FALSE)-VLOOKUP(B39,[1]weeks!$B$55:$BO$94,4,FALSE)</f>
        <v>0</v>
      </c>
      <c r="N39" s="163" t="str">
        <f t="shared" si="11"/>
        <v>-</v>
      </c>
      <c r="O39" s="163">
        <f>SUM(J39:M39)/4</f>
        <v>0</v>
      </c>
      <c r="P39" s="146">
        <f>IF(ISNUMBER(VLOOKUP(B39,[1]Closures!B:BI,4,FALSE)),TEXT(VLOOKUP(B39,[1]Closures!B:BI,4,FALSE),"ddmmm"),IF(C39&lt;=0,0,IF(I39&lt;=0,0,IF(AND(C39&gt;0,O39&lt;=0),"&gt;52",IF(I39/O39&gt;52,"&gt;52", MAX(0,I39/O39-2))))))</f>
        <v>0</v>
      </c>
    </row>
    <row r="40" spans="1:16" s="130" customFormat="1" ht="10.7" customHeight="1" x14ac:dyDescent="0.2">
      <c r="A40" s="122"/>
      <c r="B40" s="174" t="s">
        <v>140</v>
      </c>
      <c r="C40" s="162">
        <f>'[2]IV&amp;VI Combined'!$C$38</f>
        <v>6.2</v>
      </c>
      <c r="D40" s="163">
        <f>F40-VLOOKUP(B40,[1]Quota!$B$103:$BJ$143,4,FALSE)</f>
        <v>0</v>
      </c>
      <c r="E40" s="163">
        <f t="shared" si="9"/>
        <v>10</v>
      </c>
      <c r="F40" s="164">
        <f>VLOOKUP(B40,[1]Quota!$B$81:$BJ$92,4,FALSE)</f>
        <v>16.2</v>
      </c>
      <c r="G40" s="163">
        <f>'[1]Cumulative '!E230</f>
        <v>0</v>
      </c>
      <c r="H40" s="165">
        <f t="shared" si="8"/>
        <v>0</v>
      </c>
      <c r="I40" s="164">
        <f t="shared" si="14"/>
        <v>16.2</v>
      </c>
      <c r="J40" s="163">
        <f>VLOOKUP(B40,[1]weeks!$B$156:$BO$193,4,FALSE)-VLOOKUP(B40,[1]weeks!$B$206:$BO$243,4,FALSE)</f>
        <v>0</v>
      </c>
      <c r="K40" s="163">
        <f>VLOOKUP(B40,[1]weeks!$B$107:$BO$144,4,FALSE)-VLOOKUP(B40,[1]weeks!$B$156:$BO$193,4,FALSE)</f>
        <v>0</v>
      </c>
      <c r="L40" s="163">
        <f>VLOOKUP(B40,[1]weeks!$B$55:$BO$94,4,FALSE)-VLOOKUP(B40,[1]weeks!$B$107:$BO$144,4,FALSE)</f>
        <v>0</v>
      </c>
      <c r="M40" s="163">
        <f>VLOOKUP(B40,[1]weeks!$B$5:$BO$44,4,FALSE)-VLOOKUP(B40,[1]weeks!$B$55:$BO$94,4,FALSE)</f>
        <v>0</v>
      </c>
      <c r="N40" s="163">
        <f t="shared" si="11"/>
        <v>0</v>
      </c>
      <c r="O40" s="163">
        <f t="shared" ref="O40:O41" si="15">SUM(J40:M40)/4</f>
        <v>0</v>
      </c>
      <c r="P40" s="146" t="str">
        <f>IF(ISNUMBER(VLOOKUP(B40,[1]Closures!B:BI,4,FALSE)),TEXT(VLOOKUP(B40,[1]Closures!B:BI,4,FALSE),"ddmmm"),IF(C40&lt;=0,0,IF(I40&lt;=0,0,IF(AND(C40&gt;0,O40&lt;=0),"&gt;52",IF(I40/O40&gt;52,"&gt;52", MAX(0,I40/O40-2))))))</f>
        <v>&gt;52</v>
      </c>
    </row>
    <row r="41" spans="1:16" s="130" customFormat="1" ht="10.7" customHeight="1" x14ac:dyDescent="0.2">
      <c r="A41" s="122"/>
      <c r="B41" s="174" t="s">
        <v>141</v>
      </c>
      <c r="C41" s="162">
        <f>'[2]IV&amp;VI Combined'!$C$39</f>
        <v>0</v>
      </c>
      <c r="D41" s="163">
        <f>F41-VLOOKUP(B41,[1]Quota!$B$103:$BJ$143,4,FALSE)</f>
        <v>0</v>
      </c>
      <c r="E41" s="163">
        <f t="shared" si="9"/>
        <v>0</v>
      </c>
      <c r="F41" s="164">
        <f>VLOOKUP(B41,[1]Quota!$B$81:$BJ$92,4,FALSE)</f>
        <v>0</v>
      </c>
      <c r="G41" s="163">
        <f>'[1]Cumulative '!E231</f>
        <v>0</v>
      </c>
      <c r="H41" s="165" t="str">
        <f>IF(AND(F41&lt;=0),"n/a",IF(F41=0,0,100*G41/F41))</f>
        <v>n/a</v>
      </c>
      <c r="I41" s="164">
        <f t="shared" si="14"/>
        <v>0</v>
      </c>
      <c r="J41" s="163">
        <f>VLOOKUP(B41,[1]weeks!$B$156:$BO$193,4,FALSE)-VLOOKUP(B41,[1]weeks!$B$206:$BO$243,4,FALSE)</f>
        <v>0</v>
      </c>
      <c r="K41" s="163">
        <f>VLOOKUP(B41,[1]weeks!$B$107:$BO$144,4,FALSE)-VLOOKUP(B41,[1]weeks!$B$156:$BO$193,4,FALSE)</f>
        <v>0</v>
      </c>
      <c r="L41" s="163">
        <f>VLOOKUP(B41,[1]weeks!$B$55:$BO$94,4,FALSE)-VLOOKUP(B41,[1]weeks!$B$107:$BO$144,4,FALSE)</f>
        <v>0</v>
      </c>
      <c r="M41" s="163">
        <f>VLOOKUP(B41,[1]weeks!$B$5:$BO$44,4,FALSE)-VLOOKUP(B41,[1]weeks!$B$55:$BO$94,4,FALSE)</f>
        <v>0</v>
      </c>
      <c r="N41" s="163" t="str">
        <f t="shared" si="11"/>
        <v>-</v>
      </c>
      <c r="O41" s="163">
        <f t="shared" si="15"/>
        <v>0</v>
      </c>
      <c r="P41" s="146">
        <f>IF(ISNUMBER(VLOOKUP(B41,[1]Closures!B:BI,4,FALSE)),TEXT(VLOOKUP(B41,[1]Closures!B:BI,4,FALSE),"ddmmm"),IF(C41&lt;=0,0,IF(I41&lt;=0,0,IF(AND(C41&gt;0,O41&lt;=0),"&gt;52",IF(I41/O41&gt;52,"&gt;52", MAX(0,I41/O41-2))))))</f>
        <v>0</v>
      </c>
    </row>
    <row r="42" spans="1:16" s="130" customFormat="1" ht="10.7" customHeight="1" x14ac:dyDescent="0.2">
      <c r="A42" s="122"/>
      <c r="B42" s="174" t="s">
        <v>142</v>
      </c>
      <c r="C42" s="162"/>
      <c r="D42" s="163">
        <f>F42-VLOOKUP(B42,[1]Quota!$B$32:$BJ$43,4,FALSE)</f>
        <v>0</v>
      </c>
      <c r="E42" s="163"/>
      <c r="F42" s="164">
        <f>VLOOKUP(B42,[1]Quota!$B$81:$BJ$92,4,FALSE)</f>
        <v>0</v>
      </c>
      <c r="G42" s="163"/>
      <c r="H42" s="165" t="str">
        <f>IF(AND(F42&lt;=0),"n/a",IF(F42=0,0,100*G42/F42))</f>
        <v>n/a</v>
      </c>
      <c r="I42" s="164">
        <f>F42-G42</f>
        <v>0</v>
      </c>
      <c r="J42" s="163"/>
      <c r="K42" s="163"/>
      <c r="L42" s="163"/>
      <c r="M42" s="163"/>
      <c r="N42" s="163"/>
      <c r="O42" s="163"/>
      <c r="P42" s="146"/>
    </row>
    <row r="43" spans="1:16" s="130" customFormat="1" ht="10.7" customHeight="1" x14ac:dyDescent="0.2">
      <c r="A43" s="122"/>
      <c r="B43" s="168" t="s">
        <v>143</v>
      </c>
      <c r="C43" s="162">
        <f>SUM(C38:C42)</f>
        <v>104.3</v>
      </c>
      <c r="D43" s="163">
        <f>SUM(D38:D41)</f>
        <v>0</v>
      </c>
      <c r="E43" s="163">
        <f t="shared" si="9"/>
        <v>-53</v>
      </c>
      <c r="F43" s="164">
        <f>SUM(F38:F41)</f>
        <v>51.3</v>
      </c>
      <c r="G43" s="163">
        <f>SUM(G38:G41)</f>
        <v>1.0384</v>
      </c>
      <c r="H43" s="165">
        <f t="shared" si="8"/>
        <v>2.0241715399610136</v>
      </c>
      <c r="I43" s="164">
        <f t="shared" si="14"/>
        <v>50.261599999999994</v>
      </c>
      <c r="J43" s="163">
        <f t="shared" ref="J43:L43" si="16">SUM(J38:J41)</f>
        <v>0.23670000000000002</v>
      </c>
      <c r="K43" s="163">
        <f t="shared" si="16"/>
        <v>0</v>
      </c>
      <c r="L43" s="163">
        <f t="shared" si="16"/>
        <v>0.23380000000000001</v>
      </c>
      <c r="M43" s="163">
        <f>SUM(M38:M41)</f>
        <v>6.0000000000000053E-3</v>
      </c>
      <c r="N43" s="163">
        <f t="shared" si="11"/>
        <v>1.169590643274855E-2</v>
      </c>
      <c r="O43" s="163">
        <f>SUM(J43:M43)/4</f>
        <v>0.11912500000000001</v>
      </c>
      <c r="P43" s="146" t="str">
        <f>IF(ISNUMBER(VLOOKUP(B43,[1]Closures!B:BI,4,FALSE)),TEXT(VLOOKUP(B43,[1]Closures!B:BI,4,FALSE),"ddmmm"),IF(C43&lt;=0,0,IF(I43&lt;=0,0,IF(AND(C43&gt;0,O43&lt;=0),"&gt;52",IF(I43/O43&gt;52,"&gt;52", MAX(0,I43/O43-2))))))</f>
        <v>&gt;52</v>
      </c>
    </row>
    <row r="44" spans="1:16" s="130" customFormat="1" ht="10.7" customHeight="1" x14ac:dyDescent="0.2">
      <c r="A44" s="122"/>
      <c r="B44" s="168"/>
      <c r="C44" s="162"/>
      <c r="D44" s="163"/>
      <c r="E44" s="163"/>
      <c r="F44" s="164"/>
      <c r="G44" s="163"/>
      <c r="H44" s="165"/>
      <c r="I44" s="164"/>
      <c r="J44" s="163"/>
      <c r="K44" s="163"/>
      <c r="L44" s="163"/>
      <c r="M44" s="163"/>
      <c r="N44" s="163"/>
      <c r="O44" s="163"/>
      <c r="P44" s="146"/>
    </row>
    <row r="45" spans="1:16" s="130" customFormat="1" ht="10.7" customHeight="1" x14ac:dyDescent="0.2">
      <c r="A45" s="122"/>
      <c r="B45" s="175" t="s">
        <v>112</v>
      </c>
      <c r="C45" s="176">
        <f>C43+C36</f>
        <v>105.7</v>
      </c>
      <c r="D45" s="177">
        <f>D43+D36</f>
        <v>0</v>
      </c>
      <c r="E45" s="180">
        <f t="shared" si="9"/>
        <v>-53.000000000000007</v>
      </c>
      <c r="F45" s="189">
        <f>F43+F36</f>
        <v>52.699999999999996</v>
      </c>
      <c r="G45" s="180">
        <f>G43+G36</f>
        <v>1.2499</v>
      </c>
      <c r="H45" s="179">
        <f t="shared" si="8"/>
        <v>2.3717267552182166</v>
      </c>
      <c r="I45" s="218">
        <f t="shared" si="14"/>
        <v>51.450099999999999</v>
      </c>
      <c r="J45" s="180">
        <f t="shared" ref="J45:L45" si="17">J36+J43</f>
        <v>0.23670000000000002</v>
      </c>
      <c r="K45" s="180">
        <f t="shared" si="17"/>
        <v>0</v>
      </c>
      <c r="L45" s="180">
        <f t="shared" si="17"/>
        <v>0.24310000000000001</v>
      </c>
      <c r="M45" s="180">
        <f>M36+M43</f>
        <v>0.16499999999999998</v>
      </c>
      <c r="N45" s="180">
        <f t="shared" si="11"/>
        <v>0.31309297912713474</v>
      </c>
      <c r="O45" s="180">
        <f>SUM(J45:M45)/4</f>
        <v>0.16120000000000001</v>
      </c>
      <c r="P45" s="153" t="str">
        <f>IF(ISNUMBER(VLOOKUP(B45,[1]Closures!B:BI,4,FALSE)),TEXT(VLOOKUP(B45,[1]Closures!B:BI,4,FALSE),"ddmmm"),IF(C45&lt;=0,0,IF(I45&lt;=0,0,IF(AND(C45&gt;0,O45&lt;=0),"&gt;52",IF(I45/O45&gt;52,"&gt;52", MAX(0,I45/O45-2))))))</f>
        <v>&gt;52</v>
      </c>
    </row>
    <row r="46" spans="1:16" s="130" customFormat="1" ht="10.7" customHeight="1" x14ac:dyDescent="0.2">
      <c r="A46" s="122"/>
      <c r="B46" s="212"/>
      <c r="C46" s="173"/>
      <c r="D46" s="163"/>
      <c r="E46" s="163"/>
      <c r="F46" s="164"/>
      <c r="G46" s="163"/>
      <c r="H46" s="165"/>
      <c r="I46" s="164"/>
      <c r="J46" s="163"/>
      <c r="K46" s="163"/>
      <c r="L46" s="163"/>
      <c r="M46" s="163"/>
      <c r="N46" s="163"/>
      <c r="O46" s="163"/>
      <c r="P46" s="182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tr">
        <f>C5</f>
        <v>Initial Quota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f>[1]weeks!$B$154</f>
        <v>43166</v>
      </c>
      <c r="K50" s="151">
        <f>[1]weeks!$B$105</f>
        <v>43173</v>
      </c>
      <c r="L50" s="151">
        <f>[1]weeks!$B$55</f>
        <v>43180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6"/>
      <c r="C52" s="193" t="s">
        <v>164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  <c r="P52" s="145"/>
    </row>
    <row r="53" spans="1:16" s="130" customFormat="1" ht="10.7" customHeight="1" x14ac:dyDescent="0.2">
      <c r="A53" s="122"/>
      <c r="B53" s="161" t="s">
        <v>132</v>
      </c>
      <c r="C53" s="162">
        <f>'[2]IV&amp;VI Combined'!$D$29</f>
        <v>1.5</v>
      </c>
      <c r="D53" s="163">
        <f>F53-VLOOKUP(B53,[1]Quota!$B$103:$BJ$143,5,FALSE)</f>
        <v>0</v>
      </c>
      <c r="E53" s="163">
        <f>F53-C53</f>
        <v>0</v>
      </c>
      <c r="F53" s="164">
        <f>VLOOKUP(B53,[1]Quota!$B$81:$BJ$92,5,FALSE)</f>
        <v>1.5</v>
      </c>
      <c r="G53" s="163">
        <f>'[1]Cumulative '!F221</f>
        <v>1.2475000000000001</v>
      </c>
      <c r="H53" s="165">
        <f t="shared" ref="H53:H67" si="18">IF(AND(F53&lt;=0),"n/a",IF(F53=0,0,100*G53/F53))</f>
        <v>83.166666666666671</v>
      </c>
      <c r="I53" s="164">
        <f>F53-G53</f>
        <v>0.25249999999999995</v>
      </c>
      <c r="J53" s="163">
        <f>VLOOKUP(B53,[1]weeks!$B$156:$BO$193,5,FALSE)-VLOOKUP(B53,[1]weeks!$B$206:$BO$243,5,FALSE)</f>
        <v>3.0500000000000083E-2</v>
      </c>
      <c r="K53" s="163">
        <f>VLOOKUP(B53,[1]weeks!$B$107:$BO$144,5,FALSE)-VLOOKUP(B53,[1]weeks!$B$156:$BO$193,5,FALSE)</f>
        <v>8.6999999999999966E-2</v>
      </c>
      <c r="L53" s="163">
        <f>VLOOKUP(B53,[1]weeks!$B$55:$BO$94,5,FALSE)-VLOOKUP(B53,[1]weeks!$B$107:$BO$144,5,FALSE)</f>
        <v>0.19179999999999997</v>
      </c>
      <c r="M53" s="163">
        <f>VLOOKUP(B53,[1]weeks!$B$5:$BO$44,5,FALSE)-VLOOKUP(B53,[1]weeks!$B$55:$BO$94,5,FALSE)</f>
        <v>0.22120000000000006</v>
      </c>
      <c r="N53" s="163">
        <f>IF(F53&gt;0,M53/F53*100,"-")</f>
        <v>14.746666666666671</v>
      </c>
      <c r="O53" s="163">
        <f>SUM(J53:M53)/4</f>
        <v>0.13262500000000002</v>
      </c>
      <c r="P53" s="146">
        <f>IF(ISNUMBER(VLOOKUP(B53,[1]Closures!B:BI,5,FALSE)),TEXT(VLOOKUP(B53,[1]Closures!B:BI,5,FALSE),"ddmmm"),IF(C53&lt;=0,0,IF(I53&lt;=0,0,IF(AND(C53&gt;0,O53&lt;=0),"&gt;52",IF(I53/O53&gt;52,"&gt;52", MAX(0,I53/O53-2))))))</f>
        <v>0</v>
      </c>
    </row>
    <row r="54" spans="1:16" s="130" customFormat="1" ht="10.7" customHeight="1" x14ac:dyDescent="0.2">
      <c r="A54" s="122"/>
      <c r="B54" s="161" t="s">
        <v>133</v>
      </c>
      <c r="C54" s="162">
        <f>'[2]IV&amp;VI Combined'!$D$30</f>
        <v>0</v>
      </c>
      <c r="D54" s="163">
        <f>F54-VLOOKUP(B54,[1]Quota!$B$103:$BJ$143,5,FALSE)</f>
        <v>0</v>
      </c>
      <c r="E54" s="163">
        <f t="shared" ref="E54:E67" si="19">F54-C54</f>
        <v>-0.4</v>
      </c>
      <c r="F54" s="164">
        <f>VLOOKUP(B54,[1]Quota!$B$81:$BJ$92,5,FALSE)</f>
        <v>-0.4</v>
      </c>
      <c r="G54" s="163">
        <f>'[1]Cumulative '!F222</f>
        <v>0</v>
      </c>
      <c r="H54" s="165" t="str">
        <f t="shared" si="18"/>
        <v>n/a</v>
      </c>
      <c r="I54" s="164">
        <f t="shared" ref="I54:I57" si="20">F54-G54</f>
        <v>-0.4</v>
      </c>
      <c r="J54" s="163">
        <f>VLOOKUP(B54,[1]weeks!$B$156:$BO$193,5,FALSE)-VLOOKUP(B54,[1]weeks!$B$206:$BO$243,5,FALSE)</f>
        <v>0</v>
      </c>
      <c r="K54" s="163">
        <f>VLOOKUP(B54,[1]weeks!$B$107:$BO$144,5,FALSE)-VLOOKUP(B54,[1]weeks!$B$156:$BO$193,5,FALSE)</f>
        <v>0</v>
      </c>
      <c r="L54" s="163">
        <f>VLOOKUP(B54,[1]weeks!$B$55:$BO$94,5,FALSE)-VLOOKUP(B54,[1]weeks!$B$107:$BO$144,5,FALSE)</f>
        <v>0</v>
      </c>
      <c r="M54" s="163">
        <f>VLOOKUP(B54,[1]weeks!$B$5:$BO$44,5,FALSE)-VLOOKUP(B54,[1]weeks!$B$55:$BO$94,5,FALSE)</f>
        <v>0</v>
      </c>
      <c r="N54" s="163" t="str">
        <f t="shared" ref="N54:N67" si="21">IF(F54&gt;0,M54/F54*100,"-")</f>
        <v>-</v>
      </c>
      <c r="O54" s="163">
        <f t="shared" ref="O54:O60" si="22">SUM(J54:M54)/4</f>
        <v>0</v>
      </c>
      <c r="P54" s="146">
        <f>IF(ISNUMBER(VLOOKUP(B54,[1]Closures!B:BI,5,FALSE)),TEXT(VLOOKUP(B54,[1]Closures!B:BI,5,FALSE),"ddmmm"),IF(C54&lt;=0,0,IF(I54&lt;=0,0,IF(AND(C54&gt;0,O54&lt;=0),"&gt;52",IF(I54/O54&gt;52,"&gt;52", MAX(0,I54/O54-2))))))</f>
        <v>0</v>
      </c>
    </row>
    <row r="55" spans="1:16" s="130" customFormat="1" ht="10.7" customHeight="1" x14ac:dyDescent="0.2">
      <c r="A55" s="122"/>
      <c r="B55" s="161" t="s">
        <v>134</v>
      </c>
      <c r="C55" s="162">
        <f>'[2]IV&amp;VI Combined'!$D$31</f>
        <v>1.4</v>
      </c>
      <c r="D55" s="163">
        <f>F55-VLOOKUP(B55,[1]Quota!$B$103:$BJ$143,5,FALSE)</f>
        <v>0</v>
      </c>
      <c r="E55" s="163">
        <f t="shared" si="19"/>
        <v>0</v>
      </c>
      <c r="F55" s="164">
        <f>VLOOKUP(B55,[1]Quota!$B$81:$BJ$92,5,FALSE)</f>
        <v>1.4</v>
      </c>
      <c r="G55" s="163">
        <f>'[1]Cumulative '!F223</f>
        <v>0</v>
      </c>
      <c r="H55" s="165">
        <f t="shared" si="18"/>
        <v>0</v>
      </c>
      <c r="I55" s="164">
        <f t="shared" si="20"/>
        <v>1.4</v>
      </c>
      <c r="J55" s="163">
        <f>VLOOKUP(B55,[1]weeks!$B$156:$BO$193,5,FALSE)-VLOOKUP(B55,[1]weeks!$B$206:$BO$243,5,FALSE)</f>
        <v>0</v>
      </c>
      <c r="K55" s="163">
        <f>VLOOKUP(B55,[1]weeks!$B$107:$BO$144,5,FALSE)-VLOOKUP(B55,[1]weeks!$B$156:$BO$193,5,FALSE)</f>
        <v>0</v>
      </c>
      <c r="L55" s="163">
        <f>VLOOKUP(B55,[1]weeks!$B$55:$BO$94,5,FALSE)-VLOOKUP(B55,[1]weeks!$B$107:$BO$144,5,FALSE)</f>
        <v>0</v>
      </c>
      <c r="M55" s="163">
        <f>VLOOKUP(B55,[1]weeks!$B$5:$BO$44,5,FALSE)-VLOOKUP(B55,[1]weeks!$B$55:$BO$94,5,FALSE)</f>
        <v>0</v>
      </c>
      <c r="N55" s="163">
        <f t="shared" si="21"/>
        <v>0</v>
      </c>
      <c r="O55" s="163">
        <f t="shared" si="22"/>
        <v>0</v>
      </c>
      <c r="P55" s="146" t="str">
        <f>IF(ISNUMBER(VLOOKUP(B55,[1]Closures!B:BI,5,FALSE)),TEXT(VLOOKUP(B55,[1]Closures!B:BI,5,FALSE),"ddmmm"),IF(C55&lt;=0,0,IF(I55&lt;=0,0,IF(AND(C55&gt;0,O55&lt;=0),"&gt;52",IF(I55/O55&gt;52,"&gt;52", MAX(0,I55/O55-2))))))</f>
        <v>&gt;52</v>
      </c>
    </row>
    <row r="56" spans="1:16" s="130" customFormat="1" ht="10.7" customHeight="1" x14ac:dyDescent="0.2">
      <c r="A56" s="122"/>
      <c r="B56" s="161" t="s">
        <v>135</v>
      </c>
      <c r="C56" s="162">
        <f>'[2]IV&amp;VI Combined'!$D$32</f>
        <v>0</v>
      </c>
      <c r="D56" s="163">
        <f>F56-VLOOKUP(B56,[1]Quota!$B$103:$BJ$143,5,FALSE)</f>
        <v>0</v>
      </c>
      <c r="E56" s="163">
        <f t="shared" si="19"/>
        <v>0</v>
      </c>
      <c r="F56" s="164">
        <f>VLOOKUP(B56,[1]Quota!$B$81:$BJ$92,5,FALSE)</f>
        <v>0</v>
      </c>
      <c r="G56" s="163">
        <f>'[1]Cumulative '!F224</f>
        <v>0</v>
      </c>
      <c r="H56" s="165" t="str">
        <f t="shared" si="18"/>
        <v>n/a</v>
      </c>
      <c r="I56" s="164">
        <f t="shared" si="20"/>
        <v>0</v>
      </c>
      <c r="J56" s="163">
        <f>VLOOKUP(B56,[1]weeks!$B$156:$BO$193,5,FALSE)-VLOOKUP(B56,[1]weeks!$B$206:$BO$243,5,FALSE)</f>
        <v>0</v>
      </c>
      <c r="K56" s="163">
        <f>VLOOKUP(B56,[1]weeks!$B$107:$BO$144,5,FALSE)-VLOOKUP(B56,[1]weeks!$B$156:$BO$193,5,FALSE)</f>
        <v>0</v>
      </c>
      <c r="L56" s="163">
        <f>VLOOKUP(B56,[1]weeks!$B$55:$BO$94,5,FALSE)-VLOOKUP(B56,[1]weeks!$B$107:$BO$144,5,FALSE)</f>
        <v>0</v>
      </c>
      <c r="M56" s="163">
        <f>VLOOKUP(B56,[1]weeks!$B$5:$BO$44,5,FALSE)-VLOOKUP(B56,[1]weeks!$B$55:$BO$94,5,FALSE)</f>
        <v>0</v>
      </c>
      <c r="N56" s="163" t="str">
        <f t="shared" si="21"/>
        <v>-</v>
      </c>
      <c r="O56" s="163">
        <f t="shared" si="22"/>
        <v>0</v>
      </c>
      <c r="P56" s="146">
        <f>IF(ISNUMBER(VLOOKUP(B56,[1]Closures!B:BI,5,FALSE)),TEXT(VLOOKUP(B56,[1]Closures!B:BI,5,FALSE),"ddmmm"),IF(C56&lt;=0,0,IF(I56&lt;=0,0,IF(AND(C56&gt;0,O56&lt;=0),"&gt;52",IF(I56/O56&gt;52,"&gt;52", MAX(0,I56/O56-2))))))</f>
        <v>0</v>
      </c>
    </row>
    <row r="57" spans="1:16" s="130" customFormat="1" ht="10.7" customHeight="1" x14ac:dyDescent="0.2">
      <c r="A57" s="122"/>
      <c r="B57" s="161" t="s">
        <v>136</v>
      </c>
      <c r="C57" s="162"/>
      <c r="D57" s="163">
        <f>F57-VLOOKUP(B57,[1]Quota!$B$32:$BJ$43,5,FALSE)</f>
        <v>0</v>
      </c>
      <c r="E57" s="163"/>
      <c r="F57" s="164">
        <f>VLOOKUP(B57,[1]Quota!$B$81:$BJ$92,5,FALSE)</f>
        <v>0</v>
      </c>
      <c r="G57" s="163"/>
      <c r="H57" s="165" t="str">
        <f t="shared" si="18"/>
        <v>n/a</v>
      </c>
      <c r="I57" s="164">
        <f t="shared" si="20"/>
        <v>0</v>
      </c>
      <c r="J57" s="163"/>
      <c r="K57" s="163"/>
      <c r="L57" s="163"/>
      <c r="M57" s="163"/>
      <c r="N57" s="163"/>
      <c r="O57" s="163"/>
      <c r="P57" s="146"/>
    </row>
    <row r="58" spans="1:16" s="130" customFormat="1" ht="10.7" customHeight="1" x14ac:dyDescent="0.2">
      <c r="A58" s="122"/>
      <c r="B58" s="168" t="s">
        <v>137</v>
      </c>
      <c r="C58" s="162">
        <f>SUM(C53:C56)</f>
        <v>2.9</v>
      </c>
      <c r="D58" s="163">
        <f>SUM(D53:D57)</f>
        <v>0</v>
      </c>
      <c r="E58" s="163">
        <f t="shared" si="19"/>
        <v>-0.39999999999999991</v>
      </c>
      <c r="F58" s="217">
        <f t="shared" ref="F58" si="23">SUM(F53:F56)</f>
        <v>2.5</v>
      </c>
      <c r="G58" s="163">
        <f>SUM(G53:G56)</f>
        <v>1.2475000000000001</v>
      </c>
      <c r="H58" s="165">
        <f t="shared" si="18"/>
        <v>49.9</v>
      </c>
      <c r="I58" s="217">
        <f t="shared" ref="I58:L58" si="24">SUM(I53:I56)</f>
        <v>1.2524999999999999</v>
      </c>
      <c r="J58" s="163">
        <f t="shared" si="24"/>
        <v>3.0500000000000083E-2</v>
      </c>
      <c r="K58" s="163">
        <f t="shared" si="24"/>
        <v>8.6999999999999966E-2</v>
      </c>
      <c r="L58" s="163">
        <f t="shared" si="24"/>
        <v>0.19179999999999997</v>
      </c>
      <c r="M58" s="163">
        <f>SUM(M53:M56)</f>
        <v>0.22120000000000006</v>
      </c>
      <c r="N58" s="163">
        <f t="shared" si="21"/>
        <v>8.8480000000000025</v>
      </c>
      <c r="O58" s="163">
        <f t="shared" si="22"/>
        <v>0.13262500000000002</v>
      </c>
      <c r="P58" s="146">
        <f>IF(ISNUMBER(VLOOKUP(B58,[1]Closures!B:BI,5,FALSE)),TEXT(VLOOKUP(B58,[1]Closures!B:BI,5,FALSE),"ddmmm"),IF(C58&lt;=0,0,IF(I58&lt;=0,0,IF(AND(C58&gt;0,O58&lt;=0),"&gt;52",IF(I58/O58&gt;52,"&gt;52", MAX(0,I58/O58-2))))))</f>
        <v>7.4439208294062187</v>
      </c>
    </row>
    <row r="59" spans="1:16" s="130" customFormat="1" ht="10.7" customHeight="1" x14ac:dyDescent="0.2">
      <c r="A59" s="122"/>
      <c r="B59" s="168"/>
      <c r="C59" s="162"/>
      <c r="D59" s="163"/>
      <c r="E59" s="163"/>
      <c r="F59" s="164"/>
      <c r="G59" s="163"/>
      <c r="H59" s="165"/>
      <c r="I59" s="164"/>
      <c r="J59" s="163"/>
      <c r="K59" s="163"/>
      <c r="L59" s="163"/>
      <c r="M59" s="163"/>
      <c r="N59" s="163" t="str">
        <f t="shared" si="21"/>
        <v>-</v>
      </c>
      <c r="O59" s="163"/>
      <c r="P59" s="146"/>
    </row>
    <row r="60" spans="1:16" s="130" customFormat="1" ht="10.7" customHeight="1" x14ac:dyDescent="0.2">
      <c r="A60" s="122"/>
      <c r="B60" s="174" t="s">
        <v>138</v>
      </c>
      <c r="C60" s="162">
        <f>'[2]IV&amp;VI Combined'!$D$36</f>
        <v>29.9</v>
      </c>
      <c r="D60" s="163">
        <f>F60-VLOOKUP(B60,[1]Quota!$B$103:$BJ$143,5,FALSE)</f>
        <v>0</v>
      </c>
      <c r="E60" s="163">
        <f t="shared" si="19"/>
        <v>1.1000000000000014</v>
      </c>
      <c r="F60" s="164">
        <f>VLOOKUP(B60,[1]Quota!$B$81:$BJ$92,5,FALSE)</f>
        <v>31</v>
      </c>
      <c r="G60" s="163">
        <f>'[1]Cumulative '!F228</f>
        <v>14.8186</v>
      </c>
      <c r="H60" s="165">
        <f t="shared" si="18"/>
        <v>47.801935483870963</v>
      </c>
      <c r="I60" s="164">
        <f t="shared" ref="I60:I67" si="25">F60-G60</f>
        <v>16.1814</v>
      </c>
      <c r="J60" s="163">
        <f>VLOOKUP(B60,[1]weeks!$B$156:$BO$193,5,FALSE)-VLOOKUP(B60,[1]weeks!$B$206:$BO$243,5,FALSE)</f>
        <v>0.49880000000000102</v>
      </c>
      <c r="K60" s="163">
        <f>VLOOKUP(B60,[1]weeks!$B$107:$BO$144,5,FALSE)-VLOOKUP(B60,[1]weeks!$B$156:$BO$193,5,FALSE)</f>
        <v>1.7899999999999139E-2</v>
      </c>
      <c r="L60" s="163">
        <f>VLOOKUP(B60,[1]weeks!$B$55:$BO$94,5,FALSE)-VLOOKUP(B60,[1]weeks!$B$107:$BO$144,5,FALSE)</f>
        <v>5.0775000000000006</v>
      </c>
      <c r="M60" s="163">
        <f>VLOOKUP(B60,[1]weeks!$B$5:$BO$44,5,FALSE)-VLOOKUP(B60,[1]weeks!$B$55:$BO$94,5,FALSE)</f>
        <v>0.12899999999999956</v>
      </c>
      <c r="N60" s="163">
        <f t="shared" si="21"/>
        <v>0.41612903225806314</v>
      </c>
      <c r="O60" s="163">
        <f t="shared" si="22"/>
        <v>1.4308000000000001</v>
      </c>
      <c r="P60" s="146">
        <f>IF(ISNUMBER(VLOOKUP(B60,[1]Closures!B:BI,5,FALSE)),TEXT(VLOOKUP(B60,[1]Closures!B:BI,5,FALSE),"ddmmm"),IF(C60&lt;=0,0,IF(I60&lt;=0,0,IF(AND(C60&gt;0,O60&lt;=0),"&gt;52",IF(I60/O60&gt;52,"&gt;52", MAX(0,I60/O60-2))))))</f>
        <v>9.3093374336035772</v>
      </c>
    </row>
    <row r="61" spans="1:16" s="130" customFormat="1" ht="10.7" customHeight="1" x14ac:dyDescent="0.2">
      <c r="A61" s="122"/>
      <c r="B61" s="174" t="s">
        <v>139</v>
      </c>
      <c r="C61" s="162">
        <f>'[2]IV&amp;VI Combined'!$D$37</f>
        <v>0.7</v>
      </c>
      <c r="D61" s="163">
        <f>F61-VLOOKUP(B61,[1]Quota!$B$103:$BJ$143,5,FALSE)</f>
        <v>0</v>
      </c>
      <c r="E61" s="163">
        <f t="shared" si="19"/>
        <v>-0.7</v>
      </c>
      <c r="F61" s="164">
        <f>VLOOKUP(B61,[1]Quota!$B$81:$BJ$92,5,FALSE)</f>
        <v>0</v>
      </c>
      <c r="G61" s="163">
        <f>'[1]Cumulative '!F229</f>
        <v>0</v>
      </c>
      <c r="H61" s="165" t="str">
        <f t="shared" si="18"/>
        <v>n/a</v>
      </c>
      <c r="I61" s="164">
        <f t="shared" si="25"/>
        <v>0</v>
      </c>
      <c r="J61" s="163">
        <f>VLOOKUP(B61,[1]weeks!$B$156:$BO$193,5,FALSE)-VLOOKUP(B61,[1]weeks!$B$206:$BO$243,5,FALSE)</f>
        <v>0</v>
      </c>
      <c r="K61" s="163">
        <f>VLOOKUP(B61,[1]weeks!$B$107:$BO$144,5,FALSE)-VLOOKUP(B61,[1]weeks!$B$156:$BO$193,5,FALSE)</f>
        <v>0</v>
      </c>
      <c r="L61" s="163">
        <f>VLOOKUP(B61,[1]weeks!$B$55:$BO$94,5,FALSE)-VLOOKUP(B61,[1]weeks!$B$107:$BO$144,5,FALSE)</f>
        <v>0</v>
      </c>
      <c r="M61" s="163">
        <f>VLOOKUP(B61,[1]weeks!$B$5:$BO$44,5,FALSE)-VLOOKUP(B61,[1]weeks!$B$55:$BO$94,5,FALSE)</f>
        <v>0</v>
      </c>
      <c r="N61" s="163" t="str">
        <f t="shared" si="21"/>
        <v>-</v>
      </c>
      <c r="O61" s="163">
        <f>SUM(J61:M61)/4</f>
        <v>0</v>
      </c>
      <c r="P61" s="146">
        <f>IF(ISNUMBER(VLOOKUP(B61,[1]Closures!B:BI,5,FALSE)),TEXT(VLOOKUP(B61,[1]Closures!B:BI,5,FALSE),"ddmmm"),IF(C61&lt;=0,0,IF(I61&lt;=0,0,IF(AND(C61&gt;0,O61&lt;=0),"&gt;52",IF(I61/O61&gt;52,"&gt;52", MAX(0,I61/O61-2))))))</f>
        <v>0</v>
      </c>
    </row>
    <row r="62" spans="1:16" s="130" customFormat="1" ht="10.7" customHeight="1" x14ac:dyDescent="0.2">
      <c r="A62" s="122"/>
      <c r="B62" s="174" t="s">
        <v>140</v>
      </c>
      <c r="C62" s="162">
        <f>'[2]IV&amp;VI Combined'!$D$38</f>
        <v>0.5</v>
      </c>
      <c r="D62" s="163">
        <f>F62-VLOOKUP(B62,[1]Quota!$B$103:$BJ$143,5,FALSE)</f>
        <v>0</v>
      </c>
      <c r="E62" s="163">
        <f t="shared" si="19"/>
        <v>0</v>
      </c>
      <c r="F62" s="164">
        <f>VLOOKUP(B62,[1]Quota!$B$81:$BJ$92,5,FALSE)</f>
        <v>0.5</v>
      </c>
      <c r="G62" s="163">
        <f>'[1]Cumulative '!F230</f>
        <v>1.4999999999999999E-2</v>
      </c>
      <c r="H62" s="165">
        <f t="shared" si="18"/>
        <v>3</v>
      </c>
      <c r="I62" s="164">
        <f t="shared" si="25"/>
        <v>0.48499999999999999</v>
      </c>
      <c r="J62" s="163">
        <f>VLOOKUP(B62,[1]weeks!$B$156:$BO$193,5,FALSE)-VLOOKUP(B62,[1]weeks!$B$206:$BO$243,5,FALSE)</f>
        <v>0</v>
      </c>
      <c r="K62" s="163">
        <f>VLOOKUP(B62,[1]weeks!$B$107:$BO$144,5,FALSE)-VLOOKUP(B62,[1]weeks!$B$156:$BO$193,5,FALSE)</f>
        <v>1.4999999999999999E-2</v>
      </c>
      <c r="L62" s="163">
        <f>VLOOKUP(B62,[1]weeks!$B$55:$BO$94,5,FALSE)-VLOOKUP(B62,[1]weeks!$B$107:$BO$144,5,FALSE)</f>
        <v>0</v>
      </c>
      <c r="M62" s="163">
        <f>VLOOKUP(B62,[1]weeks!$B$5:$BO$44,5,FALSE)-VLOOKUP(B62,[1]weeks!$B$55:$BO$94,5,FALSE)</f>
        <v>0</v>
      </c>
      <c r="N62" s="163">
        <f t="shared" si="21"/>
        <v>0</v>
      </c>
      <c r="O62" s="163">
        <f t="shared" ref="O62:O63" si="26">SUM(J62:M62)/4</f>
        <v>3.7499999999999999E-3</v>
      </c>
      <c r="P62" s="146" t="str">
        <f>IF(ISNUMBER(VLOOKUP(B62,[1]Closures!B:BI,5,FALSE)),TEXT(VLOOKUP(B62,[1]Closures!B:BI,5,FALSE),"ddmmm"),IF(C62&lt;=0,0,IF(I62&lt;=0,0,IF(AND(C62&gt;0,O62&lt;=0),"&gt;52",IF(I62/O62&gt;52,"&gt;52", MAX(0,I62/O62-2))))))</f>
        <v>&gt;52</v>
      </c>
    </row>
    <row r="63" spans="1:16" s="130" customFormat="1" ht="10.7" customHeight="1" x14ac:dyDescent="0.2">
      <c r="A63" s="122"/>
      <c r="B63" s="174" t="s">
        <v>141</v>
      </c>
      <c r="C63" s="162">
        <f>'[2]IV&amp;VI Combined'!$D$39</f>
        <v>0</v>
      </c>
      <c r="D63" s="163">
        <f>F63-VLOOKUP(B63,[1]Quota!$B$103:$BJ$143,5,FALSE)</f>
        <v>0</v>
      </c>
      <c r="E63" s="163">
        <f t="shared" si="19"/>
        <v>0</v>
      </c>
      <c r="F63" s="164">
        <f>VLOOKUP(B63,[1]Quota!$B$81:$BJ$92,5,FALSE)</f>
        <v>0</v>
      </c>
      <c r="G63" s="163">
        <f>'[1]Cumulative '!F231</f>
        <v>0</v>
      </c>
      <c r="H63" s="165" t="str">
        <f>IF(AND(F63&lt;=0),"n/a",IF(F63=0,0,100*G63/F63))</f>
        <v>n/a</v>
      </c>
      <c r="I63" s="164">
        <f t="shared" si="25"/>
        <v>0</v>
      </c>
      <c r="J63" s="163">
        <f>VLOOKUP(B63,[1]weeks!$B$156:$BO$193,5,FALSE)-VLOOKUP(B63,[1]weeks!$B$206:$BO$243,5,FALSE)</f>
        <v>0</v>
      </c>
      <c r="K63" s="163">
        <f>VLOOKUP(B63,[1]weeks!$B$107:$BO$144,5,FALSE)-VLOOKUP(B63,[1]weeks!$B$156:$BO$193,5,FALSE)</f>
        <v>0</v>
      </c>
      <c r="L63" s="163">
        <f>VLOOKUP(B63,[1]weeks!$B$55:$BO$94,5,FALSE)-VLOOKUP(B63,[1]weeks!$B$107:$BO$144,5,FALSE)</f>
        <v>0</v>
      </c>
      <c r="M63" s="163">
        <f>VLOOKUP(B63,[1]weeks!$B$5:$BO$44,5,FALSE)-VLOOKUP(B63,[1]weeks!$B$55:$BO$94,5,FALSE)</f>
        <v>0</v>
      </c>
      <c r="N63" s="163" t="str">
        <f t="shared" si="21"/>
        <v>-</v>
      </c>
      <c r="O63" s="163">
        <f t="shared" si="26"/>
        <v>0</v>
      </c>
      <c r="P63" s="146">
        <f>IF(ISNUMBER(VLOOKUP(B63,[1]Closures!B:BI,5,FALSE)),TEXT(VLOOKUP(B63,[1]Closures!B:BI,5,FALSE),"ddmmm"),IF(C63&lt;=0,0,IF(I63&lt;=0,0,IF(AND(C63&gt;0,O63&lt;=0),"&gt;52",IF(I63/O63&gt;52,"&gt;52", MAX(0,I63/O63-2))))))</f>
        <v>0</v>
      </c>
    </row>
    <row r="64" spans="1:16" s="130" customFormat="1" ht="10.7" customHeight="1" x14ac:dyDescent="0.2">
      <c r="A64" s="122"/>
      <c r="B64" s="174" t="s">
        <v>142</v>
      </c>
      <c r="C64" s="162"/>
      <c r="D64" s="163">
        <f>F64-VLOOKUP(B64,[1]Quota!$B$32:$BJ$43,5,FALSE)</f>
        <v>0</v>
      </c>
      <c r="E64" s="163"/>
      <c r="F64" s="164">
        <f>VLOOKUP(B64,[1]Quota!$B$81:$BJ$92,5,FALSE)</f>
        <v>0</v>
      </c>
      <c r="G64" s="163">
        <v>0</v>
      </c>
      <c r="H64" s="165" t="str">
        <f>IF(AND(F64&lt;=0),"n/a",IF(F64=0,0,100*G64/F64))</f>
        <v>n/a</v>
      </c>
      <c r="I64" s="164">
        <f>F64-G64</f>
        <v>0</v>
      </c>
      <c r="J64" s="163"/>
      <c r="K64" s="163"/>
      <c r="L64" s="163"/>
      <c r="M64" s="163"/>
      <c r="N64" s="163"/>
      <c r="O64" s="163"/>
      <c r="P64" s="146"/>
    </row>
    <row r="65" spans="1:16" s="130" customFormat="1" ht="10.7" customHeight="1" x14ac:dyDescent="0.2">
      <c r="A65" s="122"/>
      <c r="B65" s="168" t="s">
        <v>143</v>
      </c>
      <c r="C65" s="162">
        <f>SUM(C60:C64)</f>
        <v>31.099999999999998</v>
      </c>
      <c r="D65" s="163">
        <f>SUM(D60:D63)</f>
        <v>0</v>
      </c>
      <c r="E65" s="163">
        <f t="shared" si="19"/>
        <v>0.40000000000000213</v>
      </c>
      <c r="F65" s="164">
        <f>SUM(F60:F63)</f>
        <v>31.5</v>
      </c>
      <c r="G65" s="163">
        <f>SUM(G60:G63)</f>
        <v>14.833600000000001</v>
      </c>
      <c r="H65" s="165">
        <f>IF(AND(F65&lt;=0),"n/a",IF(F65=0,0,100*G65/F65))</f>
        <v>47.090793650793657</v>
      </c>
      <c r="I65" s="164">
        <f t="shared" si="25"/>
        <v>16.666399999999999</v>
      </c>
      <c r="J65" s="163">
        <f t="shared" ref="J65:L65" si="27">SUM(J60:J63)</f>
        <v>0.49880000000000102</v>
      </c>
      <c r="K65" s="163">
        <f t="shared" si="27"/>
        <v>3.2899999999999138E-2</v>
      </c>
      <c r="L65" s="163">
        <f t="shared" si="27"/>
        <v>5.0775000000000006</v>
      </c>
      <c r="M65" s="163">
        <f>SUM(M60:M63)</f>
        <v>0.12899999999999956</v>
      </c>
      <c r="N65" s="163">
        <f t="shared" si="21"/>
        <v>0.40952380952380812</v>
      </c>
      <c r="O65" s="163">
        <f>SUM(J65:M65)/4</f>
        <v>1.43455</v>
      </c>
      <c r="P65" s="146">
        <f>IF(ISNUMBER(VLOOKUP(B65,[1]Closures!B:BI,5,FALSE)),TEXT(VLOOKUP(B65,[1]Closures!B:BI,5,FALSE),"ddmmm"),IF(C65&lt;=0,0,IF(I65&lt;=0,0,IF(AND(C65&gt;0,O65&lt;=0),"&gt;52",IF(I65/O65&gt;52,"&gt;52", MAX(0,I65/O65-2))))))</f>
        <v>9.6178592590010794</v>
      </c>
    </row>
    <row r="66" spans="1:16" s="130" customFormat="1" ht="10.7" customHeight="1" x14ac:dyDescent="0.2">
      <c r="A66" s="122"/>
      <c r="B66" s="168"/>
      <c r="C66" s="162"/>
      <c r="D66" s="163"/>
      <c r="E66" s="163"/>
      <c r="F66" s="164"/>
      <c r="G66" s="163"/>
      <c r="H66" s="165"/>
      <c r="I66" s="164"/>
      <c r="J66" s="163"/>
      <c r="K66" s="163"/>
      <c r="L66" s="163"/>
      <c r="M66" s="163"/>
      <c r="N66" s="163"/>
      <c r="O66" s="163"/>
      <c r="P66" s="146"/>
    </row>
    <row r="67" spans="1:16" s="130" customFormat="1" ht="10.7" customHeight="1" x14ac:dyDescent="0.2">
      <c r="A67" s="122"/>
      <c r="B67" s="175" t="s">
        <v>112</v>
      </c>
      <c r="C67" s="176">
        <f>C65+C58</f>
        <v>34</v>
      </c>
      <c r="D67" s="180">
        <f>D65+D58</f>
        <v>0</v>
      </c>
      <c r="E67" s="180">
        <f t="shared" si="19"/>
        <v>0</v>
      </c>
      <c r="F67" s="189">
        <f>F65+F58</f>
        <v>34</v>
      </c>
      <c r="G67" s="180">
        <f>G65+G58</f>
        <v>16.081099999999999</v>
      </c>
      <c r="H67" s="179">
        <f t="shared" si="18"/>
        <v>47.29735294117647</v>
      </c>
      <c r="I67" s="218">
        <f t="shared" si="25"/>
        <v>17.918900000000001</v>
      </c>
      <c r="J67" s="180">
        <f t="shared" ref="J67:L67" si="28">J58+J65</f>
        <v>0.5293000000000011</v>
      </c>
      <c r="K67" s="180">
        <f t="shared" si="28"/>
        <v>0.1198999999999991</v>
      </c>
      <c r="L67" s="180">
        <f t="shared" si="28"/>
        <v>5.2693000000000003</v>
      </c>
      <c r="M67" s="180">
        <f>M58+M65</f>
        <v>0.35019999999999962</v>
      </c>
      <c r="N67" s="180">
        <f t="shared" si="21"/>
        <v>1.0299999999999989</v>
      </c>
      <c r="O67" s="180">
        <f>SUM(J67:M67)/4</f>
        <v>1.5671750000000002</v>
      </c>
      <c r="P67" s="153">
        <f>IF(ISNUMBER(VLOOKUP(B67,[1]Closures!B:BI,5,FALSE)),TEXT(VLOOKUP(B67,[1]Closures!B:BI,5,FALSE),"ddmmm"),IF(C67&lt;=0,0,IF(I67&lt;=0,0,IF(AND(C67&gt;0,O67&lt;=0),"&gt;52",IF(I67/O67&gt;52,"&gt;52", MAX(0,I67/O67-2))))))</f>
        <v>9.4338858136455706</v>
      </c>
    </row>
    <row r="68" spans="1:16" s="130" customFormat="1" ht="10.7" customHeight="1" x14ac:dyDescent="0.2">
      <c r="A68" s="122"/>
      <c r="B68" s="181"/>
      <c r="C68" s="181"/>
      <c r="D68" s="163"/>
      <c r="E68" s="163"/>
      <c r="F68" s="164"/>
      <c r="G68" s="163"/>
      <c r="H68" s="2"/>
      <c r="I68" s="164"/>
      <c r="J68" s="163"/>
      <c r="K68" s="163"/>
      <c r="L68" s="163"/>
      <c r="M68" s="163"/>
      <c r="N68" s="163"/>
      <c r="O68" s="163"/>
      <c r="P68" s="182"/>
    </row>
    <row r="69" spans="1:16" s="130" customFormat="1" ht="10.7" customHeight="1" x14ac:dyDescent="0.2">
      <c r="A69" s="122"/>
      <c r="B69" s="181"/>
      <c r="C69" s="181"/>
      <c r="D69" s="183"/>
      <c r="E69" s="183"/>
      <c r="F69" s="184"/>
      <c r="G69" s="183"/>
      <c r="H69" s="163"/>
      <c r="I69" s="184"/>
      <c r="J69" s="185"/>
      <c r="K69" s="185"/>
      <c r="L69" s="185"/>
      <c r="M69" s="185"/>
      <c r="N69" s="173"/>
      <c r="O69" s="183"/>
      <c r="P69" s="182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tr">
        <f>C5</f>
        <v>Initial Quota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f>[1]weeks!$B$154</f>
        <v>43166</v>
      </c>
      <c r="K72" s="151">
        <f>[1]weeks!$B$105</f>
        <v>43173</v>
      </c>
      <c r="L72" s="151">
        <f>[1]weeks!$B$55</f>
        <v>43180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6"/>
      <c r="C74" s="193" t="s">
        <v>169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4"/>
      <c r="P74" s="145"/>
    </row>
    <row r="75" spans="1:16" s="130" customFormat="1" ht="10.7" customHeight="1" x14ac:dyDescent="0.2">
      <c r="A75" s="122"/>
      <c r="B75" s="161" t="s">
        <v>132</v>
      </c>
      <c r="C75" s="162">
        <f>'[2]IV&amp;VI Combined'!$E$29</f>
        <v>0.2</v>
      </c>
      <c r="D75" s="163">
        <f>F75-VLOOKUP(B75,[1]Quota!$B$103:$BJ$143,6,FALSE)</f>
        <v>0</v>
      </c>
      <c r="E75" s="163">
        <f>F75-C75</f>
        <v>0</v>
      </c>
      <c r="F75" s="164">
        <f>VLOOKUP(B75,[1]Quota!$B$81:$BJ$92,6,FALSE)</f>
        <v>0.2</v>
      </c>
      <c r="G75" s="163">
        <f>'[1]Cumulative '!G221</f>
        <v>0</v>
      </c>
      <c r="H75" s="165">
        <f t="shared" ref="H75:H89" si="29">IF(AND(F75&lt;=0),"n/a",IF(F75=0,0,100*G75/F75))</f>
        <v>0</v>
      </c>
      <c r="I75" s="164">
        <f>F75-G75</f>
        <v>0.2</v>
      </c>
      <c r="J75" s="163">
        <f>VLOOKUP(B75,[1]weeks!$B$156:$BO$193,6,FALSE)-VLOOKUP(B75,[1]weeks!$B$206:$BO$243,6,FALSE)</f>
        <v>0</v>
      </c>
      <c r="K75" s="163">
        <f>VLOOKUP(B75,[1]weeks!$B$107:$BO$144,6,FALSE)-VLOOKUP(B75,[1]weeks!$B$156:$BO$193,6,FALSE)</f>
        <v>0</v>
      </c>
      <c r="L75" s="163">
        <f>VLOOKUP(B75,[1]weeks!$B$55:$BO$94,6,FALSE)-VLOOKUP(B75,[1]weeks!$B$107:$BO$144,6,FALSE)</f>
        <v>0</v>
      </c>
      <c r="M75" s="163">
        <f>VLOOKUP(B75,[1]weeks!$B$5:$BO$44,6,FALSE)-VLOOKUP(B75,[1]weeks!$B$55:$BO$94,6,FALSE)</f>
        <v>0</v>
      </c>
      <c r="N75" s="163">
        <f>IF(F75&gt;0,M75/F75*100,"-")</f>
        <v>0</v>
      </c>
      <c r="O75" s="163">
        <f>SUM(J75:M75)/4</f>
        <v>0</v>
      </c>
      <c r="P75" s="146" t="str">
        <f>IF(ISNUMBER(VLOOKUP(B75,[1]Closures!B:BI,6,FALSE)),TEXT(VLOOKUP(B75,[1]Closures!B:BI,6,FALSE),"ddmmm"),IF(C75&lt;=0,0,IF(I75&lt;=0,0,IF(AND(C75&gt;0,O75&lt;=0),"&gt;52",IF(I75/O75&gt;52,"&gt;52", MAX(0,I75/O75-2))))))</f>
        <v>&gt;52</v>
      </c>
    </row>
    <row r="76" spans="1:16" s="130" customFormat="1" ht="10.7" customHeight="1" x14ac:dyDescent="0.2">
      <c r="A76" s="122"/>
      <c r="B76" s="161" t="s">
        <v>133</v>
      </c>
      <c r="C76" s="162">
        <f>'[2]IV&amp;VI Combined'!$E$30</f>
        <v>0</v>
      </c>
      <c r="D76" s="163">
        <f>F76-VLOOKUP(B76,[1]Quota!$B$103:$BJ$143,6,FALSE)</f>
        <v>0</v>
      </c>
      <c r="E76" s="163">
        <f t="shared" ref="E76:E89" si="30">F76-C76</f>
        <v>0</v>
      </c>
      <c r="F76" s="164">
        <f>VLOOKUP(B76,[1]Quota!$B$81:$BJ$92,6,FALSE)</f>
        <v>0</v>
      </c>
      <c r="G76" s="163">
        <f>'[1]Cumulative '!G222</f>
        <v>0</v>
      </c>
      <c r="H76" s="165" t="str">
        <f t="shared" si="29"/>
        <v>n/a</v>
      </c>
      <c r="I76" s="164">
        <f t="shared" ref="I76:I79" si="31">F76-G76</f>
        <v>0</v>
      </c>
      <c r="J76" s="163">
        <f>VLOOKUP(B76,[1]weeks!$B$156:$BO$193,6,FALSE)-VLOOKUP(B76,[1]weeks!$B$206:$BO$243,6,FALSE)</f>
        <v>0</v>
      </c>
      <c r="K76" s="163">
        <f>VLOOKUP(B76,[1]weeks!$B$107:$BO$144,6,FALSE)-VLOOKUP(B76,[1]weeks!$B$156:$BO$193,6,FALSE)</f>
        <v>0</v>
      </c>
      <c r="L76" s="163">
        <f>VLOOKUP(B76,[1]weeks!$B$55:$BO$94,6,FALSE)-VLOOKUP(B76,[1]weeks!$B$107:$BO$144,6,FALSE)</f>
        <v>0</v>
      </c>
      <c r="M76" s="163">
        <f>VLOOKUP(B76,[1]weeks!$B$5:$BO$44,6,FALSE)-VLOOKUP(B76,[1]weeks!$B$55:$BO$94,6,FALSE)</f>
        <v>0</v>
      </c>
      <c r="N76" s="163" t="str">
        <f t="shared" ref="N76:N89" si="32">IF(F76&gt;0,M76/F76*100,"-")</f>
        <v>-</v>
      </c>
      <c r="O76" s="163">
        <f t="shared" ref="O76:O82" si="33">SUM(J76:M76)/4</f>
        <v>0</v>
      </c>
      <c r="P76" s="146">
        <f>IF(ISNUMBER(VLOOKUP(B76,[1]Closures!B:BI,6,FALSE)),TEXT(VLOOKUP(B76,[1]Closures!B:BI,6,FALSE),"ddmmm"),IF(C76&lt;=0,0,IF(I76&lt;=0,0,IF(AND(C76&gt;0,O76&lt;=0),"&gt;52",IF(I76/O76&gt;52,"&gt;52", MAX(0,I76/O76-2))))))</f>
        <v>0</v>
      </c>
    </row>
    <row r="77" spans="1:16" s="130" customFormat="1" ht="10.7" customHeight="1" x14ac:dyDescent="0.2">
      <c r="A77" s="122"/>
      <c r="B77" s="161" t="s">
        <v>134</v>
      </c>
      <c r="C77" s="162">
        <f>'[2]IV&amp;VI Combined'!$E$31</f>
        <v>5.7</v>
      </c>
      <c r="D77" s="163">
        <f>F77-VLOOKUP(B77,[1]Quota!$B$103:$BJ$143,6,FALSE)</f>
        <v>0</v>
      </c>
      <c r="E77" s="163">
        <f t="shared" si="30"/>
        <v>0</v>
      </c>
      <c r="F77" s="164">
        <f>VLOOKUP(B77,[1]Quota!$B$81:$BJ$92,6,FALSE)</f>
        <v>5.7</v>
      </c>
      <c r="G77" s="163">
        <f>'[1]Cumulative '!G223</f>
        <v>0</v>
      </c>
      <c r="H77" s="165">
        <f t="shared" si="29"/>
        <v>0</v>
      </c>
      <c r="I77" s="164">
        <f t="shared" si="31"/>
        <v>5.7</v>
      </c>
      <c r="J77" s="163">
        <f>VLOOKUP(B77,[1]weeks!$B$156:$BO$193,6,FALSE)-VLOOKUP(B77,[1]weeks!$B$206:$BO$243,6,FALSE)</f>
        <v>0</v>
      </c>
      <c r="K77" s="163">
        <f>VLOOKUP(B77,[1]weeks!$B$107:$BO$144,6,FALSE)-VLOOKUP(B77,[1]weeks!$B$156:$BO$193,6,FALSE)</f>
        <v>0</v>
      </c>
      <c r="L77" s="163">
        <f>VLOOKUP(B77,[1]weeks!$B$55:$BO$94,6,FALSE)-VLOOKUP(B77,[1]weeks!$B$107:$BO$144,6,FALSE)</f>
        <v>0</v>
      </c>
      <c r="M77" s="163">
        <f>VLOOKUP(B77,[1]weeks!$B$5:$BO$44,6,FALSE)-VLOOKUP(B77,[1]weeks!$B$55:$BO$94,6,FALSE)</f>
        <v>0</v>
      </c>
      <c r="N77" s="163">
        <f t="shared" si="32"/>
        <v>0</v>
      </c>
      <c r="O77" s="163">
        <f t="shared" si="33"/>
        <v>0</v>
      </c>
      <c r="P77" s="146" t="str">
        <f>IF(ISNUMBER(VLOOKUP(B77,[1]Closures!B:BI,6,FALSE)),TEXT(VLOOKUP(B77,[1]Closures!B:BI,6,FALSE),"ddmmm"),IF(C77&lt;=0,0,IF(I77&lt;=0,0,IF(AND(C77&gt;0,O77&lt;=0),"&gt;52",IF(I77/O77&gt;52,"&gt;52", MAX(0,I77/O77-2))))))</f>
        <v>&gt;52</v>
      </c>
    </row>
    <row r="78" spans="1:16" s="130" customFormat="1" ht="10.7" customHeight="1" x14ac:dyDescent="0.2">
      <c r="A78" s="122"/>
      <c r="B78" s="161" t="s">
        <v>135</v>
      </c>
      <c r="C78" s="162">
        <f>'[2]IV&amp;VI Combined'!$E$32</f>
        <v>0</v>
      </c>
      <c r="D78" s="163">
        <f>F78-VLOOKUP(B78,[1]Quota!$B$103:$BJ$143,6,FALSE)</f>
        <v>0</v>
      </c>
      <c r="E78" s="163">
        <f t="shared" si="30"/>
        <v>0</v>
      </c>
      <c r="F78" s="164">
        <f>VLOOKUP(B78,[1]Quota!$B$81:$BJ$92,6,FALSE)</f>
        <v>0</v>
      </c>
      <c r="G78" s="163">
        <f>'[1]Cumulative '!G224</f>
        <v>0</v>
      </c>
      <c r="H78" s="165" t="str">
        <f t="shared" si="29"/>
        <v>n/a</v>
      </c>
      <c r="I78" s="164">
        <f t="shared" si="31"/>
        <v>0</v>
      </c>
      <c r="J78" s="163">
        <f>VLOOKUP(B78,[1]weeks!$B$156:$BO$193,6,FALSE)-VLOOKUP(B78,[1]weeks!$B$206:$BO$243,6,FALSE)</f>
        <v>0</v>
      </c>
      <c r="K78" s="163">
        <f>VLOOKUP(B78,[1]weeks!$B$107:$BO$144,6,FALSE)-VLOOKUP(B78,[1]weeks!$B$156:$BO$193,6,FALSE)</f>
        <v>0</v>
      </c>
      <c r="L78" s="163">
        <f>VLOOKUP(B78,[1]weeks!$B$55:$BO$94,6,FALSE)-VLOOKUP(B78,[1]weeks!$B$107:$BO$144,6,FALSE)</f>
        <v>0</v>
      </c>
      <c r="M78" s="163">
        <f>VLOOKUP(B78,[1]weeks!$B$5:$BO$44,6,FALSE)-VLOOKUP(B78,[1]weeks!$B$55:$BO$94,6,FALSE)</f>
        <v>0</v>
      </c>
      <c r="N78" s="163" t="str">
        <f t="shared" si="32"/>
        <v>-</v>
      </c>
      <c r="O78" s="163">
        <f t="shared" si="33"/>
        <v>0</v>
      </c>
      <c r="P78" s="146">
        <f>IF(ISNUMBER(VLOOKUP(B78,[1]Closures!B:BI,6,FALSE)),TEXT(VLOOKUP(B78,[1]Closures!B:BI,6,FALSE),"ddmmm"),IF(C78&lt;=0,0,IF(I78&lt;=0,0,IF(AND(C78&gt;0,O78&lt;=0),"&gt;52",IF(I78/O78&gt;52,"&gt;52", MAX(0,I78/O78-2))))))</f>
        <v>0</v>
      </c>
    </row>
    <row r="79" spans="1:16" s="130" customFormat="1" ht="10.7" customHeight="1" x14ac:dyDescent="0.2">
      <c r="A79" s="122"/>
      <c r="B79" s="161" t="s">
        <v>136</v>
      </c>
      <c r="C79" s="162"/>
      <c r="D79" s="163">
        <f>F79-VLOOKUP(B79,[1]Quota!$B$32:$BJ$43,6,FALSE)</f>
        <v>0</v>
      </c>
      <c r="E79" s="163"/>
      <c r="F79" s="164">
        <f>VLOOKUP(B79,[1]Quota!$B$81:$BJ$92,6,FALSE)</f>
        <v>0</v>
      </c>
      <c r="G79" s="163"/>
      <c r="H79" s="165" t="str">
        <f t="shared" si="29"/>
        <v>n/a</v>
      </c>
      <c r="I79" s="164">
        <f t="shared" si="31"/>
        <v>0</v>
      </c>
      <c r="J79" s="163"/>
      <c r="K79" s="163"/>
      <c r="L79" s="163"/>
      <c r="M79" s="163"/>
      <c r="N79" s="163"/>
      <c r="O79" s="163"/>
      <c r="P79" s="146"/>
    </row>
    <row r="80" spans="1:16" s="130" customFormat="1" ht="10.7" customHeight="1" x14ac:dyDescent="0.2">
      <c r="A80" s="122"/>
      <c r="B80" s="168" t="s">
        <v>137</v>
      </c>
      <c r="C80" s="162">
        <f>SUM(C75:C78)</f>
        <v>5.9</v>
      </c>
      <c r="D80" s="163">
        <f>SUM(D75:D79)</f>
        <v>0</v>
      </c>
      <c r="E80" s="163">
        <f t="shared" si="30"/>
        <v>0</v>
      </c>
      <c r="F80" s="217">
        <f t="shared" ref="F80" si="34">SUM(F75:F78)</f>
        <v>5.9</v>
      </c>
      <c r="G80" s="163">
        <f>SUM(G75:G78)</f>
        <v>0</v>
      </c>
      <c r="H80" s="165">
        <f t="shared" si="29"/>
        <v>0</v>
      </c>
      <c r="I80" s="217">
        <f t="shared" ref="I80:L80" si="35">SUM(I75:I78)</f>
        <v>5.9</v>
      </c>
      <c r="J80" s="163">
        <f t="shared" si="35"/>
        <v>0</v>
      </c>
      <c r="K80" s="163">
        <f t="shared" si="35"/>
        <v>0</v>
      </c>
      <c r="L80" s="163">
        <f t="shared" si="35"/>
        <v>0</v>
      </c>
      <c r="M80" s="163">
        <f>SUM(M75:M78)</f>
        <v>0</v>
      </c>
      <c r="N80" s="163">
        <f t="shared" si="32"/>
        <v>0</v>
      </c>
      <c r="O80" s="163">
        <f t="shared" si="33"/>
        <v>0</v>
      </c>
      <c r="P80" s="146" t="str">
        <f>IF(ISNUMBER(VLOOKUP(B80,[1]Closures!B:BI,6,FALSE)),TEXT(VLOOKUP(B80,[1]Closures!B:BI,6,FALSE),"ddmmm"),IF(C80&lt;=0,0,IF(I80&lt;=0,0,IF(AND(C80&gt;0,O80&lt;=0),"&gt;52",IF(I80/O80&gt;52,"&gt;52", MAX(0,I80/O80-2))))))</f>
        <v>&gt;52</v>
      </c>
    </row>
    <row r="81" spans="1:16" s="130" customFormat="1" ht="10.7" customHeight="1" x14ac:dyDescent="0.2">
      <c r="A81" s="122"/>
      <c r="B81" s="168"/>
      <c r="C81" s="162"/>
      <c r="D81" s="163"/>
      <c r="E81" s="163"/>
      <c r="F81" s="164"/>
      <c r="G81" s="163"/>
      <c r="H81" s="165"/>
      <c r="I81" s="164"/>
      <c r="J81" s="163"/>
      <c r="K81" s="163"/>
      <c r="L81" s="163"/>
      <c r="M81" s="163"/>
      <c r="N81" s="163" t="str">
        <f t="shared" si="32"/>
        <v>-</v>
      </c>
      <c r="O81" s="163"/>
      <c r="P81" s="146"/>
    </row>
    <row r="82" spans="1:16" s="130" customFormat="1" ht="10.7" customHeight="1" x14ac:dyDescent="0.2">
      <c r="A82" s="122"/>
      <c r="B82" s="174" t="s">
        <v>138</v>
      </c>
      <c r="C82" s="162">
        <f>'[2]IV&amp;VI Combined'!$E$36</f>
        <v>8.8000000000000007</v>
      </c>
      <c r="D82" s="163">
        <f>F82-VLOOKUP(B82,[1]Quota!$B$103:$BJ$143,6,FALSE)</f>
        <v>0</v>
      </c>
      <c r="E82" s="163">
        <f t="shared" si="30"/>
        <v>0</v>
      </c>
      <c r="F82" s="164">
        <f>VLOOKUP(B82,[1]Quota!$B$81:$BJ$92,6,FALSE)</f>
        <v>8.8000000000000007</v>
      </c>
      <c r="G82" s="163">
        <f>'[1]Cumulative '!G228</f>
        <v>2.2499999999999999E-2</v>
      </c>
      <c r="H82" s="165">
        <f t="shared" si="29"/>
        <v>0.25568181818181818</v>
      </c>
      <c r="I82" s="164">
        <f t="shared" ref="I82:I89" si="36">F82-G82</f>
        <v>8.7774999999999999</v>
      </c>
      <c r="J82" s="163">
        <f>VLOOKUP(B82,[1]weeks!$B$156:$BO$193,6,FALSE)-VLOOKUP(B82,[1]weeks!$B$206:$BO$243,6,FALSE)</f>
        <v>0</v>
      </c>
      <c r="K82" s="163">
        <f>VLOOKUP(B82,[1]weeks!$B$107:$BO$144,6,FALSE)-VLOOKUP(B82,[1]weeks!$B$156:$BO$193,6,FALSE)</f>
        <v>0</v>
      </c>
      <c r="L82" s="163">
        <f>VLOOKUP(B82,[1]weeks!$B$55:$BO$94,6,FALSE)-VLOOKUP(B82,[1]weeks!$B$107:$BO$144,6,FALSE)</f>
        <v>0</v>
      </c>
      <c r="M82" s="163">
        <f>VLOOKUP(B82,[1]weeks!$B$5:$BO$44,6,FALSE)-VLOOKUP(B82,[1]weeks!$B$55:$BO$94,6,FALSE)</f>
        <v>0</v>
      </c>
      <c r="N82" s="163">
        <f t="shared" si="32"/>
        <v>0</v>
      </c>
      <c r="O82" s="163">
        <f t="shared" si="33"/>
        <v>0</v>
      </c>
      <c r="P82" s="146" t="str">
        <f>IF(ISNUMBER(VLOOKUP(B82,[1]Closures!B:BI,6,FALSE)),TEXT(VLOOKUP(B82,[1]Closures!B:BI,6,FALSE),"ddmmm"),IF(C82&lt;=0,0,IF(I82&lt;=0,0,IF(AND(C82&gt;0,O82&lt;=0),"&gt;52",IF(I82/O82&gt;52,"&gt;52", MAX(0,I82/O82-2))))))</f>
        <v>&gt;52</v>
      </c>
    </row>
    <row r="83" spans="1:16" s="130" customFormat="1" ht="10.7" customHeight="1" x14ac:dyDescent="0.2">
      <c r="A83" s="122"/>
      <c r="B83" s="174" t="s">
        <v>139</v>
      </c>
      <c r="C83" s="162">
        <f>'[2]IV&amp;VI Combined'!$E$37</f>
        <v>0</v>
      </c>
      <c r="D83" s="163">
        <f>F83-VLOOKUP(B83,[1]Quota!$B$103:$BJ$143,6,FALSE)</f>
        <v>0</v>
      </c>
      <c r="E83" s="163">
        <f t="shared" si="30"/>
        <v>0</v>
      </c>
      <c r="F83" s="164">
        <f>VLOOKUP(B83,[1]Quota!$B$81:$BJ$92,6,FALSE)</f>
        <v>0</v>
      </c>
      <c r="G83" s="163">
        <f>'[1]Cumulative '!G229</f>
        <v>0</v>
      </c>
      <c r="H83" s="165" t="str">
        <f t="shared" si="29"/>
        <v>n/a</v>
      </c>
      <c r="I83" s="164">
        <f t="shared" si="36"/>
        <v>0</v>
      </c>
      <c r="J83" s="163">
        <f>VLOOKUP(B83,[1]weeks!$B$156:$BO$193,6,FALSE)-VLOOKUP(B83,[1]weeks!$B$206:$BO$243,6,FALSE)</f>
        <v>0</v>
      </c>
      <c r="K83" s="163">
        <f>VLOOKUP(B83,[1]weeks!$B$107:$BO$144,6,FALSE)-VLOOKUP(B83,[1]weeks!$B$156:$BO$193,6,FALSE)</f>
        <v>0</v>
      </c>
      <c r="L83" s="163">
        <f>VLOOKUP(B83,[1]weeks!$B$55:$BO$94,6,FALSE)-VLOOKUP(B83,[1]weeks!$B$107:$BO$144,6,FALSE)</f>
        <v>0</v>
      </c>
      <c r="M83" s="163">
        <f>VLOOKUP(B83,[1]weeks!$B$5:$BO$44,6,FALSE)-VLOOKUP(B83,[1]weeks!$B$55:$BO$94,6,FALSE)</f>
        <v>0</v>
      </c>
      <c r="N83" s="163" t="str">
        <f t="shared" si="32"/>
        <v>-</v>
      </c>
      <c r="O83" s="163">
        <f>SUM(J83:M83)/4</f>
        <v>0</v>
      </c>
      <c r="P83" s="146">
        <f>IF(ISNUMBER(VLOOKUP(B83,[1]Closures!B:BI,6,FALSE)),TEXT(VLOOKUP(B83,[1]Closures!B:BI,6,FALSE),"ddmmm"),IF(C83&lt;=0,0,IF(I83&lt;=0,0,IF(AND(C83&gt;0,O83&lt;=0),"&gt;52",IF(I83/O83&gt;52,"&gt;52", MAX(0,I83/O83-2))))))</f>
        <v>0</v>
      </c>
    </row>
    <row r="84" spans="1:16" s="130" customFormat="1" ht="10.7" customHeight="1" x14ac:dyDescent="0.2">
      <c r="A84" s="188"/>
      <c r="B84" s="174" t="s">
        <v>140</v>
      </c>
      <c r="C84" s="162">
        <f>'[2]IV&amp;VI Combined'!$E$38</f>
        <v>14.6</v>
      </c>
      <c r="D84" s="163">
        <f>F84-VLOOKUP(B84,[1]Quota!$B$103:$BJ$143,6,FALSE)</f>
        <v>0</v>
      </c>
      <c r="E84" s="163">
        <f t="shared" si="30"/>
        <v>0</v>
      </c>
      <c r="F84" s="164">
        <f>VLOOKUP(B84,[1]Quota!$B$81:$BJ$92,6,FALSE)</f>
        <v>14.6</v>
      </c>
      <c r="G84" s="163">
        <f>'[1]Cumulative '!G230</f>
        <v>1.3779999999999999</v>
      </c>
      <c r="H84" s="165">
        <f t="shared" si="29"/>
        <v>9.4383561643835598</v>
      </c>
      <c r="I84" s="164">
        <f t="shared" si="36"/>
        <v>13.222</v>
      </c>
      <c r="J84" s="163">
        <f>VLOOKUP(B84,[1]weeks!$B$156:$BO$193,6,FALSE)-VLOOKUP(B84,[1]weeks!$B$206:$BO$243,6,FALSE)</f>
        <v>0</v>
      </c>
      <c r="K84" s="163">
        <f>VLOOKUP(B84,[1]weeks!$B$107:$BO$144,6,FALSE)-VLOOKUP(B84,[1]weeks!$B$156:$BO$193,6,FALSE)</f>
        <v>0.38200000000000001</v>
      </c>
      <c r="L84" s="163">
        <f>VLOOKUP(B84,[1]weeks!$B$55:$BO$94,6,FALSE)-VLOOKUP(B84,[1]weeks!$B$107:$BO$144,6,FALSE)</f>
        <v>2.4000000000000021E-2</v>
      </c>
      <c r="M84" s="163">
        <f>VLOOKUP(B84,[1]weeks!$B$5:$BO$44,6,FALSE)-VLOOKUP(B84,[1]weeks!$B$55:$BO$94,6,FALSE)</f>
        <v>6.3999999999999835E-2</v>
      </c>
      <c r="N84" s="163">
        <f t="shared" si="32"/>
        <v>0.43835616438356051</v>
      </c>
      <c r="O84" s="163">
        <f t="shared" ref="O84:O85" si="37">SUM(J84:M84)/4</f>
        <v>0.11749999999999997</v>
      </c>
      <c r="P84" s="146" t="str">
        <f>IF(ISNUMBER(VLOOKUP(B84,[1]Closures!B:BI,6,FALSE)),TEXT(VLOOKUP(B84,[1]Closures!B:BI,6,FALSE),"ddmmm"),IF(C84&lt;=0,0,IF(I84&lt;=0,0,IF(AND(C84&gt;0,O84&lt;=0),"&gt;52",IF(I84/O84&gt;52,"&gt;52", MAX(0,I84/O84-2))))))</f>
        <v>&gt;52</v>
      </c>
    </row>
    <row r="85" spans="1:16" s="130" customFormat="1" ht="10.7" customHeight="1" x14ac:dyDescent="0.2">
      <c r="A85" s="122"/>
      <c r="B85" s="174" t="s">
        <v>141</v>
      </c>
      <c r="C85" s="162">
        <f>'[2]IV&amp;VI Combined'!$E$39</f>
        <v>0</v>
      </c>
      <c r="D85" s="163">
        <f>F85-VLOOKUP(B85,[1]Quota!$B$103:$BJ$143,6,FALSE)</f>
        <v>0</v>
      </c>
      <c r="E85" s="163">
        <f t="shared" si="30"/>
        <v>0</v>
      </c>
      <c r="F85" s="164">
        <f>VLOOKUP(B85,[1]Quota!$B$81:$BJ$92,6,FALSE)</f>
        <v>0</v>
      </c>
      <c r="G85" s="163">
        <f>'[1]Cumulative '!G231</f>
        <v>0</v>
      </c>
      <c r="H85" s="165" t="str">
        <f>IF(AND(F85&lt;=0),"n/a",IF(F85=0,0,100*G85/F85))</f>
        <v>n/a</v>
      </c>
      <c r="I85" s="164">
        <f t="shared" si="36"/>
        <v>0</v>
      </c>
      <c r="J85" s="163">
        <f>VLOOKUP(B85,[1]weeks!$B$156:$BO$193,6,FALSE)-VLOOKUP(B85,[1]weeks!$B$206:$BO$243,6,FALSE)</f>
        <v>0</v>
      </c>
      <c r="K85" s="163">
        <f>VLOOKUP(B85,[1]weeks!$B$107:$BO$144,6,FALSE)-VLOOKUP(B85,[1]weeks!$B$156:$BO$193,6,FALSE)</f>
        <v>0</v>
      </c>
      <c r="L85" s="163">
        <f>VLOOKUP(B85,[1]weeks!$B$55:$BO$94,6,FALSE)-VLOOKUP(B85,[1]weeks!$B$107:$BO$144,6,FALSE)</f>
        <v>0</v>
      </c>
      <c r="M85" s="163">
        <f>VLOOKUP(B85,[1]weeks!$B$5:$BO$44,6,FALSE)-VLOOKUP(B85,[1]weeks!$B$55:$BO$94,6,FALSE)</f>
        <v>0</v>
      </c>
      <c r="N85" s="163" t="str">
        <f t="shared" si="32"/>
        <v>-</v>
      </c>
      <c r="O85" s="163">
        <f t="shared" si="37"/>
        <v>0</v>
      </c>
      <c r="P85" s="146">
        <f>IF(ISNUMBER(VLOOKUP(B85,[1]Closures!B:BI,6,FALSE)),TEXT(VLOOKUP(B85,[1]Closures!B:BI,6,FALSE),"ddmmm"),IF(C85&lt;=0,0,IF(I85&lt;=0,0,IF(AND(C85&gt;0,O85&lt;=0),"&gt;52",IF(I85/O85&gt;52,"&gt;52", MAX(0,I85/O85-2))))))</f>
        <v>0</v>
      </c>
    </row>
    <row r="86" spans="1:16" s="130" customFormat="1" ht="10.7" customHeight="1" x14ac:dyDescent="0.2">
      <c r="A86" s="122"/>
      <c r="B86" s="174" t="s">
        <v>142</v>
      </c>
      <c r="C86" s="162"/>
      <c r="D86" s="163">
        <f>F86-VLOOKUP(B86,[1]Quota!$B$32:$BJ$43,6,FALSE)</f>
        <v>0</v>
      </c>
      <c r="E86" s="163"/>
      <c r="F86" s="164">
        <f>VLOOKUP(B86,[1]Quota!$B$81:$BJ$92,6,FALSE)</f>
        <v>0</v>
      </c>
      <c r="G86" s="163"/>
      <c r="H86" s="165" t="str">
        <f>IF(AND(F86&lt;=0),"n/a",IF(F86=0,0,100*G86/F86))</f>
        <v>n/a</v>
      </c>
      <c r="I86" s="164">
        <f>F86-G86</f>
        <v>0</v>
      </c>
      <c r="J86" s="163"/>
      <c r="K86" s="163"/>
      <c r="L86" s="163"/>
      <c r="M86" s="163"/>
      <c r="N86" s="163"/>
      <c r="O86" s="163"/>
      <c r="P86" s="146"/>
    </row>
    <row r="87" spans="1:16" s="130" customFormat="1" ht="10.7" customHeight="1" x14ac:dyDescent="0.2">
      <c r="A87" s="122"/>
      <c r="B87" s="168" t="s">
        <v>143</v>
      </c>
      <c r="C87" s="162">
        <f>SUM(C82:C86)</f>
        <v>23.4</v>
      </c>
      <c r="D87" s="163">
        <f>SUM(D82:D86)</f>
        <v>0</v>
      </c>
      <c r="E87" s="163">
        <f t="shared" si="30"/>
        <v>0</v>
      </c>
      <c r="F87" s="164">
        <f>SUM(F82:F86)</f>
        <v>23.4</v>
      </c>
      <c r="G87" s="163">
        <f>SUM(G82:G86)</f>
        <v>1.4004999999999999</v>
      </c>
      <c r="H87" s="165">
        <f t="shared" si="29"/>
        <v>5.9850427350427351</v>
      </c>
      <c r="I87" s="164">
        <f t="shared" si="36"/>
        <v>21.999499999999998</v>
      </c>
      <c r="J87" s="163">
        <f t="shared" ref="J87:L87" si="38">SUM(J82:J85)</f>
        <v>0</v>
      </c>
      <c r="K87" s="163">
        <f t="shared" si="38"/>
        <v>0.38200000000000001</v>
      </c>
      <c r="L87" s="163">
        <f t="shared" si="38"/>
        <v>2.4000000000000021E-2</v>
      </c>
      <c r="M87" s="163">
        <f>SUM(M82:M85)</f>
        <v>6.3999999999999835E-2</v>
      </c>
      <c r="N87" s="163">
        <f t="shared" si="32"/>
        <v>0.27350427350427281</v>
      </c>
      <c r="O87" s="163">
        <f>SUM(J87:M87)/4</f>
        <v>0.11749999999999997</v>
      </c>
      <c r="P87" s="146" t="str">
        <f>IF(ISNUMBER(VLOOKUP(B87,[1]Closures!B:BI,6,FALSE)),TEXT(VLOOKUP(B87,[1]Closures!B:BI,6,FALSE),"ddmmm"),IF(C87&lt;=0,0,IF(I87&lt;=0,0,IF(AND(C87&gt;0,O87&lt;=0),"&gt;52",IF(I87/O87&gt;52,"&gt;52", MAX(0,I87/O87-2))))))</f>
        <v>&gt;52</v>
      </c>
    </row>
    <row r="88" spans="1:16" s="130" customFormat="1" ht="10.7" customHeight="1" x14ac:dyDescent="0.2">
      <c r="A88" s="122"/>
      <c r="B88" s="168"/>
      <c r="C88" s="162"/>
      <c r="D88" s="163"/>
      <c r="E88" s="163"/>
      <c r="F88" s="164"/>
      <c r="G88" s="163"/>
      <c r="H88" s="165"/>
      <c r="I88" s="164"/>
      <c r="J88" s="163"/>
      <c r="K88" s="163"/>
      <c r="L88" s="163"/>
      <c r="M88" s="163"/>
      <c r="N88" s="163"/>
      <c r="O88" s="163"/>
      <c r="P88" s="146"/>
    </row>
    <row r="89" spans="1:16" s="130" customFormat="1" ht="10.7" customHeight="1" x14ac:dyDescent="0.2">
      <c r="A89" s="122"/>
      <c r="B89" s="175" t="s">
        <v>112</v>
      </c>
      <c r="C89" s="176">
        <f>C87+C80</f>
        <v>29.299999999999997</v>
      </c>
      <c r="D89" s="180">
        <f>D87+D80</f>
        <v>0</v>
      </c>
      <c r="E89" s="180">
        <f t="shared" si="30"/>
        <v>0</v>
      </c>
      <c r="F89" s="189">
        <f>F87+F80</f>
        <v>29.299999999999997</v>
      </c>
      <c r="G89" s="180">
        <f>G87+G80</f>
        <v>1.4004999999999999</v>
      </c>
      <c r="H89" s="179">
        <f t="shared" si="29"/>
        <v>4.7798634812286691</v>
      </c>
      <c r="I89" s="218">
        <f t="shared" si="36"/>
        <v>27.899499999999996</v>
      </c>
      <c r="J89" s="180">
        <f t="shared" ref="J89:L89" si="39">J80+J87</f>
        <v>0</v>
      </c>
      <c r="K89" s="180">
        <f t="shared" si="39"/>
        <v>0.38200000000000001</v>
      </c>
      <c r="L89" s="180">
        <f t="shared" si="39"/>
        <v>2.4000000000000021E-2</v>
      </c>
      <c r="M89" s="180">
        <f>M80+M87</f>
        <v>6.3999999999999835E-2</v>
      </c>
      <c r="N89" s="180">
        <f t="shared" si="32"/>
        <v>0.21843003412969228</v>
      </c>
      <c r="O89" s="180">
        <f>SUM(J89:M89)/4</f>
        <v>0.11749999999999997</v>
      </c>
      <c r="P89" s="153" t="str">
        <f>IF(ISNUMBER(VLOOKUP(B89,[1]Closures!B:BI,6,FALSE)),TEXT(VLOOKUP(B89,[1]Closures!B:BI,6,FALSE),"ddmmm"),IF(C89&lt;=0,0,IF(I89&lt;=0,0,IF(AND(C89&gt;0,O89&lt;=0),"&gt;52",IF(I89/O89&gt;52,"&gt;52", MAX(0,I89/O89-2))))))</f>
        <v>&gt;52</v>
      </c>
    </row>
    <row r="90" spans="1:16" s="130" customFormat="1" ht="10.7" customHeight="1" x14ac:dyDescent="0.2">
      <c r="A90" s="122"/>
      <c r="B90" s="212"/>
      <c r="C90" s="173"/>
      <c r="D90" s="163"/>
      <c r="E90" s="163"/>
      <c r="F90" s="164"/>
      <c r="G90" s="163"/>
      <c r="H90" s="165"/>
      <c r="I90" s="164"/>
      <c r="J90" s="163"/>
      <c r="K90" s="163"/>
      <c r="L90" s="163"/>
      <c r="M90" s="163"/>
      <c r="N90" s="163"/>
      <c r="O90" s="163"/>
      <c r="P90" s="182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tr">
        <f>C5</f>
        <v>Initial Quota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f>[1]weeks!$B$154</f>
        <v>43166</v>
      </c>
      <c r="K94" s="151">
        <f>[1]weeks!$B$105</f>
        <v>43173</v>
      </c>
      <c r="L94" s="151">
        <f>[1]weeks!$B$55</f>
        <v>43180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6"/>
      <c r="C96" s="193" t="s">
        <v>170</v>
      </c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4"/>
      <c r="P96" s="145"/>
    </row>
    <row r="97" spans="1:16" s="130" customFormat="1" ht="10.7" customHeight="1" x14ac:dyDescent="0.2">
      <c r="A97" s="122"/>
      <c r="B97" s="161" t="s">
        <v>132</v>
      </c>
      <c r="C97" s="162">
        <f>'[2]IV&amp;VI Combined'!$F$29</f>
        <v>25.1</v>
      </c>
      <c r="D97" s="163">
        <f>F97-VLOOKUP(B97,[1]Quota!$B$103:$BJ$143,7,FALSE)</f>
        <v>0</v>
      </c>
      <c r="E97" s="163">
        <f>F97-C97</f>
        <v>0</v>
      </c>
      <c r="F97" s="164">
        <f>VLOOKUP(B97,[1]Quota!$B$81:$BJ$92,7,FALSE)</f>
        <v>25.1</v>
      </c>
      <c r="G97" s="163">
        <f>'[1]Cumulative '!H221</f>
        <v>0.45140000000000002</v>
      </c>
      <c r="H97" s="165">
        <f t="shared" ref="H97:H111" si="40">IF(AND(F97&lt;=0),"n/a",IF(F97=0,0,100*G97/F97))</f>
        <v>1.798406374501992</v>
      </c>
      <c r="I97" s="164">
        <f>F97-G97</f>
        <v>24.648600000000002</v>
      </c>
      <c r="J97" s="163">
        <f>VLOOKUP(B97,[1]weeks!$B$156:$BO$193,7,FALSE)-VLOOKUP(B97,[1]weeks!$B$206:$BO$243,7,FALSE)</f>
        <v>1.0000000000000009E-3</v>
      </c>
      <c r="K97" s="163">
        <f>VLOOKUP(B97,[1]weeks!$B$107:$BO$144,7,FALSE)-VLOOKUP(B97,[1]weeks!$B$156:$BO$193,7,FALSE)</f>
        <v>9.9999999999999534E-3</v>
      </c>
      <c r="L97" s="163">
        <f>VLOOKUP(B97,[1]weeks!$B$55:$BO$94,7,FALSE)-VLOOKUP(B97,[1]weeks!$B$107:$BO$144,7,FALSE)</f>
        <v>0.10800000000000004</v>
      </c>
      <c r="M97" s="163">
        <f>VLOOKUP(B97,[1]weeks!$B$5:$BO$44,7,FALSE)-VLOOKUP(B97,[1]weeks!$B$55:$BO$94,7,FALSE)</f>
        <v>9.5000000000000084E-3</v>
      </c>
      <c r="N97" s="163">
        <f>IF(F97&gt;0,M97/F97*100,"-")</f>
        <v>3.7848605577689272E-2</v>
      </c>
      <c r="O97" s="163">
        <f>SUM(J97:M97)/4</f>
        <v>3.2125000000000001E-2</v>
      </c>
      <c r="P97" s="146" t="str">
        <f>IF(ISNUMBER(VLOOKUP(B97,[1]Closures!B:BI,7,FALSE)),TEXT(VLOOKUP(B97,[1]Closures!B:BI,7,FALSE),"ddmmm"),IF(C97&lt;=0,0,IF(I97&lt;=0,0,IF(AND(C97&gt;0,O97&lt;=0),"&gt;52",IF(I97/O97&gt;52,"&gt;52", MAX(0,I97/O97-2))))))</f>
        <v>&gt;52</v>
      </c>
    </row>
    <row r="98" spans="1:16" s="130" customFormat="1" ht="10.7" customHeight="1" x14ac:dyDescent="0.2">
      <c r="A98" s="122"/>
      <c r="B98" s="161" t="s">
        <v>133</v>
      </c>
      <c r="C98" s="162">
        <f>'[2]IV&amp;VI Combined'!$F$30</f>
        <v>0.4</v>
      </c>
      <c r="D98" s="163">
        <f>F98-VLOOKUP(B98,[1]Quota!$B$103:$BJ$143,7,FALSE)</f>
        <v>0</v>
      </c>
      <c r="E98" s="163">
        <f t="shared" ref="E98:E111" si="41">F98-C98</f>
        <v>0</v>
      </c>
      <c r="F98" s="164">
        <f>VLOOKUP(B98,[1]Quota!$B$81:$BJ$92,7,FALSE)</f>
        <v>0.4</v>
      </c>
      <c r="G98" s="163">
        <f>'[1]Cumulative '!H222</f>
        <v>0</v>
      </c>
      <c r="H98" s="165">
        <f t="shared" si="40"/>
        <v>0</v>
      </c>
      <c r="I98" s="164">
        <f t="shared" ref="I98:I101" si="42">F98-G98</f>
        <v>0.4</v>
      </c>
      <c r="J98" s="163">
        <f>VLOOKUP(B98,[1]weeks!$B$156:$BO$193,7,FALSE)-VLOOKUP(B98,[1]weeks!$B$206:$BO$243,7,FALSE)</f>
        <v>0</v>
      </c>
      <c r="K98" s="163">
        <f>VLOOKUP(B98,[1]weeks!$B$107:$BO$144,7,FALSE)-VLOOKUP(B98,[1]weeks!$B$156:$BO$193,7,FALSE)</f>
        <v>0</v>
      </c>
      <c r="L98" s="163">
        <f>VLOOKUP(B98,[1]weeks!$B$55:$BO$94,7,FALSE)-VLOOKUP(B98,[1]weeks!$B$107:$BO$144,7,FALSE)</f>
        <v>0</v>
      </c>
      <c r="M98" s="163">
        <f>VLOOKUP(B98,[1]weeks!$B$5:$BO$44,7,FALSE)-VLOOKUP(B98,[1]weeks!$B$55:$BO$94,7,FALSE)</f>
        <v>0</v>
      </c>
      <c r="N98" s="163">
        <f t="shared" ref="N98:N111" si="43">IF(F98&gt;0,M98/F98*100,"-")</f>
        <v>0</v>
      </c>
      <c r="O98" s="163">
        <f t="shared" ref="O98:O104" si="44">SUM(J98:M98)/4</f>
        <v>0</v>
      </c>
      <c r="P98" s="146" t="str">
        <f>IF(ISNUMBER(VLOOKUP(B98,[1]Closures!B:BI,7,FALSE)),TEXT(VLOOKUP(B98,[1]Closures!B:BI,7,FALSE),"ddmmm"),IF(C98&lt;=0,0,IF(I98&lt;=0,0,IF(AND(C98&gt;0,O98&lt;=0),"&gt;52",IF(I98/O98&gt;52,"&gt;52", MAX(0,I98/O98-2))))))</f>
        <v>&gt;52</v>
      </c>
    </row>
    <row r="99" spans="1:16" s="130" customFormat="1" ht="10.7" customHeight="1" x14ac:dyDescent="0.2">
      <c r="A99" s="122"/>
      <c r="B99" s="161" t="s">
        <v>134</v>
      </c>
      <c r="C99" s="162">
        <f>'[2]IV&amp;VI Combined'!$F$31</f>
        <v>5.4</v>
      </c>
      <c r="D99" s="163">
        <f>F99-VLOOKUP(B99,[1]Quota!$B$103:$BJ$143,7,FALSE)</f>
        <v>0</v>
      </c>
      <c r="E99" s="163">
        <f t="shared" si="41"/>
        <v>0</v>
      </c>
      <c r="F99" s="164">
        <f>VLOOKUP(B99,[1]Quota!$B$81:$BJ$92,7,FALSE)</f>
        <v>5.4</v>
      </c>
      <c r="G99" s="163">
        <f>'[1]Cumulative '!H223</f>
        <v>0</v>
      </c>
      <c r="H99" s="165">
        <f t="shared" si="40"/>
        <v>0</v>
      </c>
      <c r="I99" s="164">
        <f t="shared" si="42"/>
        <v>5.4</v>
      </c>
      <c r="J99" s="163">
        <f>VLOOKUP(B99,[1]weeks!$B$156:$BO$193,7,FALSE)-VLOOKUP(B99,[1]weeks!$B$206:$BO$243,7,FALSE)</f>
        <v>0</v>
      </c>
      <c r="K99" s="163">
        <f>VLOOKUP(B99,[1]weeks!$B$107:$BO$144,7,FALSE)-VLOOKUP(B99,[1]weeks!$B$156:$BO$193,7,FALSE)</f>
        <v>0</v>
      </c>
      <c r="L99" s="163">
        <f>VLOOKUP(B99,[1]weeks!$B$55:$BO$94,7,FALSE)-VLOOKUP(B99,[1]weeks!$B$107:$BO$144,7,FALSE)</f>
        <v>0</v>
      </c>
      <c r="M99" s="163">
        <f>VLOOKUP(B99,[1]weeks!$B$5:$BO$44,7,FALSE)-VLOOKUP(B99,[1]weeks!$B$55:$BO$94,7,FALSE)</f>
        <v>0</v>
      </c>
      <c r="N99" s="163">
        <f t="shared" si="43"/>
        <v>0</v>
      </c>
      <c r="O99" s="163">
        <f t="shared" si="44"/>
        <v>0</v>
      </c>
      <c r="P99" s="146" t="str">
        <f>IF(ISNUMBER(VLOOKUP(B99,[1]Closures!B:BI,7,FALSE)),TEXT(VLOOKUP(B99,[1]Closures!B:BI,7,FALSE),"ddmmm"),IF(C99&lt;=0,0,IF(I99&lt;=0,0,IF(AND(C99&gt;0,O99&lt;=0),"&gt;52",IF(I99/O99&gt;52,"&gt;52", MAX(0,I99/O99-2))))))</f>
        <v>&gt;52</v>
      </c>
    </row>
    <row r="100" spans="1:16" s="130" customFormat="1" ht="10.7" customHeight="1" x14ac:dyDescent="0.2">
      <c r="A100" s="122"/>
      <c r="B100" s="161" t="s">
        <v>135</v>
      </c>
      <c r="C100" s="162">
        <f>'[2]IV&amp;VI Combined'!$F$32</f>
        <v>0</v>
      </c>
      <c r="D100" s="163">
        <f>F100-VLOOKUP(B100,[1]Quota!$B$103:$BJ$143,7,FALSE)</f>
        <v>0</v>
      </c>
      <c r="E100" s="163">
        <f t="shared" si="41"/>
        <v>0</v>
      </c>
      <c r="F100" s="164">
        <f>VLOOKUP(B100,[1]Quota!$B$81:$BJ$92,7,FALSE)</f>
        <v>0</v>
      </c>
      <c r="G100" s="163">
        <f>'[1]Cumulative '!H224</f>
        <v>0</v>
      </c>
      <c r="H100" s="165" t="str">
        <f t="shared" si="40"/>
        <v>n/a</v>
      </c>
      <c r="I100" s="164">
        <f t="shared" si="42"/>
        <v>0</v>
      </c>
      <c r="J100" s="163">
        <f>VLOOKUP(B100,[1]weeks!$B$156:$BO$193,7,FALSE)-VLOOKUP(B100,[1]weeks!$B$206:$BO$243,7,FALSE)</f>
        <v>0</v>
      </c>
      <c r="K100" s="163">
        <f>VLOOKUP(B100,[1]weeks!$B$107:$BO$144,7,FALSE)-VLOOKUP(B100,[1]weeks!$B$156:$BO$193,7,FALSE)</f>
        <v>0</v>
      </c>
      <c r="L100" s="163">
        <f>VLOOKUP(B100,[1]weeks!$B$55:$BO$94,7,FALSE)-VLOOKUP(B100,[1]weeks!$B$107:$BO$144,7,FALSE)</f>
        <v>0</v>
      </c>
      <c r="M100" s="163">
        <f>VLOOKUP(B100,[1]weeks!$B$5:$BO$44,7,FALSE)-VLOOKUP(B100,[1]weeks!$B$55:$BO$94,7,FALSE)</f>
        <v>0</v>
      </c>
      <c r="N100" s="163" t="str">
        <f t="shared" si="43"/>
        <v>-</v>
      </c>
      <c r="O100" s="163">
        <f t="shared" si="44"/>
        <v>0</v>
      </c>
      <c r="P100" s="146">
        <f>IF(ISNUMBER(VLOOKUP(B100,[1]Closures!B:BI,7,FALSE)),TEXT(VLOOKUP(B100,[1]Closures!B:BI,7,FALSE),"ddmmm"),IF(C100&lt;=0,0,IF(I100&lt;=0,0,IF(AND(C100&gt;0,O100&lt;=0),"&gt;52",IF(I100/O100&gt;52,"&gt;52", MAX(0,I100/O100-2))))))</f>
        <v>0</v>
      </c>
    </row>
    <row r="101" spans="1:16" s="130" customFormat="1" ht="10.7" customHeight="1" x14ac:dyDescent="0.2">
      <c r="A101" s="122"/>
      <c r="B101" s="161" t="s">
        <v>136</v>
      </c>
      <c r="C101" s="162"/>
      <c r="D101" s="163">
        <f>F101-VLOOKUP(B101,[1]Quota!$B$32:$BJ$43,7,FALSE)</f>
        <v>0</v>
      </c>
      <c r="E101" s="163"/>
      <c r="F101" s="164">
        <f>VLOOKUP(B101,[1]Quota!$B$81:$BJ$92,7,FALSE)</f>
        <v>0</v>
      </c>
      <c r="G101" s="163"/>
      <c r="H101" s="165" t="str">
        <f t="shared" si="40"/>
        <v>n/a</v>
      </c>
      <c r="I101" s="164">
        <f t="shared" si="42"/>
        <v>0</v>
      </c>
      <c r="J101" s="163"/>
      <c r="K101" s="163"/>
      <c r="L101" s="163"/>
      <c r="M101" s="163"/>
      <c r="N101" s="163"/>
      <c r="O101" s="163"/>
      <c r="P101" s="146"/>
    </row>
    <row r="102" spans="1:16" s="130" customFormat="1" ht="10.7" customHeight="1" x14ac:dyDescent="0.2">
      <c r="A102" s="122"/>
      <c r="B102" s="168" t="s">
        <v>137</v>
      </c>
      <c r="C102" s="162">
        <f>SUM(C97:C100)</f>
        <v>30.9</v>
      </c>
      <c r="D102" s="163">
        <f>SUM(D97:D100)</f>
        <v>0</v>
      </c>
      <c r="E102" s="163">
        <f t="shared" si="41"/>
        <v>0</v>
      </c>
      <c r="F102" s="217">
        <f t="shared" ref="F102" si="45">SUM(F97:F100)</f>
        <v>30.9</v>
      </c>
      <c r="G102" s="163">
        <f>SUM(G97:G100)</f>
        <v>0.45140000000000002</v>
      </c>
      <c r="H102" s="165">
        <f t="shared" si="40"/>
        <v>1.4608414239482201</v>
      </c>
      <c r="I102" s="217">
        <f t="shared" ref="I102:L102" si="46">SUM(I97:I100)</f>
        <v>30.448599999999999</v>
      </c>
      <c r="J102" s="163">
        <f t="shared" si="46"/>
        <v>1.0000000000000009E-3</v>
      </c>
      <c r="K102" s="163">
        <f t="shared" si="46"/>
        <v>9.9999999999999534E-3</v>
      </c>
      <c r="L102" s="163">
        <f t="shared" si="46"/>
        <v>0.10800000000000004</v>
      </c>
      <c r="M102" s="163">
        <f>SUM(M97:M100)</f>
        <v>9.5000000000000084E-3</v>
      </c>
      <c r="N102" s="163">
        <f t="shared" si="43"/>
        <v>3.0744336569579315E-2</v>
      </c>
      <c r="O102" s="163">
        <f t="shared" si="44"/>
        <v>3.2125000000000001E-2</v>
      </c>
      <c r="P102" s="146" t="str">
        <f>IF(ISNUMBER(VLOOKUP(B102,[1]Closures!B:BI,7,FALSE)),TEXT(VLOOKUP(B102,[1]Closures!B:BI,7,FALSE),"ddmmm"),IF(C102&lt;=0,0,IF(I102&lt;=0,0,IF(AND(C102&gt;0,O102&lt;=0),"&gt;52",IF(I102/O102&gt;52,"&gt;52", MAX(0,I102/O102-2))))))</f>
        <v>&gt;52</v>
      </c>
    </row>
    <row r="103" spans="1:16" s="130" customFormat="1" ht="10.7" customHeight="1" x14ac:dyDescent="0.2">
      <c r="A103" s="122"/>
      <c r="B103" s="168"/>
      <c r="C103" s="162"/>
      <c r="D103" s="163"/>
      <c r="E103" s="163"/>
      <c r="F103" s="164"/>
      <c r="G103" s="163"/>
      <c r="H103" s="165"/>
      <c r="I103" s="164"/>
      <c r="J103" s="163"/>
      <c r="K103" s="163"/>
      <c r="L103" s="163"/>
      <c r="M103" s="163"/>
      <c r="N103" s="163" t="str">
        <f t="shared" si="43"/>
        <v>-</v>
      </c>
      <c r="O103" s="163"/>
      <c r="P103" s="146"/>
    </row>
    <row r="104" spans="1:16" s="130" customFormat="1" ht="10.7" customHeight="1" x14ac:dyDescent="0.2">
      <c r="A104" s="122"/>
      <c r="B104" s="174" t="s">
        <v>138</v>
      </c>
      <c r="C104" s="162">
        <f>'[2]IV&amp;VI Combined'!$F$36</f>
        <v>183.5</v>
      </c>
      <c r="D104" s="163">
        <f>F104-VLOOKUP(B104,[1]Quota!$B$103:$BJ$143,7,FALSE)</f>
        <v>0</v>
      </c>
      <c r="E104" s="163">
        <f t="shared" si="41"/>
        <v>0.59999999999999432</v>
      </c>
      <c r="F104" s="164">
        <f>VLOOKUP(B104,[1]Quota!$B$81:$BJ$92,7,FALSE)</f>
        <v>184.1</v>
      </c>
      <c r="G104" s="163">
        <f>'[1]Cumulative '!H228</f>
        <v>7.5499000000000001</v>
      </c>
      <c r="H104" s="165">
        <f t="shared" si="40"/>
        <v>4.10097772949484</v>
      </c>
      <c r="I104" s="164">
        <f t="shared" ref="I104:I111" si="47">F104-G104</f>
        <v>176.55009999999999</v>
      </c>
      <c r="J104" s="163">
        <f>VLOOKUP(B104,[1]weeks!$B$156:$BO$193,7,FALSE)-VLOOKUP(B104,[1]weeks!$B$206:$BO$243,7,FALSE)</f>
        <v>0.25599999999999934</v>
      </c>
      <c r="K104" s="163">
        <f>VLOOKUP(B104,[1]weeks!$B$107:$BO$144,7,FALSE)-VLOOKUP(B104,[1]weeks!$B$156:$BO$193,7,FALSE)</f>
        <v>0.30740000000000034</v>
      </c>
      <c r="L104" s="163">
        <f>VLOOKUP(B104,[1]weeks!$B$55:$BO$94,7,FALSE)-VLOOKUP(B104,[1]weeks!$B$107:$BO$144,7,FALSE)</f>
        <v>0.55579999999999963</v>
      </c>
      <c r="M104" s="163">
        <f>VLOOKUP(B104,[1]weeks!$B$5:$BO$44,7,FALSE)-VLOOKUP(B104,[1]weeks!$B$55:$BO$94,7,FALSE)</f>
        <v>0.15760000000000041</v>
      </c>
      <c r="N104" s="163">
        <f t="shared" si="43"/>
        <v>8.5605649103748183E-2</v>
      </c>
      <c r="O104" s="163">
        <f t="shared" si="44"/>
        <v>0.31919999999999993</v>
      </c>
      <c r="P104" s="146" t="str">
        <f>IF(ISNUMBER(VLOOKUP(B104,[1]Closures!B:BI,7,FALSE)),TEXT(VLOOKUP(B104,[1]Closures!B:BI,7,FALSE),"ddmmm"),IF(C104&lt;=0,0,IF(I104&lt;=0,0,IF(AND(C104&gt;0,O104&lt;=0),"&gt;52",IF(I104/O104&gt;52,"&gt;52", MAX(0,I104/O104-2))))))</f>
        <v>&gt;52</v>
      </c>
    </row>
    <row r="105" spans="1:16" s="130" customFormat="1" ht="10.7" customHeight="1" x14ac:dyDescent="0.2">
      <c r="A105" s="122"/>
      <c r="B105" s="174" t="s">
        <v>139</v>
      </c>
      <c r="C105" s="162">
        <f>'[2]IV&amp;VI Combined'!$F$37</f>
        <v>0.6</v>
      </c>
      <c r="D105" s="163">
        <f>F105-VLOOKUP(B105,[1]Quota!$B$103:$BJ$143,7,FALSE)</f>
        <v>0</v>
      </c>
      <c r="E105" s="163">
        <f t="shared" si="41"/>
        <v>-0.6</v>
      </c>
      <c r="F105" s="164">
        <f>VLOOKUP(B105,[1]Quota!$B$81:$BJ$92,7,FALSE)</f>
        <v>0</v>
      </c>
      <c r="G105" s="163">
        <f>'[1]Cumulative '!H229</f>
        <v>0</v>
      </c>
      <c r="H105" s="165" t="str">
        <f t="shared" si="40"/>
        <v>n/a</v>
      </c>
      <c r="I105" s="164">
        <f t="shared" si="47"/>
        <v>0</v>
      </c>
      <c r="J105" s="163">
        <f>VLOOKUP(B105,[1]weeks!$B$156:$BO$193,7,FALSE)-VLOOKUP(B105,[1]weeks!$B$206:$BO$243,7,FALSE)</f>
        <v>0</v>
      </c>
      <c r="K105" s="163">
        <f>VLOOKUP(B105,[1]weeks!$B$107:$BO$144,7,FALSE)-VLOOKUP(B105,[1]weeks!$B$156:$BO$193,7,FALSE)</f>
        <v>0</v>
      </c>
      <c r="L105" s="163">
        <f>VLOOKUP(B105,[1]weeks!$B$55:$BO$94,7,FALSE)-VLOOKUP(B105,[1]weeks!$B$107:$BO$144,7,FALSE)</f>
        <v>0</v>
      </c>
      <c r="M105" s="163">
        <f>VLOOKUP(B105,[1]weeks!$B$5:$BO$44,7,FALSE)-VLOOKUP(B105,[1]weeks!$B$55:$BO$94,7,FALSE)</f>
        <v>0</v>
      </c>
      <c r="N105" s="163" t="str">
        <f t="shared" si="43"/>
        <v>-</v>
      </c>
      <c r="O105" s="163">
        <f>SUM(J105:M105)/4</f>
        <v>0</v>
      </c>
      <c r="P105" s="146">
        <f>IF(ISNUMBER(VLOOKUP(B105,[1]Closures!B:BI,7,FALSE)),TEXT(VLOOKUP(B105,[1]Closures!B:BI,7,FALSE),"ddmmm"),IF(C105&lt;=0,0,IF(I105&lt;=0,0,IF(AND(C105&gt;0,O105&lt;=0),"&gt;52",IF(I105/O105&gt;52,"&gt;52", MAX(0,I105/O105-2))))))</f>
        <v>0</v>
      </c>
    </row>
    <row r="106" spans="1:16" s="130" customFormat="1" ht="10.7" customHeight="1" x14ac:dyDescent="0.2">
      <c r="A106" s="122"/>
      <c r="B106" s="174" t="s">
        <v>140</v>
      </c>
      <c r="C106" s="162">
        <f>'[2]IV&amp;VI Combined'!$F$38</f>
        <v>4.8</v>
      </c>
      <c r="D106" s="163">
        <f>F106-VLOOKUP(B106,[1]Quota!$B$103:$BJ$143,7,FALSE)</f>
        <v>0</v>
      </c>
      <c r="E106" s="163">
        <f t="shared" si="41"/>
        <v>0</v>
      </c>
      <c r="F106" s="164">
        <f>VLOOKUP(B106,[1]Quota!$B$81:$BJ$92,7,FALSE)</f>
        <v>4.8</v>
      </c>
      <c r="G106" s="163">
        <f>'[1]Cumulative '!H230</f>
        <v>1.4999999999999999E-2</v>
      </c>
      <c r="H106" s="165">
        <f t="shared" si="40"/>
        <v>0.3125</v>
      </c>
      <c r="I106" s="164">
        <f t="shared" si="47"/>
        <v>4.7850000000000001</v>
      </c>
      <c r="J106" s="163">
        <f>VLOOKUP(B106,[1]weeks!$B$156:$BO$193,7,FALSE)-VLOOKUP(B106,[1]weeks!$B$206:$BO$243,7,FALSE)</f>
        <v>0</v>
      </c>
      <c r="K106" s="163">
        <f>VLOOKUP(B106,[1]weeks!$B$107:$BO$144,7,FALSE)-VLOOKUP(B106,[1]weeks!$B$156:$BO$193,7,FALSE)</f>
        <v>0</v>
      </c>
      <c r="L106" s="163">
        <f>VLOOKUP(B106,[1]weeks!$B$55:$BO$94,7,FALSE)-VLOOKUP(B106,[1]weeks!$B$107:$BO$144,7,FALSE)</f>
        <v>0</v>
      </c>
      <c r="M106" s="163">
        <f>VLOOKUP(B106,[1]weeks!$B$5:$BO$44,7,FALSE)-VLOOKUP(B106,[1]weeks!$B$55:$BO$94,7,FALSE)</f>
        <v>1.4999999999999999E-2</v>
      </c>
      <c r="N106" s="163">
        <f t="shared" si="43"/>
        <v>0.3125</v>
      </c>
      <c r="O106" s="163">
        <f t="shared" ref="O106:O107" si="48">SUM(J106:M106)/4</f>
        <v>3.7499999999999999E-3</v>
      </c>
      <c r="P106" s="146" t="str">
        <f>IF(ISNUMBER(VLOOKUP(B106,[1]Closures!B:BI,7,FALSE)),TEXT(VLOOKUP(B106,[1]Closures!B:BI,7,FALSE),"ddmmm"),IF(C106&lt;=0,0,IF(I106&lt;=0,0,IF(AND(C106&gt;0,O106&lt;=0),"&gt;52",IF(I106/O106&gt;52,"&gt;52", MAX(0,I106/O106-2))))))</f>
        <v>&gt;52</v>
      </c>
    </row>
    <row r="107" spans="1:16" s="130" customFormat="1" ht="10.7" customHeight="1" x14ac:dyDescent="0.2">
      <c r="A107" s="122"/>
      <c r="B107" s="174" t="s">
        <v>141</v>
      </c>
      <c r="C107" s="162">
        <f>'[2]IV&amp;VI Combined'!$F$39</f>
        <v>0</v>
      </c>
      <c r="D107" s="163">
        <f>F107-VLOOKUP(B107,[1]Quota!$B$103:$BJ$143,7,FALSE)</f>
        <v>0</v>
      </c>
      <c r="E107" s="163">
        <f t="shared" si="41"/>
        <v>0</v>
      </c>
      <c r="F107" s="164">
        <f>VLOOKUP(B107,[1]Quota!$B$81:$BJ$92,7,FALSE)</f>
        <v>0</v>
      </c>
      <c r="G107" s="163">
        <f>'[1]Cumulative '!H231</f>
        <v>0</v>
      </c>
      <c r="H107" s="165" t="str">
        <f>IF(AND(F107&lt;=0),"n/a",IF(F107=0,0,100*G107/F107))</f>
        <v>n/a</v>
      </c>
      <c r="I107" s="164">
        <f t="shared" si="47"/>
        <v>0</v>
      </c>
      <c r="J107" s="163">
        <f>VLOOKUP(B107,[1]weeks!$B$156:$BO$193,7,FALSE)-VLOOKUP(B107,[1]weeks!$B$206:$BO$243,7,FALSE)</f>
        <v>0</v>
      </c>
      <c r="K107" s="163">
        <f>VLOOKUP(B107,[1]weeks!$B$107:$BO$144,7,FALSE)-VLOOKUP(B107,[1]weeks!$B$156:$BO$193,7,FALSE)</f>
        <v>0</v>
      </c>
      <c r="L107" s="163">
        <f>VLOOKUP(B107,[1]weeks!$B$55:$BO$94,7,FALSE)-VLOOKUP(B107,[1]weeks!$B$107:$BO$144,7,FALSE)</f>
        <v>0</v>
      </c>
      <c r="M107" s="163">
        <f>VLOOKUP(B107,[1]weeks!$B$5:$BO$44,7,FALSE)-VLOOKUP(B107,[1]weeks!$B$55:$BO$94,7,FALSE)</f>
        <v>0</v>
      </c>
      <c r="N107" s="163" t="str">
        <f t="shared" si="43"/>
        <v>-</v>
      </c>
      <c r="O107" s="163">
        <f t="shared" si="48"/>
        <v>0</v>
      </c>
      <c r="P107" s="146">
        <f>IF(ISNUMBER(VLOOKUP(B107,[1]Closures!B:BI,7,FALSE)),TEXT(VLOOKUP(B107,[1]Closures!B:BI,7,FALSE),"ddmmm"),IF(C107&lt;=0,0,IF(I107&lt;=0,0,IF(AND(C107&gt;0,O107&lt;=0),"&gt;52",IF(I107/O107&gt;52,"&gt;52", MAX(0,I107/O107-2))))))</f>
        <v>0</v>
      </c>
    </row>
    <row r="108" spans="1:16" s="130" customFormat="1" ht="10.7" customHeight="1" x14ac:dyDescent="0.2">
      <c r="A108" s="122"/>
      <c r="B108" s="174" t="s">
        <v>142</v>
      </c>
      <c r="C108" s="162"/>
      <c r="D108" s="163">
        <f>F108-VLOOKUP(B108,[1]Quota!$B$32:$BJ$43,7,FALSE)</f>
        <v>0</v>
      </c>
      <c r="E108" s="163"/>
      <c r="F108" s="164">
        <f>VLOOKUP(B108,[1]Quota!$B$81:$BJ$92,7,FALSE)</f>
        <v>0</v>
      </c>
      <c r="G108" s="163">
        <v>0</v>
      </c>
      <c r="H108" s="165" t="str">
        <f>IF(AND(F108&lt;=0),"n/a",IF(F108=0,0,100*G108/F108))</f>
        <v>n/a</v>
      </c>
      <c r="I108" s="164">
        <f>F108-G108</f>
        <v>0</v>
      </c>
      <c r="J108" s="163"/>
      <c r="K108" s="163"/>
      <c r="L108" s="163"/>
      <c r="M108" s="163"/>
      <c r="N108" s="163"/>
      <c r="O108" s="163"/>
      <c r="P108" s="146"/>
    </row>
    <row r="109" spans="1:16" s="130" customFormat="1" ht="10.7" customHeight="1" x14ac:dyDescent="0.2">
      <c r="A109" s="122"/>
      <c r="B109" s="168" t="s">
        <v>143</v>
      </c>
      <c r="C109" s="162">
        <f>SUM(C104:C108)</f>
        <v>188.9</v>
      </c>
      <c r="D109" s="163">
        <f>SUM(D104:D108)</f>
        <v>0</v>
      </c>
      <c r="E109" s="163">
        <f t="shared" si="41"/>
        <v>0</v>
      </c>
      <c r="F109" s="164">
        <f>SUM(F104:F107)</f>
        <v>188.9</v>
      </c>
      <c r="G109" s="163">
        <f>SUM(G104:G107)</f>
        <v>7.5648999999999997</v>
      </c>
      <c r="H109" s="165">
        <f t="shared" si="40"/>
        <v>4.0047114875595549</v>
      </c>
      <c r="I109" s="164">
        <f t="shared" si="47"/>
        <v>181.33510000000001</v>
      </c>
      <c r="J109" s="163">
        <f t="shared" ref="J109:L109" si="49">SUM(J104:J107)</f>
        <v>0.25599999999999934</v>
      </c>
      <c r="K109" s="163">
        <f t="shared" si="49"/>
        <v>0.30740000000000034</v>
      </c>
      <c r="L109" s="163">
        <f t="shared" si="49"/>
        <v>0.55579999999999963</v>
      </c>
      <c r="M109" s="163">
        <f>SUM(M104:M107)</f>
        <v>0.17260000000000042</v>
      </c>
      <c r="N109" s="163">
        <f t="shared" si="43"/>
        <v>9.1371095817893294E-2</v>
      </c>
      <c r="O109" s="163">
        <f>SUM(J109:M109)/4</f>
        <v>0.32294999999999996</v>
      </c>
      <c r="P109" s="146" t="str">
        <f>IF(ISNUMBER(VLOOKUP(B109,[1]Closures!B:BI,7,FALSE)),TEXT(VLOOKUP(B109,[1]Closures!B:BI,7,FALSE),"ddmmm"),IF(C109&lt;=0,0,IF(I109&lt;=0,0,IF(AND(C109&gt;0,O109&lt;=0),"&gt;52",IF(I109/O109&gt;52,"&gt;52", MAX(0,I109/O109-2))))))</f>
        <v>&gt;52</v>
      </c>
    </row>
    <row r="110" spans="1:16" s="130" customFormat="1" ht="10.7" customHeight="1" x14ac:dyDescent="0.2">
      <c r="A110" s="122"/>
      <c r="B110" s="168"/>
      <c r="C110" s="162"/>
      <c r="D110" s="163"/>
      <c r="E110" s="163"/>
      <c r="F110" s="164"/>
      <c r="G110" s="163"/>
      <c r="H110" s="165"/>
      <c r="I110" s="164"/>
      <c r="J110" s="163"/>
      <c r="K110" s="163"/>
      <c r="L110" s="163"/>
      <c r="M110" s="163"/>
      <c r="N110" s="163"/>
      <c r="O110" s="163"/>
      <c r="P110" s="146"/>
    </row>
    <row r="111" spans="1:16" s="130" customFormat="1" ht="10.7" customHeight="1" x14ac:dyDescent="0.2">
      <c r="A111" s="122"/>
      <c r="B111" s="175" t="s">
        <v>112</v>
      </c>
      <c r="C111" s="176">
        <f>C109+C102</f>
        <v>219.8</v>
      </c>
      <c r="D111" s="180">
        <f>D109+D102</f>
        <v>0</v>
      </c>
      <c r="E111" s="180">
        <f t="shared" si="41"/>
        <v>0</v>
      </c>
      <c r="F111" s="189">
        <f>F109+F102</f>
        <v>219.8</v>
      </c>
      <c r="G111" s="180">
        <f>G109+G102</f>
        <v>8.0162999999999993</v>
      </c>
      <c r="H111" s="179">
        <f t="shared" si="40"/>
        <v>3.647088262056414</v>
      </c>
      <c r="I111" s="218">
        <f t="shared" si="47"/>
        <v>211.78370000000001</v>
      </c>
      <c r="J111" s="180">
        <f t="shared" ref="J111:L111" si="50">J102+J109</f>
        <v>0.25699999999999934</v>
      </c>
      <c r="K111" s="180">
        <f t="shared" si="50"/>
        <v>0.31740000000000029</v>
      </c>
      <c r="L111" s="180">
        <f t="shared" si="50"/>
        <v>0.66379999999999972</v>
      </c>
      <c r="M111" s="180">
        <f>M102+M109</f>
        <v>0.18210000000000043</v>
      </c>
      <c r="N111" s="180">
        <f t="shared" si="43"/>
        <v>8.2848043676069336E-2</v>
      </c>
      <c r="O111" s="180">
        <f>SUM(J111:M111)/4</f>
        <v>0.35507499999999992</v>
      </c>
      <c r="P111" s="153" t="str">
        <f>IF(ISNUMBER(VLOOKUP(B111,[1]Closures!B:BI,7,FALSE)),TEXT(VLOOKUP(B111,[1]Closures!B:BI,7,FALSE),"ddmmm"),IF(C111&lt;=0,0,IF(I111&lt;=0,0,IF(AND(C111&gt;0,O111&lt;=0),"&gt;52",IF(I111/O111&gt;52,"&gt;52", MAX(0,I111/O111-2))))))</f>
        <v>&gt;52</v>
      </c>
    </row>
    <row r="112" spans="1:16" s="130" customFormat="1" ht="10.7" customHeight="1" x14ac:dyDescent="0.2">
      <c r="A112" s="122"/>
      <c r="B112" s="181"/>
      <c r="C112" s="181"/>
      <c r="D112" s="163"/>
      <c r="E112" s="163"/>
      <c r="F112" s="164"/>
      <c r="G112" s="163"/>
      <c r="H112" s="2"/>
      <c r="I112" s="164"/>
      <c r="J112" s="163"/>
      <c r="K112" s="163"/>
      <c r="L112" s="163"/>
      <c r="M112" s="163"/>
      <c r="N112" s="163"/>
      <c r="O112" s="163"/>
      <c r="P112" s="182"/>
    </row>
    <row r="113" spans="1:16" s="130" customFormat="1" ht="10.7" customHeight="1" x14ac:dyDescent="0.2">
      <c r="A113" s="122"/>
      <c r="B113" s="181"/>
      <c r="C113" s="181"/>
      <c r="D113" s="183"/>
      <c r="E113" s="183"/>
      <c r="F113" s="184"/>
      <c r="G113" s="183"/>
      <c r="H113" s="163"/>
      <c r="I113" s="184"/>
      <c r="J113" s="185"/>
      <c r="K113" s="185"/>
      <c r="L113" s="185"/>
      <c r="M113" s="185"/>
      <c r="N113" s="173"/>
      <c r="O113" s="183"/>
      <c r="P113" s="182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tr">
        <f>C5</f>
        <v>Initial Quota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f>[1]weeks!$B$154</f>
        <v>43166</v>
      </c>
      <c r="K116" s="151">
        <f>[1]weeks!$B$105</f>
        <v>43173</v>
      </c>
      <c r="L116" s="151">
        <f>[1]weeks!$B$55</f>
        <v>43180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6"/>
      <c r="C118" s="193" t="s">
        <v>171</v>
      </c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4"/>
      <c r="P118" s="145"/>
    </row>
    <row r="119" spans="1:16" s="130" customFormat="1" ht="10.7" customHeight="1" x14ac:dyDescent="0.2">
      <c r="A119" s="122"/>
      <c r="B119" s="161" t="s">
        <v>132</v>
      </c>
      <c r="C119" s="162">
        <f>'[2]IV&amp;VI Combined'!$G$29</f>
        <v>15.9</v>
      </c>
      <c r="D119" s="163">
        <f>F119-VLOOKUP(B119,[1]Quota!$B$103:$BJ$143,8,FALSE)</f>
        <v>0</v>
      </c>
      <c r="E119" s="163">
        <f>F119-C119</f>
        <v>0</v>
      </c>
      <c r="F119" s="164">
        <f>VLOOKUP(B119,[1]Quota!$B$81:$BJ$92,8,FALSE)</f>
        <v>15.9</v>
      </c>
      <c r="G119" s="163">
        <f>'[1]Cumulative '!I221-G123</f>
        <v>0.1336</v>
      </c>
      <c r="H119" s="165">
        <f t="shared" ref="H119:H124" si="51">IF(AND(F119&lt;=0),"n/a",IF(F119=0,0,100*G119/F119))</f>
        <v>0.84025157232704395</v>
      </c>
      <c r="I119" s="164">
        <f>F119-G119</f>
        <v>15.766400000000001</v>
      </c>
      <c r="J119" s="163">
        <f>VLOOKUP(B119,[1]weeks!$B$156:$BO$193,8,FALSE)-VLOOKUP(B119,[1]weeks!$B$206:$BO$243,8,FALSE)</f>
        <v>6.8900000000000003E-2</v>
      </c>
      <c r="K119" s="163">
        <f>VLOOKUP(B119,[1]weeks!$B$107:$BO$144,8,FALSE)-VLOOKUP(B119,[1]weeks!$B$156:$BO$193,8,FALSE)</f>
        <v>4.0999999999999925E-3</v>
      </c>
      <c r="L119" s="163">
        <f>VLOOKUP(B119,[1]weeks!$B$55:$BO$94,8,FALSE)-VLOOKUP(B119,[1]weeks!$B$107:$BO$144,8,FALSE)</f>
        <v>1.55E-2</v>
      </c>
      <c r="M119" s="163">
        <f>VLOOKUP(B119,[1]weeks!$B$5:$BO$44,8,FALSE)-VLOOKUP(B119,[1]weeks!$B$55:$BO$94,8,FALSE)</f>
        <v>3.0000000000000027E-3</v>
      </c>
      <c r="N119" s="163">
        <f>IF(F119&gt;0,M119/F119*100,"-")</f>
        <v>1.8867924528301903E-2</v>
      </c>
      <c r="O119" s="163">
        <f>SUM(J119:M119)/4</f>
        <v>2.2875E-2</v>
      </c>
      <c r="P119" s="146" t="str">
        <f>IF(ISNUMBER(VLOOKUP(B119,[1]Closures!B:BI,8,FALSE)),TEXT(VLOOKUP(B119,[1]Closures!B:BI,8,FALSE),"ddmmm"),IF(C119&lt;=0,0,IF(I119&lt;=0,0,IF(AND(C119&gt;0,O119&lt;=0),"&gt;52",IF(I119/O119&gt;52,"&gt;52", MAX(0,I119/O119-2))))))</f>
        <v>&gt;52</v>
      </c>
    </row>
    <row r="120" spans="1:16" s="130" customFormat="1" ht="10.7" customHeight="1" x14ac:dyDescent="0.2">
      <c r="A120" s="122"/>
      <c r="B120" s="161" t="s">
        <v>133</v>
      </c>
      <c r="C120" s="162">
        <f>'[2]IV&amp;VI Combined'!$G$30</f>
        <v>0.1</v>
      </c>
      <c r="D120" s="163">
        <f>F120-VLOOKUP(B120,[1]Quota!$B$103:$BJ$143,8,FALSE)</f>
        <v>0</v>
      </c>
      <c r="E120" s="163">
        <f t="shared" ref="E120:E133" si="52">F120-C120</f>
        <v>-0.1</v>
      </c>
      <c r="F120" s="164">
        <f>VLOOKUP(B120,[1]Quota!$B$81:$BJ$92,8,FALSE)</f>
        <v>0</v>
      </c>
      <c r="G120" s="163">
        <f>'[1]Cumulative '!I222</f>
        <v>0</v>
      </c>
      <c r="H120" s="165" t="str">
        <f t="shared" si="51"/>
        <v>n/a</v>
      </c>
      <c r="I120" s="164">
        <f t="shared" ref="I120:I123" si="53">F120-G120</f>
        <v>0</v>
      </c>
      <c r="J120" s="163">
        <f>VLOOKUP(B120,[1]weeks!$B$156:$BO$193,8,FALSE)-VLOOKUP(B120,[1]weeks!$B$206:$BO$243,8,FALSE)</f>
        <v>0</v>
      </c>
      <c r="K120" s="163">
        <f>VLOOKUP(B120,[1]weeks!$B$107:$BO$144,8,FALSE)-VLOOKUP(B120,[1]weeks!$B$156:$BO$193,8,FALSE)</f>
        <v>0</v>
      </c>
      <c r="L120" s="163">
        <f>VLOOKUP(B120,[1]weeks!$B$55:$BO$94,8,FALSE)-VLOOKUP(B120,[1]weeks!$B$107:$BO$144,8,FALSE)</f>
        <v>0</v>
      </c>
      <c r="M120" s="163">
        <f>VLOOKUP(B120,[1]weeks!$B$5:$BO$44,8,FALSE)-VLOOKUP(B120,[1]weeks!$B$55:$BO$94,8,FALSE)</f>
        <v>0</v>
      </c>
      <c r="N120" s="163" t="str">
        <f t="shared" ref="N120:N133" si="54">IF(F120&gt;0,M120/F120*100,"-")</f>
        <v>-</v>
      </c>
      <c r="O120" s="163">
        <f t="shared" ref="O120:O129" si="55">SUM(J120:M120)/4</f>
        <v>0</v>
      </c>
      <c r="P120" s="146">
        <f>IF(ISNUMBER(VLOOKUP(B120,[1]Closures!B:BI,8,FALSE)),TEXT(VLOOKUP(B120,[1]Closures!B:BI,8,FALSE),"ddmmm"),IF(C120&lt;=0,0,IF(I120&lt;=0,0,IF(AND(C120&gt;0,O120&lt;=0),"&gt;52",IF(I120/O120&gt;52,"&gt;52", MAX(0,I120/O120-2))))))</f>
        <v>0</v>
      </c>
    </row>
    <row r="121" spans="1:16" s="130" customFormat="1" ht="10.7" customHeight="1" x14ac:dyDescent="0.2">
      <c r="A121" s="122"/>
      <c r="B121" s="161" t="s">
        <v>134</v>
      </c>
      <c r="C121" s="162">
        <f>'[2]IV&amp;VI Combined'!$G$31</f>
        <v>-0.2</v>
      </c>
      <c r="D121" s="163">
        <f>F121-VLOOKUP(B121,[1]Quota!$B$103:$BJ$143,8,FALSE)</f>
        <v>0</v>
      </c>
      <c r="E121" s="163">
        <f t="shared" si="52"/>
        <v>0</v>
      </c>
      <c r="F121" s="164">
        <f>VLOOKUP(B121,[1]Quota!$B$81:$BJ$92,8,FALSE)</f>
        <v>-0.2</v>
      </c>
      <c r="G121" s="163">
        <f>'[1]Cumulative '!I223</f>
        <v>0</v>
      </c>
      <c r="H121" s="165" t="str">
        <f t="shared" si="51"/>
        <v>n/a</v>
      </c>
      <c r="I121" s="164">
        <f t="shared" si="53"/>
        <v>-0.2</v>
      </c>
      <c r="J121" s="163">
        <f>VLOOKUP(B121,[1]weeks!$B$156:$BO$193,8,FALSE)-VLOOKUP(B121,[1]weeks!$B$206:$BO$243,8,FALSE)</f>
        <v>0</v>
      </c>
      <c r="K121" s="163">
        <f>VLOOKUP(B121,[1]weeks!$B$107:$BO$144,8,FALSE)-VLOOKUP(B121,[1]weeks!$B$156:$BO$193,8,FALSE)</f>
        <v>0</v>
      </c>
      <c r="L121" s="163">
        <f>VLOOKUP(B121,[1]weeks!$B$55:$BO$94,8,FALSE)-VLOOKUP(B121,[1]weeks!$B$107:$BO$144,8,FALSE)</f>
        <v>0</v>
      </c>
      <c r="M121" s="163">
        <f>VLOOKUP(B121,[1]weeks!$B$5:$BO$44,8,FALSE)-VLOOKUP(B121,[1]weeks!$B$55:$BO$94,8,FALSE)</f>
        <v>0</v>
      </c>
      <c r="N121" s="163" t="str">
        <f t="shared" si="54"/>
        <v>-</v>
      </c>
      <c r="O121" s="163">
        <f t="shared" si="55"/>
        <v>0</v>
      </c>
      <c r="P121" s="146">
        <f>IF(ISNUMBER(VLOOKUP(B121,[1]Closures!B:BI,8,FALSE)),TEXT(VLOOKUP(B121,[1]Closures!B:BI,8,FALSE),"ddmmm"),IF(C121&lt;=0,0,IF(I121&lt;=0,0,IF(AND(C121&gt;0,O121&lt;=0),"&gt;52",IF(I121/O121&gt;52,"&gt;52", MAX(0,I121/O121-2))))))</f>
        <v>0</v>
      </c>
    </row>
    <row r="122" spans="1:16" s="130" customFormat="1" ht="10.7" customHeight="1" x14ac:dyDescent="0.2">
      <c r="A122" s="122"/>
      <c r="B122" s="161" t="s">
        <v>135</v>
      </c>
      <c r="C122" s="162">
        <f>'[2]IV&amp;VI Combined'!$G$32</f>
        <v>0</v>
      </c>
      <c r="D122" s="163">
        <f>F122-VLOOKUP(B122,[1]Quota!$B$103:$BJ$143,8,FALSE)</f>
        <v>0</v>
      </c>
      <c r="E122" s="163">
        <f t="shared" si="52"/>
        <v>0</v>
      </c>
      <c r="F122" s="164">
        <f>VLOOKUP(B122,[1]Quota!$B$81:$BJ$92,8,FALSE)</f>
        <v>0</v>
      </c>
      <c r="G122" s="163">
        <f>'[1]Cumulative '!I224</f>
        <v>0</v>
      </c>
      <c r="H122" s="165" t="str">
        <f t="shared" si="51"/>
        <v>n/a</v>
      </c>
      <c r="I122" s="164">
        <f t="shared" si="53"/>
        <v>0</v>
      </c>
      <c r="J122" s="163">
        <f>VLOOKUP(B122,[1]weeks!$B$156:$BO$193,8,FALSE)-VLOOKUP(B122,[1]weeks!$B$206:$BO$243,8,FALSE)</f>
        <v>0</v>
      </c>
      <c r="K122" s="163">
        <f>VLOOKUP(B122,[1]weeks!$B$107:$BO$144,8,FALSE)-VLOOKUP(B122,[1]weeks!$B$156:$BO$193,8,FALSE)</f>
        <v>0</v>
      </c>
      <c r="L122" s="163">
        <f>VLOOKUP(B122,[1]weeks!$B$55:$BO$94,8,FALSE)-VLOOKUP(B122,[1]weeks!$B$107:$BO$144,8,FALSE)</f>
        <v>0</v>
      </c>
      <c r="M122" s="163">
        <f>VLOOKUP(B122,[1]weeks!$B$5:$BO$44,8,FALSE)-VLOOKUP(B122,[1]weeks!$B$55:$BO$94,8,FALSE)</f>
        <v>0</v>
      </c>
      <c r="N122" s="163" t="str">
        <f t="shared" si="54"/>
        <v>-</v>
      </c>
      <c r="O122" s="163">
        <f t="shared" si="55"/>
        <v>0</v>
      </c>
      <c r="P122" s="146">
        <f>IF(ISNUMBER(VLOOKUP(B122,[1]Closures!B:BI,8,FALSE)),TEXT(VLOOKUP(B122,[1]Closures!B:BI,8,FALSE),"ddmmm"),IF(C122&lt;=0,0,IF(I122&lt;=0,0,IF(AND(C122&gt;0,O122&lt;=0),"&gt;52",IF(I122/O122&gt;52,"&gt;52", MAX(0,I122/O122-2))))))</f>
        <v>0</v>
      </c>
    </row>
    <row r="123" spans="1:16" s="130" customFormat="1" ht="10.7" customHeight="1" x14ac:dyDescent="0.2">
      <c r="A123" s="122"/>
      <c r="B123" s="161" t="s">
        <v>136</v>
      </c>
      <c r="C123" s="162"/>
      <c r="D123" s="163">
        <f>F123-VLOOKUP(B123,[1]Quota!$B$32:$BJ$43,8,FALSE)</f>
        <v>0</v>
      </c>
      <c r="E123" s="163"/>
      <c r="F123" s="164">
        <f>VLOOKUP(B123,[1]Quota!$B$81:$BJ$92,8,FALSE)</f>
        <v>0</v>
      </c>
      <c r="G123" s="163">
        <v>0</v>
      </c>
      <c r="H123" s="165" t="str">
        <f t="shared" si="51"/>
        <v>n/a</v>
      </c>
      <c r="I123" s="164">
        <f t="shared" si="53"/>
        <v>0</v>
      </c>
      <c r="J123" s="163"/>
      <c r="K123" s="163"/>
      <c r="L123" s="163"/>
      <c r="M123" s="163"/>
      <c r="N123" s="163"/>
      <c r="O123" s="163"/>
      <c r="P123" s="146"/>
    </row>
    <row r="124" spans="1:16" s="130" customFormat="1" ht="10.7" customHeight="1" x14ac:dyDescent="0.2">
      <c r="A124" s="122"/>
      <c r="B124" s="168" t="s">
        <v>137</v>
      </c>
      <c r="C124" s="162">
        <f>SUM(C119:C122)</f>
        <v>15.8</v>
      </c>
      <c r="D124" s="163">
        <f>SUM(D119:D123)</f>
        <v>0</v>
      </c>
      <c r="E124" s="163">
        <f t="shared" si="52"/>
        <v>-9.9999999999999645E-2</v>
      </c>
      <c r="F124" s="217">
        <f>SUM(F119:F123)</f>
        <v>15.700000000000001</v>
      </c>
      <c r="G124" s="163">
        <f>SUM(G119:G123)</f>
        <v>0.1336</v>
      </c>
      <c r="H124" s="165">
        <f t="shared" si="51"/>
        <v>0.85095541401273878</v>
      </c>
      <c r="I124" s="217">
        <f>F124-G124</f>
        <v>15.566400000000002</v>
      </c>
      <c r="J124" s="163">
        <f t="shared" ref="J124:L124" si="56">SUM(J119:J122)</f>
        <v>6.8900000000000003E-2</v>
      </c>
      <c r="K124" s="163">
        <f t="shared" si="56"/>
        <v>4.0999999999999925E-3</v>
      </c>
      <c r="L124" s="163">
        <f t="shared" si="56"/>
        <v>1.55E-2</v>
      </c>
      <c r="M124" s="163">
        <f>SUM(M119:M122)</f>
        <v>3.0000000000000027E-3</v>
      </c>
      <c r="N124" s="163">
        <f t="shared" si="54"/>
        <v>1.9108280254777087E-2</v>
      </c>
      <c r="O124" s="163">
        <f t="shared" si="55"/>
        <v>2.2875E-2</v>
      </c>
      <c r="P124" s="146" t="str">
        <f>IF(ISNUMBER(VLOOKUP(B124,[1]Closures!B:BI,8,FALSE)),TEXT(VLOOKUP(B124,[1]Closures!B:BI,8,FALSE),"ddmmm"),IF(C124&lt;=0,0,IF(I124&lt;=0,0,IF(AND(C124&gt;0,O124&lt;=0),"&gt;52",IF(I124/O124&gt;52,"&gt;52", MAX(0,I124/O124-2))))))</f>
        <v>&gt;52</v>
      </c>
    </row>
    <row r="125" spans="1:16" s="130" customFormat="1" ht="10.7" customHeight="1" x14ac:dyDescent="0.2">
      <c r="A125" s="122"/>
      <c r="B125" s="168"/>
      <c r="C125" s="162"/>
      <c r="D125" s="163"/>
      <c r="E125" s="163"/>
      <c r="F125" s="164"/>
      <c r="G125" s="163"/>
      <c r="H125" s="165"/>
      <c r="I125" s="164"/>
      <c r="J125" s="163"/>
      <c r="K125" s="163"/>
      <c r="L125" s="163"/>
      <c r="M125" s="163"/>
      <c r="N125" s="163" t="str">
        <f t="shared" si="54"/>
        <v>-</v>
      </c>
      <c r="O125" s="163"/>
      <c r="P125" s="146"/>
    </row>
    <row r="126" spans="1:16" s="130" customFormat="1" ht="10.7" customHeight="1" x14ac:dyDescent="0.2">
      <c r="A126" s="122"/>
      <c r="B126" s="174" t="s">
        <v>138</v>
      </c>
      <c r="C126" s="162">
        <f>'[2]IV&amp;VI Combined'!$G$36</f>
        <v>128.4</v>
      </c>
      <c r="D126" s="163">
        <f>F126-VLOOKUP(B126,[1]Quota!$B$103:$BJ$143,8,FALSE)</f>
        <v>0</v>
      </c>
      <c r="E126" s="163">
        <f t="shared" si="52"/>
        <v>70.099999999999994</v>
      </c>
      <c r="F126" s="164">
        <f>VLOOKUP(B126,[1]Quota!$B$81:$BJ$92,8,FALSE)</f>
        <v>198.5</v>
      </c>
      <c r="G126" s="163">
        <f>'[1]Cumulative '!I228-G130</f>
        <v>2.8264999999999998</v>
      </c>
      <c r="H126" s="165">
        <f t="shared" ref="H126:H131" si="57">IF(AND(F126&lt;=0),"n/a",IF(F126=0,0,100*G126/F126))</f>
        <v>1.4239294710327455</v>
      </c>
      <c r="I126" s="164">
        <f t="shared" ref="I126:I133" si="58">F126-G126</f>
        <v>195.67349999999999</v>
      </c>
      <c r="J126" s="163">
        <f>VLOOKUP(B126,[1]weeks!$B$156:$BO$193,8,FALSE)-VLOOKUP(B126,[1]weeks!$B$206:$BO$243,8,FALSE)</f>
        <v>0.31090000000000018</v>
      </c>
      <c r="K126" s="163">
        <f>VLOOKUP(B126,[1]weeks!$B$107:$BO$144,8,FALSE)-VLOOKUP(B126,[1]weeks!$B$156:$BO$193,8,FALSE)</f>
        <v>0.10719999999999974</v>
      </c>
      <c r="L126" s="163">
        <f>VLOOKUP(B126,[1]weeks!$B$55:$BO$94,8,FALSE)-VLOOKUP(B126,[1]weeks!$B$107:$BO$144,8,FALSE)</f>
        <v>8.3000000000000185E-2</v>
      </c>
      <c r="M126" s="163">
        <f>VLOOKUP(B126,[1]weeks!$B$5:$BO$44,8,FALSE)-VLOOKUP(B126,[1]weeks!$B$55:$BO$94,8,FALSE)</f>
        <v>0.12799999999999967</v>
      </c>
      <c r="N126" s="163">
        <f t="shared" si="54"/>
        <v>6.4483627204030058E-2</v>
      </c>
      <c r="O126" s="163">
        <f t="shared" si="55"/>
        <v>0.15727499999999994</v>
      </c>
      <c r="P126" s="146" t="str">
        <f>IF(ISNUMBER(VLOOKUP(B126,[1]Closures!B:BI,8,FALSE)),TEXT(VLOOKUP(B126,[1]Closures!B:BI,8,FALSE),"ddmmm"),IF(C126&lt;=0,0,IF(I126&lt;=0,0,IF(AND(C126&gt;0,O126&lt;=0),"&gt;52",IF(I126/O126&gt;52,"&gt;52", MAX(0,I126/O126-2))))))</f>
        <v>&gt;52</v>
      </c>
    </row>
    <row r="127" spans="1:16" s="130" customFormat="1" ht="10.7" customHeight="1" x14ac:dyDescent="0.2">
      <c r="A127" s="122"/>
      <c r="B127" s="174" t="s">
        <v>139</v>
      </c>
      <c r="C127" s="162">
        <f>'[2]IV&amp;VI Combined'!$G$37</f>
        <v>0.7</v>
      </c>
      <c r="D127" s="163">
        <f>F127-VLOOKUP(B127,[1]Quota!$B$103:$BJ$143,8,FALSE)</f>
        <v>0</v>
      </c>
      <c r="E127" s="163">
        <f t="shared" si="52"/>
        <v>-0.7</v>
      </c>
      <c r="F127" s="164">
        <f>VLOOKUP(B127,[1]Quota!$B$81:$BJ$92,8,FALSE)</f>
        <v>0</v>
      </c>
      <c r="G127" s="163">
        <f>'[1]Cumulative '!I229</f>
        <v>0</v>
      </c>
      <c r="H127" s="165" t="str">
        <f t="shared" si="57"/>
        <v>n/a</v>
      </c>
      <c r="I127" s="164">
        <f t="shared" si="58"/>
        <v>0</v>
      </c>
      <c r="J127" s="163">
        <f>VLOOKUP(B127,[1]weeks!$B$156:$BO$193,8,FALSE)-VLOOKUP(B127,[1]weeks!$B$206:$BO$243,8,FALSE)</f>
        <v>0</v>
      </c>
      <c r="K127" s="163">
        <f>VLOOKUP(B127,[1]weeks!$B$107:$BO$144,8,FALSE)-VLOOKUP(B127,[1]weeks!$B$156:$BO$193,8,FALSE)</f>
        <v>0</v>
      </c>
      <c r="L127" s="163">
        <f>VLOOKUP(B127,[1]weeks!$B$55:$BO$94,8,FALSE)-VLOOKUP(B127,[1]weeks!$B$107:$BO$144,8,FALSE)</f>
        <v>0</v>
      </c>
      <c r="M127" s="163">
        <f>VLOOKUP(B127,[1]weeks!$B$5:$BO$44,8,FALSE)-VLOOKUP(B127,[1]weeks!$B$55:$BO$94,8,FALSE)</f>
        <v>0</v>
      </c>
      <c r="N127" s="163" t="str">
        <f t="shared" si="54"/>
        <v>-</v>
      </c>
      <c r="O127" s="163">
        <f t="shared" si="55"/>
        <v>0</v>
      </c>
      <c r="P127" s="146">
        <f>IF(ISNUMBER(VLOOKUP(B127,[1]Closures!B:BI,8,FALSE)),TEXT(VLOOKUP(B127,[1]Closures!B:BI,8,FALSE),"ddmmm"),IF(C127&lt;=0,0,IF(I127&lt;=0,0,IF(AND(C127&gt;0,O127&lt;=0),"&gt;52",IF(I127/O127&gt;52,"&gt;52", MAX(0,I127/O127-2))))))</f>
        <v>0</v>
      </c>
    </row>
    <row r="128" spans="1:16" s="130" customFormat="1" ht="10.7" customHeight="1" x14ac:dyDescent="0.2">
      <c r="A128" s="122"/>
      <c r="B128" s="174" t="s">
        <v>140</v>
      </c>
      <c r="C128" s="162">
        <f>'[2]IV&amp;VI Combined'!$G$38</f>
        <v>0.1</v>
      </c>
      <c r="D128" s="163">
        <f>F128-VLOOKUP(B128,[1]Quota!$B$103:$BJ$143,8,FALSE)</f>
        <v>0</v>
      </c>
      <c r="E128" s="163">
        <f t="shared" si="52"/>
        <v>0</v>
      </c>
      <c r="F128" s="164">
        <f>VLOOKUP(B128,[1]Quota!$B$81:$BJ$92,8,FALSE)</f>
        <v>0.1</v>
      </c>
      <c r="G128" s="163">
        <f>'[1]Cumulative '!I230</f>
        <v>0</v>
      </c>
      <c r="H128" s="165">
        <f t="shared" si="57"/>
        <v>0</v>
      </c>
      <c r="I128" s="164">
        <f t="shared" si="58"/>
        <v>0.1</v>
      </c>
      <c r="J128" s="163">
        <f>VLOOKUP(B128,[1]weeks!$B$156:$BO$193,8,FALSE)-VLOOKUP(B128,[1]weeks!$B$206:$BO$243,8,FALSE)</f>
        <v>0</v>
      </c>
      <c r="K128" s="163">
        <f>VLOOKUP(B128,[1]weeks!$B$107:$BO$144,8,FALSE)-VLOOKUP(B128,[1]weeks!$B$156:$BO$193,8,FALSE)</f>
        <v>0</v>
      </c>
      <c r="L128" s="163">
        <f>VLOOKUP(B128,[1]weeks!$B$55:$BO$94,8,FALSE)-VLOOKUP(B128,[1]weeks!$B$107:$BO$144,8,FALSE)</f>
        <v>0</v>
      </c>
      <c r="M128" s="163">
        <f>VLOOKUP(B128,[1]weeks!$B$5:$BO$44,8,FALSE)-VLOOKUP(B128,[1]weeks!$B$55:$BO$94,8,FALSE)</f>
        <v>0</v>
      </c>
      <c r="N128" s="163">
        <f t="shared" si="54"/>
        <v>0</v>
      </c>
      <c r="O128" s="163">
        <f t="shared" si="55"/>
        <v>0</v>
      </c>
      <c r="P128" s="146" t="str">
        <f>IF(ISNUMBER(VLOOKUP(B128,[1]Closures!B:BI,8,FALSE)),TEXT(VLOOKUP(B128,[1]Closures!B:BI,8,FALSE),"ddmmm"),IF(C128&lt;=0,0,IF(I128&lt;=0,0,IF(AND(C128&gt;0,O128&lt;=0),"&gt;52",IF(I128/O128&gt;52,"&gt;52", MAX(0,I128/O128-2))))))</f>
        <v>01Jan</v>
      </c>
    </row>
    <row r="129" spans="1:16" s="130" customFormat="1" ht="10.7" customHeight="1" x14ac:dyDescent="0.2">
      <c r="A129" s="122"/>
      <c r="B129" s="174" t="s">
        <v>141</v>
      </c>
      <c r="C129" s="162">
        <f>'[2]IV&amp;VI Combined'!$G$39</f>
        <v>0.1</v>
      </c>
      <c r="D129" s="163">
        <f>F129-VLOOKUP(B129,[1]Quota!$B$103:$BJ$143,8,FALSE)</f>
        <v>0</v>
      </c>
      <c r="E129" s="163">
        <f t="shared" si="52"/>
        <v>0</v>
      </c>
      <c r="F129" s="164">
        <f>VLOOKUP(B129,[1]Quota!$B$81:$BJ$92,8,FALSE)</f>
        <v>0.1</v>
      </c>
      <c r="G129" s="163">
        <f>'[1]Cumulative '!I231</f>
        <v>0</v>
      </c>
      <c r="H129" s="165">
        <f t="shared" si="57"/>
        <v>0</v>
      </c>
      <c r="I129" s="164">
        <f t="shared" si="58"/>
        <v>0.1</v>
      </c>
      <c r="J129" s="163">
        <f>VLOOKUP(B129,[1]weeks!$B$156:$BO$193,8,FALSE)-VLOOKUP(B129,[1]weeks!$B$206:$BO$243,8,FALSE)</f>
        <v>0</v>
      </c>
      <c r="K129" s="163">
        <f>VLOOKUP(B129,[1]weeks!$B$107:$BO$144,8,FALSE)-VLOOKUP(B129,[1]weeks!$B$156:$BO$193,8,FALSE)</f>
        <v>0</v>
      </c>
      <c r="L129" s="163">
        <f>VLOOKUP(B129,[1]weeks!$B$55:$BO$94,8,FALSE)-VLOOKUP(B129,[1]weeks!$B$107:$BO$144,8,FALSE)</f>
        <v>0</v>
      </c>
      <c r="M129" s="163">
        <f>VLOOKUP(B129,[1]weeks!$B$5:$BO$44,8,FALSE)-VLOOKUP(B129,[1]weeks!$B$55:$BO$94,8,FALSE)</f>
        <v>0</v>
      </c>
      <c r="N129" s="163">
        <f t="shared" si="54"/>
        <v>0</v>
      </c>
      <c r="O129" s="163">
        <f t="shared" si="55"/>
        <v>0</v>
      </c>
      <c r="P129" s="146" t="str">
        <f>IF(ISNUMBER(VLOOKUP(B129,[1]Closures!B:BI,8,FALSE)),TEXT(VLOOKUP(B129,[1]Closures!B:BI,8,FALSE),"ddmmm"),IF(C129&lt;=0,0,IF(I129&lt;=0,0,IF(AND(C129&gt;0,O129&lt;=0),"&gt;52",IF(I129/O129&gt;52,"&gt;52", MAX(0,I129/O129-2))))))</f>
        <v>&gt;52</v>
      </c>
    </row>
    <row r="130" spans="1:16" s="130" customFormat="1" ht="10.7" customHeight="1" x14ac:dyDescent="0.2">
      <c r="A130" s="122"/>
      <c r="B130" s="174" t="s">
        <v>142</v>
      </c>
      <c r="C130" s="162"/>
      <c r="D130" s="163">
        <f>F130-VLOOKUP(B130,[1]Quota!$B$32:$BJ$43,8,FALSE)</f>
        <v>0</v>
      </c>
      <c r="E130" s="163"/>
      <c r="F130" s="164">
        <f>VLOOKUP(B130,[1]Quota!$B$81:$BJ$92,8,FALSE)</f>
        <v>0</v>
      </c>
      <c r="G130" s="163">
        <v>0</v>
      </c>
      <c r="H130" s="165" t="str">
        <f t="shared" si="57"/>
        <v>n/a</v>
      </c>
      <c r="I130" s="164">
        <f>F130-G130</f>
        <v>0</v>
      </c>
      <c r="J130" s="163"/>
      <c r="K130" s="163"/>
      <c r="L130" s="163"/>
      <c r="M130" s="163"/>
      <c r="N130" s="163"/>
      <c r="O130" s="163"/>
      <c r="P130" s="146"/>
    </row>
    <row r="131" spans="1:16" s="130" customFormat="1" ht="10.7" customHeight="1" x14ac:dyDescent="0.2">
      <c r="A131" s="122"/>
      <c r="B131" s="168" t="s">
        <v>143</v>
      </c>
      <c r="C131" s="162">
        <f>SUM(C126:C130)</f>
        <v>129.29999999999998</v>
      </c>
      <c r="D131" s="163">
        <f>SUM(D126:D130)</f>
        <v>0</v>
      </c>
      <c r="E131" s="163">
        <f t="shared" si="52"/>
        <v>69.400000000000006</v>
      </c>
      <c r="F131" s="164">
        <f>SUM(F126:F130)</f>
        <v>198.7</v>
      </c>
      <c r="G131" s="163">
        <f>SUM(G126:G130)</f>
        <v>2.8264999999999998</v>
      </c>
      <c r="H131" s="165">
        <f t="shared" si="57"/>
        <v>1.4224962254655258</v>
      </c>
      <c r="I131" s="164">
        <f t="shared" si="58"/>
        <v>195.87349999999998</v>
      </c>
      <c r="J131" s="163">
        <f t="shared" ref="J131:L131" si="59">SUM(J126:J129)</f>
        <v>0.31090000000000018</v>
      </c>
      <c r="K131" s="163">
        <f t="shared" si="59"/>
        <v>0.10719999999999974</v>
      </c>
      <c r="L131" s="163">
        <f t="shared" si="59"/>
        <v>8.3000000000000185E-2</v>
      </c>
      <c r="M131" s="163">
        <f>SUM(M126:M129)</f>
        <v>0.12799999999999967</v>
      </c>
      <c r="N131" s="163">
        <f t="shared" si="54"/>
        <v>6.4418721690991276E-2</v>
      </c>
      <c r="O131" s="163">
        <f>SUM(J131:M131)/4</f>
        <v>0.15727499999999994</v>
      </c>
      <c r="P131" s="146" t="str">
        <f>IF(ISNUMBER(VLOOKUP(B131,[1]Closures!B:BI,8,FALSE)),TEXT(VLOOKUP(B131,[1]Closures!B:BI,8,FALSE),"ddmmm"),IF(C131&lt;=0,0,IF(I131&lt;=0,0,IF(AND(C131&gt;0,O131&lt;=0),"&gt;52",IF(I131/O131&gt;52,"&gt;52", MAX(0,I131/O131-2))))))</f>
        <v>&gt;52</v>
      </c>
    </row>
    <row r="132" spans="1:16" s="130" customFormat="1" ht="10.7" customHeight="1" x14ac:dyDescent="0.2">
      <c r="A132" s="122"/>
      <c r="B132" s="168"/>
      <c r="C132" s="162"/>
      <c r="D132" s="163"/>
      <c r="E132" s="163"/>
      <c r="F132" s="164"/>
      <c r="G132" s="163"/>
      <c r="H132" s="165"/>
      <c r="I132" s="164"/>
      <c r="J132" s="163"/>
      <c r="K132" s="163"/>
      <c r="L132" s="163"/>
      <c r="M132" s="163"/>
      <c r="N132" s="163"/>
      <c r="O132" s="163"/>
      <c r="P132" s="146"/>
    </row>
    <row r="133" spans="1:16" s="130" customFormat="1" ht="10.7" customHeight="1" x14ac:dyDescent="0.2">
      <c r="A133" s="122"/>
      <c r="B133" s="175" t="s">
        <v>112</v>
      </c>
      <c r="C133" s="176">
        <f>C131+C124</f>
        <v>145.1</v>
      </c>
      <c r="D133" s="180">
        <f>D131+D124</f>
        <v>0</v>
      </c>
      <c r="E133" s="180">
        <f t="shared" si="52"/>
        <v>69.299999999999983</v>
      </c>
      <c r="F133" s="189">
        <f>F131+F124</f>
        <v>214.39999999999998</v>
      </c>
      <c r="G133" s="180">
        <f>G131+G124</f>
        <v>2.9600999999999997</v>
      </c>
      <c r="H133" s="179">
        <f>IF(AND(F133&lt;=0),"n/a",IF(F133=0,0,100*G133/F133))</f>
        <v>1.380643656716418</v>
      </c>
      <c r="I133" s="218">
        <f t="shared" si="58"/>
        <v>211.43989999999997</v>
      </c>
      <c r="J133" s="180">
        <f t="shared" ref="J133:L133" si="60">J124+J131</f>
        <v>0.37980000000000019</v>
      </c>
      <c r="K133" s="180">
        <f t="shared" si="60"/>
        <v>0.11129999999999973</v>
      </c>
      <c r="L133" s="180">
        <f t="shared" si="60"/>
        <v>9.8500000000000185E-2</v>
      </c>
      <c r="M133" s="180">
        <f>M124+M131</f>
        <v>0.13099999999999967</v>
      </c>
      <c r="N133" s="180">
        <f t="shared" si="54"/>
        <v>6.1100746268656574E-2</v>
      </c>
      <c r="O133" s="180">
        <f>SUM(J133:M133)/4</f>
        <v>0.18014999999999995</v>
      </c>
      <c r="P133" s="153" t="str">
        <f>IF(ISNUMBER(VLOOKUP(B133,[1]Closures!B:BI,8,FALSE)),TEXT(VLOOKUP(B133,[1]Closures!B:BI,8,FALSE),"ddmmm"),IF(C133&lt;=0,0,IF(I133&lt;=0,0,IF(AND(C133&gt;0,O133&lt;=0),"&gt;52",IF(I133/O133&gt;52,"&gt;52", MAX(0,I133/O133-2))))))</f>
        <v>&gt;52</v>
      </c>
    </row>
    <row r="134" spans="1:16" s="130" customFormat="1" ht="10.7" customHeight="1" x14ac:dyDescent="0.2">
      <c r="A134" s="122"/>
      <c r="B134" s="212"/>
      <c r="C134" s="173"/>
      <c r="D134" s="163"/>
      <c r="E134" s="163"/>
      <c r="F134" s="164"/>
      <c r="G134" s="163"/>
      <c r="H134" s="165"/>
      <c r="I134" s="164"/>
      <c r="J134" s="163"/>
      <c r="K134" s="163"/>
      <c r="L134" s="163"/>
      <c r="M134" s="163"/>
      <c r="N134" s="163"/>
      <c r="O134" s="163"/>
      <c r="P134" s="182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tr">
        <f>C5</f>
        <v>Initial Quota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f>[1]weeks!$B$154</f>
        <v>43166</v>
      </c>
      <c r="K138" s="151">
        <f>[1]weeks!$B$105</f>
        <v>43173</v>
      </c>
      <c r="L138" s="151">
        <f>[1]weeks!$B$55</f>
        <v>43180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6"/>
      <c r="C140" s="187" t="s">
        <v>172</v>
      </c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95"/>
      <c r="P140" s="145"/>
    </row>
    <row r="141" spans="1:16" s="130" customFormat="1" ht="10.7" customHeight="1" x14ac:dyDescent="0.2">
      <c r="A141" s="122"/>
      <c r="B141" s="161" t="s">
        <v>132</v>
      </c>
      <c r="C141" s="162">
        <f>'[2]IV&amp;VI Combined'!$H$29</f>
        <v>0</v>
      </c>
      <c r="D141" s="163">
        <f>F141-VLOOKUP(B141,[1]Quota!$B$103:$BJ$143,9,FALSE)</f>
        <v>0</v>
      </c>
      <c r="E141" s="163">
        <f>F141-C141</f>
        <v>0</v>
      </c>
      <c r="F141" s="164">
        <f>VLOOKUP(B141,[1]Quota!$B$81:$BJ$92,9,FALSE)</f>
        <v>0</v>
      </c>
      <c r="G141" s="163">
        <f>'[1]Cumulative '!J221</f>
        <v>1.1900000000000001E-2</v>
      </c>
      <c r="H141" s="165" t="str">
        <f t="shared" ref="H141:H155" si="61">IF(AND(F141&lt;=0),"n/a",IF(F141=0,0,100*G141/F141))</f>
        <v>n/a</v>
      </c>
      <c r="I141" s="164">
        <f>F141-G141</f>
        <v>-1.1900000000000001E-2</v>
      </c>
      <c r="J141" s="163">
        <f>VLOOKUP(B141,[1]weeks!$B$156:$BO$193,9,FALSE)-VLOOKUP(B141,[1]weeks!$B$206:$BO$243,9,FALSE)</f>
        <v>0</v>
      </c>
      <c r="K141" s="163">
        <f>VLOOKUP(B141,[1]weeks!$B$107:$BO$144,9,FALSE)-VLOOKUP(B141,[1]weeks!$B$156:$BO$193,9,FALSE)</f>
        <v>0</v>
      </c>
      <c r="L141" s="163">
        <f>VLOOKUP(B141,[1]weeks!$B$55:$BO$94,9,FALSE)-VLOOKUP(B141,[1]weeks!$B$107:$BO$144,9,FALSE)</f>
        <v>0</v>
      </c>
      <c r="M141" s="163">
        <f>VLOOKUP(B141,[1]weeks!$B$5:$BO$44,9,FALSE)-VLOOKUP(B141,[1]weeks!$B$55:$BO$94,9,FALSE)</f>
        <v>0</v>
      </c>
      <c r="N141" s="163" t="str">
        <f>IF(F141&gt;0,M141/F141*100,"-")</f>
        <v>-</v>
      </c>
      <c r="O141" s="163">
        <f>SUM(J141:M141)/4</f>
        <v>0</v>
      </c>
      <c r="P141" s="146" t="str">
        <f>IF(ISNUMBER(VLOOKUP(B141,[1]Closures!B:BI,9,FALSE)),TEXT(VLOOKUP(B141,[1]Closures!B:BI,9,FALSE),"ddmmm"),IF(C141&lt;=0,0,IF(I141&lt;=0,0,IF(AND(C141&gt;0,O141&lt;=0),"&gt;52",IF(I141/O141&gt;52,"&gt;52", MAX(0,I141/O141-2))))))</f>
        <v>01Jan</v>
      </c>
    </row>
    <row r="142" spans="1:16" s="130" customFormat="1" ht="10.7" customHeight="1" x14ac:dyDescent="0.2">
      <c r="A142" s="122"/>
      <c r="B142" s="161" t="s">
        <v>133</v>
      </c>
      <c r="C142" s="162">
        <f>'[2]IV&amp;VI Combined'!$H$30</f>
        <v>0</v>
      </c>
      <c r="D142" s="163">
        <f>F142-VLOOKUP(B142,[1]Quota!$B$103:$BJ$143,9,FALSE)</f>
        <v>0</v>
      </c>
      <c r="E142" s="163">
        <f t="shared" ref="E142:E155" si="62">F142-C142</f>
        <v>0</v>
      </c>
      <c r="F142" s="164">
        <f>VLOOKUP(B142,[1]Quota!$B$81:$BJ$92,9,FALSE)</f>
        <v>0</v>
      </c>
      <c r="G142" s="163">
        <f>'[1]Cumulative '!J222</f>
        <v>0</v>
      </c>
      <c r="H142" s="165" t="str">
        <f t="shared" si="61"/>
        <v>n/a</v>
      </c>
      <c r="I142" s="164">
        <f t="shared" ref="I142:I145" si="63">F142-G142</f>
        <v>0</v>
      </c>
      <c r="J142" s="163">
        <f>VLOOKUP(B142,[1]weeks!$B$156:$BO$193,9,FALSE)-VLOOKUP(B142,[1]weeks!$B$206:$BO$243,9,FALSE)</f>
        <v>0</v>
      </c>
      <c r="K142" s="163">
        <f>VLOOKUP(B142,[1]weeks!$B$107:$BO$144,9,FALSE)-VLOOKUP(B142,[1]weeks!$B$156:$BO$193,9,FALSE)</f>
        <v>0</v>
      </c>
      <c r="L142" s="163">
        <f>VLOOKUP(B142,[1]weeks!$B$55:$BO$94,9,FALSE)-VLOOKUP(B142,[1]weeks!$B$107:$BO$144,9,FALSE)</f>
        <v>0</v>
      </c>
      <c r="M142" s="163">
        <f>VLOOKUP(B142,[1]weeks!$B$5:$BO$44,9,FALSE)-VLOOKUP(B142,[1]weeks!$B$55:$BO$94,9,FALSE)</f>
        <v>0</v>
      </c>
      <c r="N142" s="163" t="str">
        <f t="shared" ref="N142:N155" si="64">IF(F142&gt;0,M142/F142*100,"-")</f>
        <v>-</v>
      </c>
      <c r="O142" s="163">
        <f t="shared" ref="O142:O151" si="65">SUM(J142:M142)/4</f>
        <v>0</v>
      </c>
      <c r="P142" s="146" t="str">
        <f>IF(ISNUMBER(VLOOKUP(B142,[1]Closures!B:BI,9,FALSE)),TEXT(VLOOKUP(B142,[1]Closures!B:BI,9,FALSE),"ddmmm"),IF(C142&lt;=0,0,IF(I142&lt;=0,0,IF(AND(C142&gt;0,O142&lt;=0),"&gt;52",IF(I142/O142&gt;52,"&gt;52", MAX(0,I142/O142-2))))))</f>
        <v>01Jan</v>
      </c>
    </row>
    <row r="143" spans="1:16" s="130" customFormat="1" ht="10.7" customHeight="1" x14ac:dyDescent="0.2">
      <c r="A143" s="122"/>
      <c r="B143" s="161" t="s">
        <v>134</v>
      </c>
      <c r="C143" s="162">
        <f>'[2]IV&amp;VI Combined'!$H$31</f>
        <v>0</v>
      </c>
      <c r="D143" s="163">
        <f>F143-VLOOKUP(B143,[1]Quota!$B$103:$BJ$143,9,FALSE)</f>
        <v>0</v>
      </c>
      <c r="E143" s="163">
        <f t="shared" si="62"/>
        <v>0</v>
      </c>
      <c r="F143" s="164">
        <f>VLOOKUP(B143,[1]Quota!$B$81:$BJ$92,9,FALSE)</f>
        <v>0</v>
      </c>
      <c r="G143" s="163">
        <f>'[1]Cumulative '!J223</f>
        <v>0</v>
      </c>
      <c r="H143" s="165" t="str">
        <f t="shared" si="61"/>
        <v>n/a</v>
      </c>
      <c r="I143" s="164">
        <f t="shared" si="63"/>
        <v>0</v>
      </c>
      <c r="J143" s="163">
        <f>VLOOKUP(B143,[1]weeks!$B$156:$BO$193,9,FALSE)-VLOOKUP(B143,[1]weeks!$B$206:$BO$243,9,FALSE)</f>
        <v>0</v>
      </c>
      <c r="K143" s="163">
        <f>VLOOKUP(B143,[1]weeks!$B$107:$BO$144,9,FALSE)-VLOOKUP(B143,[1]weeks!$B$156:$BO$193,9,FALSE)</f>
        <v>0</v>
      </c>
      <c r="L143" s="163">
        <f>VLOOKUP(B143,[1]weeks!$B$55:$BO$94,9,FALSE)-VLOOKUP(B143,[1]weeks!$B$107:$BO$144,9,FALSE)</f>
        <v>0</v>
      </c>
      <c r="M143" s="163">
        <f>VLOOKUP(B143,[1]weeks!$B$5:$BO$44,9,FALSE)-VLOOKUP(B143,[1]weeks!$B$55:$BO$94,9,FALSE)</f>
        <v>0</v>
      </c>
      <c r="N143" s="163" t="str">
        <f t="shared" si="64"/>
        <v>-</v>
      </c>
      <c r="O143" s="163">
        <f t="shared" si="65"/>
        <v>0</v>
      </c>
      <c r="P143" s="146" t="str">
        <f>IF(ISNUMBER(VLOOKUP(B143,[1]Closures!B:BI,9,FALSE)),TEXT(VLOOKUP(B143,[1]Closures!B:BI,9,FALSE),"ddmmm"),IF(C143&lt;=0,0,IF(I143&lt;=0,0,IF(AND(C143&gt;0,O143&lt;=0),"&gt;52",IF(I143/O143&gt;52,"&gt;52", MAX(0,I143/O143-2))))))</f>
        <v>01Jan</v>
      </c>
    </row>
    <row r="144" spans="1:16" s="130" customFormat="1" ht="10.7" customHeight="1" x14ac:dyDescent="0.2">
      <c r="A144" s="122"/>
      <c r="B144" s="161" t="s">
        <v>135</v>
      </c>
      <c r="C144" s="162">
        <f>'[2]IV&amp;VI Combined'!$H$32</f>
        <v>0</v>
      </c>
      <c r="D144" s="163">
        <f>F144-VLOOKUP(B144,[1]Quota!$B$103:$BJ$143,9,FALSE)</f>
        <v>0</v>
      </c>
      <c r="E144" s="163">
        <f t="shared" si="62"/>
        <v>0</v>
      </c>
      <c r="F144" s="164">
        <f>VLOOKUP(B144,[1]Quota!$B$81:$BJ$92,9,FALSE)</f>
        <v>0</v>
      </c>
      <c r="G144" s="163">
        <f>'[1]Cumulative '!J224</f>
        <v>0</v>
      </c>
      <c r="H144" s="165" t="str">
        <f t="shared" si="61"/>
        <v>n/a</v>
      </c>
      <c r="I144" s="164">
        <f t="shared" si="63"/>
        <v>0</v>
      </c>
      <c r="J144" s="163">
        <f>VLOOKUP(B144,[1]weeks!$B$156:$BO$193,9,FALSE)-VLOOKUP(B144,[1]weeks!$B$206:$BO$243,9,FALSE)</f>
        <v>0</v>
      </c>
      <c r="K144" s="163">
        <f>VLOOKUP(B144,[1]weeks!$B$107:$BO$144,9,FALSE)-VLOOKUP(B144,[1]weeks!$B$156:$BO$193,9,FALSE)</f>
        <v>0</v>
      </c>
      <c r="L144" s="163">
        <f>VLOOKUP(B144,[1]weeks!$B$55:$BO$94,9,FALSE)-VLOOKUP(B144,[1]weeks!$B$107:$BO$144,9,FALSE)</f>
        <v>0</v>
      </c>
      <c r="M144" s="163">
        <f>VLOOKUP(B144,[1]weeks!$B$5:$BO$44,9,FALSE)-VLOOKUP(B144,[1]weeks!$B$55:$BO$94,9,FALSE)</f>
        <v>0</v>
      </c>
      <c r="N144" s="163" t="str">
        <f t="shared" si="64"/>
        <v>-</v>
      </c>
      <c r="O144" s="163">
        <f t="shared" si="65"/>
        <v>0</v>
      </c>
      <c r="P144" s="146" t="str">
        <f>IF(ISNUMBER(VLOOKUP(B144,[1]Closures!B:BI,9,FALSE)),TEXT(VLOOKUP(B144,[1]Closures!B:BI,9,FALSE),"ddmmm"),IF(C144&lt;=0,0,IF(I144&lt;=0,0,IF(AND(C144&gt;0,O144&lt;=0),"&gt;52",IF(I144/O144&gt;52,"&gt;52", MAX(0,I144/O144-2))))))</f>
        <v>01Jan</v>
      </c>
    </row>
    <row r="145" spans="1:16" s="130" customFormat="1" ht="10.7" customHeight="1" x14ac:dyDescent="0.2">
      <c r="A145" s="122"/>
      <c r="B145" s="161" t="s">
        <v>136</v>
      </c>
      <c r="C145" s="162"/>
      <c r="D145" s="163">
        <f>F145-VLOOKUP(B145,[1]Quota!$B$32:$BJ$43,9,FALSE)</f>
        <v>0</v>
      </c>
      <c r="E145" s="163"/>
      <c r="F145" s="164">
        <f>VLOOKUP(B145,[1]Quota!$B$81:$BJ$92,9,FALSE)</f>
        <v>0</v>
      </c>
      <c r="G145" s="163"/>
      <c r="H145" s="165" t="str">
        <f t="shared" si="61"/>
        <v>n/a</v>
      </c>
      <c r="I145" s="164">
        <f t="shared" si="63"/>
        <v>0</v>
      </c>
      <c r="J145" s="163"/>
      <c r="K145" s="163"/>
      <c r="L145" s="163"/>
      <c r="M145" s="163"/>
      <c r="N145" s="163"/>
      <c r="O145" s="163"/>
      <c r="P145" s="146"/>
    </row>
    <row r="146" spans="1:16" s="130" customFormat="1" ht="10.7" customHeight="1" x14ac:dyDescent="0.2">
      <c r="A146" s="122"/>
      <c r="B146" s="168" t="s">
        <v>137</v>
      </c>
      <c r="C146" s="162">
        <f>SUM(C141:C144)</f>
        <v>0</v>
      </c>
      <c r="D146" s="163">
        <f>SUM(D141:D145)</f>
        <v>0</v>
      </c>
      <c r="E146" s="163">
        <f t="shared" si="62"/>
        <v>0</v>
      </c>
      <c r="F146" s="217">
        <f t="shared" ref="F146" si="66">SUM(F141:F144)</f>
        <v>0</v>
      </c>
      <c r="G146" s="163">
        <f>SUM(G141:G145)</f>
        <v>1.1900000000000001E-2</v>
      </c>
      <c r="H146" s="165" t="str">
        <f t="shared" si="61"/>
        <v>n/a</v>
      </c>
      <c r="I146" s="217">
        <f t="shared" ref="I146:L146" si="67">SUM(I141:I144)</f>
        <v>-1.1900000000000001E-2</v>
      </c>
      <c r="J146" s="163">
        <f t="shared" si="67"/>
        <v>0</v>
      </c>
      <c r="K146" s="163">
        <f t="shared" si="67"/>
        <v>0</v>
      </c>
      <c r="L146" s="163">
        <f t="shared" si="67"/>
        <v>0</v>
      </c>
      <c r="M146" s="163">
        <f>SUM(M141:M144)</f>
        <v>0</v>
      </c>
      <c r="N146" s="163" t="str">
        <f t="shared" si="64"/>
        <v>-</v>
      </c>
      <c r="O146" s="163">
        <f t="shared" si="65"/>
        <v>0</v>
      </c>
      <c r="P146" s="146">
        <f>IF(ISNUMBER(VLOOKUP(B146,[1]Closures!B:BI,9,FALSE)),TEXT(VLOOKUP(B146,[1]Closures!B:BI,9,FALSE),"ddmmm"),IF(C146&lt;=0,0,IF(I146&lt;=0,0,IF(AND(C146&gt;0,O146&lt;=0),"&gt;52",IF(I146/O146&gt;52,"&gt;52", MAX(0,I146/O146-2))))))</f>
        <v>0</v>
      </c>
    </row>
    <row r="147" spans="1:16" s="130" customFormat="1" ht="10.7" customHeight="1" x14ac:dyDescent="0.2">
      <c r="A147" s="122"/>
      <c r="B147" s="168"/>
      <c r="C147" s="162"/>
      <c r="D147" s="163"/>
      <c r="E147" s="163"/>
      <c r="F147" s="164"/>
      <c r="G147" s="163"/>
      <c r="H147" s="165"/>
      <c r="I147" s="164"/>
      <c r="J147" s="163"/>
      <c r="K147" s="163"/>
      <c r="L147" s="163"/>
      <c r="M147" s="163"/>
      <c r="N147" s="163" t="str">
        <f t="shared" si="64"/>
        <v>-</v>
      </c>
      <c r="O147" s="163"/>
      <c r="P147" s="146"/>
    </row>
    <row r="148" spans="1:16" s="130" customFormat="1" ht="10.7" customHeight="1" x14ac:dyDescent="0.2">
      <c r="A148" s="122"/>
      <c r="B148" s="174" t="s">
        <v>138</v>
      </c>
      <c r="C148" s="162">
        <f>'[2]IV&amp;VI Combined'!$H$36</f>
        <v>0.6</v>
      </c>
      <c r="D148" s="163">
        <f>F148-VLOOKUP(B148,[1]Quota!$B$103:$BJ$143,9,FALSE)</f>
        <v>0</v>
      </c>
      <c r="E148" s="163">
        <f t="shared" si="62"/>
        <v>1</v>
      </c>
      <c r="F148" s="164">
        <f>VLOOKUP(B148,[1]Quota!$B$81:$BJ$92,9,FALSE)</f>
        <v>1.6</v>
      </c>
      <c r="G148" s="163">
        <f>'[1]Cumulative '!J228</f>
        <v>6.3E-3</v>
      </c>
      <c r="H148" s="165">
        <f t="shared" si="61"/>
        <v>0.39374999999999999</v>
      </c>
      <c r="I148" s="164">
        <f t="shared" ref="I148:I155" si="68">F148-G148</f>
        <v>1.5937000000000001</v>
      </c>
      <c r="J148" s="163">
        <f>VLOOKUP(B148,[1]weeks!$B$156:$BO$193,9,FALSE)-VLOOKUP(B148,[1]weeks!$B$206:$BO$243,9,FALSE)</f>
        <v>0</v>
      </c>
      <c r="K148" s="163">
        <f>VLOOKUP(B148,[1]weeks!$B$107:$BO$144,9,FALSE)-VLOOKUP(B148,[1]weeks!$B$156:$BO$193,9,FALSE)</f>
        <v>0</v>
      </c>
      <c r="L148" s="163">
        <f>VLOOKUP(B148,[1]weeks!$B$55:$BO$94,9,FALSE)-VLOOKUP(B148,[1]weeks!$B$107:$BO$144,9,FALSE)</f>
        <v>1.7000000000000001E-3</v>
      </c>
      <c r="M148" s="163">
        <f>VLOOKUP(B148,[1]weeks!$B$5:$BO$44,9,FALSE)-VLOOKUP(B148,[1]weeks!$B$55:$BO$94,9,FALSE)</f>
        <v>0</v>
      </c>
      <c r="N148" s="163">
        <f t="shared" si="64"/>
        <v>0</v>
      </c>
      <c r="O148" s="163">
        <f t="shared" si="65"/>
        <v>4.2500000000000003E-4</v>
      </c>
      <c r="P148" s="146" t="str">
        <f>IF(ISNUMBER(VLOOKUP(B148,[1]Closures!B:BI,9,FALSE)),TEXT(VLOOKUP(B148,[1]Closures!B:BI,9,FALSE),"ddmmm"),IF(C148&lt;=0,0,IF(I148&lt;=0,0,IF(AND(C148&gt;0,O148&lt;=0),"&gt;52",IF(I148/O148&gt;52,"&gt;52", MAX(0,I148/O148-2))))))</f>
        <v>01Jan</v>
      </c>
    </row>
    <row r="149" spans="1:16" s="130" customFormat="1" ht="10.7" customHeight="1" x14ac:dyDescent="0.2">
      <c r="A149" s="122"/>
      <c r="B149" s="174" t="s">
        <v>139</v>
      </c>
      <c r="C149" s="162">
        <f>'[2]IV&amp;VI Combined'!$H$37</f>
        <v>0</v>
      </c>
      <c r="D149" s="163">
        <f>F149-VLOOKUP(B149,[1]Quota!$B$103:$BJ$143,9,FALSE)</f>
        <v>0</v>
      </c>
      <c r="E149" s="163">
        <f t="shared" si="62"/>
        <v>0</v>
      </c>
      <c r="F149" s="164">
        <f>VLOOKUP(B149,[1]Quota!$B$81:$BJ$92,9,FALSE)</f>
        <v>0</v>
      </c>
      <c r="G149" s="163">
        <f>'[1]Cumulative '!J229</f>
        <v>0</v>
      </c>
      <c r="H149" s="165" t="str">
        <f t="shared" si="61"/>
        <v>n/a</v>
      </c>
      <c r="I149" s="164">
        <f t="shared" si="68"/>
        <v>0</v>
      </c>
      <c r="J149" s="163">
        <f>VLOOKUP(B149,[1]weeks!$B$156:$BO$193,9,FALSE)-VLOOKUP(B149,[1]weeks!$B$206:$BO$243,9,FALSE)</f>
        <v>0</v>
      </c>
      <c r="K149" s="163">
        <f>VLOOKUP(B149,[1]weeks!$B$107:$BO$144,9,FALSE)-VLOOKUP(B149,[1]weeks!$B$156:$BO$193,9,FALSE)</f>
        <v>0</v>
      </c>
      <c r="L149" s="163">
        <f>VLOOKUP(B149,[1]weeks!$B$55:$BO$94,9,FALSE)-VLOOKUP(B149,[1]weeks!$B$107:$BO$144,9,FALSE)</f>
        <v>0</v>
      </c>
      <c r="M149" s="163">
        <f>VLOOKUP(B149,[1]weeks!$B$5:$BO$44,9,FALSE)-VLOOKUP(B149,[1]weeks!$B$55:$BO$94,9,FALSE)</f>
        <v>0</v>
      </c>
      <c r="N149" s="163" t="str">
        <f t="shared" si="64"/>
        <v>-</v>
      </c>
      <c r="O149" s="163">
        <f t="shared" si="65"/>
        <v>0</v>
      </c>
      <c r="P149" s="146" t="str">
        <f>IF(ISNUMBER(VLOOKUP(B149,[1]Closures!B:BI,9,FALSE)),TEXT(VLOOKUP(B149,[1]Closures!B:BI,9,FALSE),"ddmmm"),IF(C149&lt;=0,0,IF(I149&lt;=0,0,IF(AND(C149&gt;0,O149&lt;=0),"&gt;52",IF(I149/O149&gt;52,"&gt;52", MAX(0,I149/O149-2))))))</f>
        <v>01Jan</v>
      </c>
    </row>
    <row r="150" spans="1:16" s="130" customFormat="1" ht="10.7" customHeight="1" x14ac:dyDescent="0.2">
      <c r="A150" s="122"/>
      <c r="B150" s="174" t="s">
        <v>140</v>
      </c>
      <c r="C150" s="162">
        <f>'[2]IV&amp;VI Combined'!$H$38</f>
        <v>0</v>
      </c>
      <c r="D150" s="163">
        <f>F150-VLOOKUP(B150,[1]Quota!$B$103:$BJ$143,9,FALSE)</f>
        <v>0</v>
      </c>
      <c r="E150" s="163">
        <f t="shared" si="62"/>
        <v>0</v>
      </c>
      <c r="F150" s="164">
        <f>VLOOKUP(B150,[1]Quota!$B$81:$BJ$92,9,FALSE)</f>
        <v>0</v>
      </c>
      <c r="G150" s="163">
        <f>'[1]Cumulative '!J230</f>
        <v>0</v>
      </c>
      <c r="H150" s="165" t="str">
        <f t="shared" si="61"/>
        <v>n/a</v>
      </c>
      <c r="I150" s="164">
        <f t="shared" si="68"/>
        <v>0</v>
      </c>
      <c r="J150" s="163">
        <f>VLOOKUP(B150,[1]weeks!$B$156:$BO$193,9,FALSE)-VLOOKUP(B150,[1]weeks!$B$206:$BO$243,9,FALSE)</f>
        <v>0</v>
      </c>
      <c r="K150" s="163">
        <f>VLOOKUP(B150,[1]weeks!$B$107:$BO$144,9,FALSE)-VLOOKUP(B150,[1]weeks!$B$156:$BO$193,9,FALSE)</f>
        <v>0</v>
      </c>
      <c r="L150" s="163">
        <f>VLOOKUP(B150,[1]weeks!$B$55:$BO$94,9,FALSE)-VLOOKUP(B150,[1]weeks!$B$107:$BO$144,9,FALSE)</f>
        <v>0</v>
      </c>
      <c r="M150" s="163">
        <f>VLOOKUP(B150,[1]weeks!$B$5:$BO$44,9,FALSE)-VLOOKUP(B150,[1]weeks!$B$55:$BO$94,9,FALSE)</f>
        <v>0</v>
      </c>
      <c r="N150" s="163" t="str">
        <f t="shared" si="64"/>
        <v>-</v>
      </c>
      <c r="O150" s="163">
        <f t="shared" si="65"/>
        <v>0</v>
      </c>
      <c r="P150" s="146" t="str">
        <f>IF(ISNUMBER(VLOOKUP(B150,[1]Closures!B:BI,9,FALSE)),TEXT(VLOOKUP(B150,[1]Closures!B:BI,9,FALSE),"ddmmm"),IF(C150&lt;=0,0,IF(I150&lt;=0,0,IF(AND(C150&gt;0,O150&lt;=0),"&gt;52",IF(I150/O150&gt;52,"&gt;52", MAX(0,I150/O150-2))))))</f>
        <v>01Jan</v>
      </c>
    </row>
    <row r="151" spans="1:16" s="130" customFormat="1" ht="10.7" customHeight="1" x14ac:dyDescent="0.2">
      <c r="A151" s="122"/>
      <c r="B151" s="174" t="s">
        <v>141</v>
      </c>
      <c r="C151" s="162">
        <f>'[2]IV&amp;VI Combined'!$H$39</f>
        <v>0</v>
      </c>
      <c r="D151" s="163">
        <f>F151-VLOOKUP(B151,[1]Quota!$B$103:$BJ$143,9,FALSE)</f>
        <v>0</v>
      </c>
      <c r="E151" s="163">
        <f t="shared" si="62"/>
        <v>0</v>
      </c>
      <c r="F151" s="164">
        <f>VLOOKUP(B151,[1]Quota!$B$81:$BJ$92,9,FALSE)</f>
        <v>0</v>
      </c>
      <c r="G151" s="163">
        <f>'[1]Cumulative '!J231</f>
        <v>0</v>
      </c>
      <c r="H151" s="165" t="str">
        <f>IF(AND(F151&lt;=0),"n/a",IF(F151=0,0,100*G151/F151))</f>
        <v>n/a</v>
      </c>
      <c r="I151" s="164">
        <f t="shared" si="68"/>
        <v>0</v>
      </c>
      <c r="J151" s="163">
        <f>VLOOKUP(B151,[1]weeks!$B$156:$BO$193,9,FALSE)-VLOOKUP(B151,[1]weeks!$B$206:$BO$243,9,FALSE)</f>
        <v>0</v>
      </c>
      <c r="K151" s="163">
        <f>VLOOKUP(B151,[1]weeks!$B$107:$BO$144,9,FALSE)-VLOOKUP(B151,[1]weeks!$B$156:$BO$193,9,FALSE)</f>
        <v>0</v>
      </c>
      <c r="L151" s="163">
        <f>VLOOKUP(B151,[1]weeks!$B$55:$BO$94,9,FALSE)-VLOOKUP(B151,[1]weeks!$B$107:$BO$144,9,FALSE)</f>
        <v>0</v>
      </c>
      <c r="M151" s="163">
        <f>VLOOKUP(B151,[1]weeks!$B$5:$BO$44,9,FALSE)-VLOOKUP(B151,[1]weeks!$B$55:$BO$94,9,FALSE)</f>
        <v>0</v>
      </c>
      <c r="N151" s="163" t="str">
        <f t="shared" si="64"/>
        <v>-</v>
      </c>
      <c r="O151" s="163">
        <f t="shared" si="65"/>
        <v>0</v>
      </c>
      <c r="P151" s="146" t="str">
        <f>IF(ISNUMBER(VLOOKUP(B151,[1]Closures!B:BI,9,FALSE)),TEXT(VLOOKUP(B151,[1]Closures!B:BI,9,FALSE),"ddmmm"),IF(C151&lt;=0,0,IF(I151&lt;=0,0,IF(AND(C151&gt;0,O151&lt;=0),"&gt;52",IF(I151/O151&gt;52,"&gt;52", MAX(0,I151/O151-2))))))</f>
        <v>01Jan</v>
      </c>
    </row>
    <row r="152" spans="1:16" s="130" customFormat="1" ht="10.7" customHeight="1" x14ac:dyDescent="0.2">
      <c r="A152" s="122"/>
      <c r="B152" s="174" t="s">
        <v>142</v>
      </c>
      <c r="C152" s="162"/>
      <c r="D152" s="163">
        <f>F152-VLOOKUP(B152,[1]Quota!$B$32:$BJ$43,9,FALSE)</f>
        <v>0</v>
      </c>
      <c r="E152" s="163"/>
      <c r="F152" s="164">
        <f>VLOOKUP(B152,[1]Quota!$B$81:$BJ$92,9,FALSE)</f>
        <v>0</v>
      </c>
      <c r="G152" s="163"/>
      <c r="H152" s="165" t="str">
        <f>IF(AND(F152&lt;=0),"n/a",IF(F152=0,0,100*G152/F152))</f>
        <v>n/a</v>
      </c>
      <c r="I152" s="164">
        <f>F152-G152</f>
        <v>0</v>
      </c>
      <c r="J152" s="163"/>
      <c r="K152" s="163"/>
      <c r="L152" s="163"/>
      <c r="M152" s="163"/>
      <c r="N152" s="163"/>
      <c r="O152" s="163"/>
      <c r="P152" s="146"/>
    </row>
    <row r="153" spans="1:16" s="130" customFormat="1" ht="10.7" customHeight="1" x14ac:dyDescent="0.2">
      <c r="A153" s="122"/>
      <c r="B153" s="168" t="s">
        <v>143</v>
      </c>
      <c r="C153" s="162">
        <f>SUM(C148:C152)</f>
        <v>0.6</v>
      </c>
      <c r="D153" s="163">
        <f>SUM(D148:D152)</f>
        <v>0</v>
      </c>
      <c r="E153" s="163">
        <f t="shared" si="62"/>
        <v>1</v>
      </c>
      <c r="F153" s="164">
        <f>SUM(F148:F152)</f>
        <v>1.6</v>
      </c>
      <c r="G153" s="163">
        <f>SUM(G148:G152)</f>
        <v>6.3E-3</v>
      </c>
      <c r="H153" s="165">
        <f t="shared" si="61"/>
        <v>0.39374999999999999</v>
      </c>
      <c r="I153" s="164">
        <f t="shared" si="68"/>
        <v>1.5937000000000001</v>
      </c>
      <c r="J153" s="163">
        <f t="shared" ref="J153:L153" si="69">SUM(J148:J151)</f>
        <v>0</v>
      </c>
      <c r="K153" s="163">
        <f t="shared" si="69"/>
        <v>0</v>
      </c>
      <c r="L153" s="163">
        <f t="shared" si="69"/>
        <v>1.7000000000000001E-3</v>
      </c>
      <c r="M153" s="163">
        <f>SUM(M148:M151)</f>
        <v>0</v>
      </c>
      <c r="N153" s="163">
        <f t="shared" si="64"/>
        <v>0</v>
      </c>
      <c r="O153" s="163">
        <f>SUM(J153:M153)/4</f>
        <v>4.2500000000000003E-4</v>
      </c>
      <c r="P153" s="146" t="str">
        <f>IF(ISNUMBER(VLOOKUP(B153,[1]Closures!B:BI,9,FALSE)),TEXT(VLOOKUP(B153,[1]Closures!B:BI,9,FALSE),"ddmmm"),IF(C153&lt;=0,0,IF(I153&lt;=0,0,IF(AND(C153&gt;0,O153&lt;=0),"&gt;52",IF(I153/O153&gt;52,"&gt;52", MAX(0,I153/O153-2))))))</f>
        <v>&gt;52</v>
      </c>
    </row>
    <row r="154" spans="1:16" s="130" customFormat="1" ht="10.7" customHeight="1" x14ac:dyDescent="0.2">
      <c r="A154" s="122"/>
      <c r="B154" s="168"/>
      <c r="C154" s="162"/>
      <c r="D154" s="163"/>
      <c r="E154" s="163"/>
      <c r="F154" s="164"/>
      <c r="G154" s="163"/>
      <c r="H154" s="165"/>
      <c r="I154" s="164"/>
      <c r="J154" s="163"/>
      <c r="K154" s="163"/>
      <c r="L154" s="163"/>
      <c r="M154" s="163"/>
      <c r="N154" s="163"/>
      <c r="O154" s="163"/>
      <c r="P154" s="146"/>
    </row>
    <row r="155" spans="1:16" s="130" customFormat="1" ht="10.7" customHeight="1" x14ac:dyDescent="0.2">
      <c r="A155" s="122"/>
      <c r="B155" s="175" t="s">
        <v>112</v>
      </c>
      <c r="C155" s="176">
        <f>C153+C146</f>
        <v>0.6</v>
      </c>
      <c r="D155" s="180">
        <f>D153+D146</f>
        <v>0</v>
      </c>
      <c r="E155" s="180">
        <f t="shared" si="62"/>
        <v>1</v>
      </c>
      <c r="F155" s="189">
        <f>F153+F146</f>
        <v>1.6</v>
      </c>
      <c r="G155" s="180">
        <f>G153+G146</f>
        <v>1.8200000000000001E-2</v>
      </c>
      <c r="H155" s="179">
        <f t="shared" si="61"/>
        <v>1.1375</v>
      </c>
      <c r="I155" s="218">
        <f t="shared" si="68"/>
        <v>1.5818000000000001</v>
      </c>
      <c r="J155" s="180">
        <f t="shared" ref="J155:L155" si="70">J146+J153</f>
        <v>0</v>
      </c>
      <c r="K155" s="180">
        <f t="shared" si="70"/>
        <v>0</v>
      </c>
      <c r="L155" s="180">
        <f t="shared" si="70"/>
        <v>1.7000000000000001E-3</v>
      </c>
      <c r="M155" s="180">
        <f>M146+M153</f>
        <v>0</v>
      </c>
      <c r="N155" s="180">
        <f t="shared" si="64"/>
        <v>0</v>
      </c>
      <c r="O155" s="180">
        <f>SUM(J155:M155)/4</f>
        <v>4.2500000000000003E-4</v>
      </c>
      <c r="P155" s="153" t="str">
        <f>IF(ISNUMBER(VLOOKUP(B155,[1]Closures!B:BI,9,FALSE)),TEXT(VLOOKUP(B155,[1]Closures!B:BI,9,FALSE),"ddmmm"),IF(C155&lt;=0,0,IF(I155&lt;=0,0,IF(AND(C155&gt;0,O155&lt;=0),"&gt;52",IF(I155/O155&gt;52,"&gt;52", MAX(0,I155/O155-2))))))</f>
        <v>&gt;52</v>
      </c>
    </row>
    <row r="156" spans="1:16" s="130" customFormat="1" ht="10.7" customHeight="1" x14ac:dyDescent="0.2">
      <c r="A156" s="122"/>
      <c r="B156" s="181"/>
      <c r="C156" s="181"/>
      <c r="D156" s="163"/>
      <c r="E156" s="163"/>
      <c r="F156" s="164"/>
      <c r="G156" s="163"/>
      <c r="H156" s="2"/>
      <c r="I156" s="164"/>
      <c r="J156" s="163"/>
      <c r="K156" s="163"/>
      <c r="L156" s="163"/>
      <c r="M156" s="163"/>
      <c r="N156" s="163"/>
      <c r="O156" s="163"/>
      <c r="P156" s="182"/>
    </row>
    <row r="157" spans="1:16" s="130" customFormat="1" ht="10.7" customHeight="1" x14ac:dyDescent="0.2">
      <c r="A157" s="122"/>
      <c r="B157" s="181"/>
      <c r="C157" s="181"/>
      <c r="D157" s="183"/>
      <c r="E157" s="183"/>
      <c r="F157" s="184"/>
      <c r="G157" s="183"/>
      <c r="H157" s="163"/>
      <c r="I157" s="184"/>
      <c r="J157" s="185"/>
      <c r="K157" s="185"/>
      <c r="L157" s="185"/>
      <c r="M157" s="185"/>
      <c r="N157" s="173"/>
      <c r="O157" s="183"/>
      <c r="P157" s="182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tr">
        <f>C5</f>
        <v>Initial Quota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f>[1]weeks!$B$154</f>
        <v>43166</v>
      </c>
      <c r="K160" s="151">
        <f>[1]weeks!$B$105</f>
        <v>43173</v>
      </c>
      <c r="L160" s="151">
        <f>[1]weeks!$B$55</f>
        <v>43180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6"/>
      <c r="C162" s="193" t="s">
        <v>173</v>
      </c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4"/>
      <c r="P162" s="145"/>
    </row>
    <row r="163" spans="1:16" s="130" customFormat="1" ht="10.7" customHeight="1" x14ac:dyDescent="0.2">
      <c r="A163" s="122"/>
      <c r="B163" s="161" t="s">
        <v>132</v>
      </c>
      <c r="C163" s="162">
        <f>'[2]IV&amp;VI Combined'!$I$29</f>
        <v>19.600000000000001</v>
      </c>
      <c r="D163" s="163">
        <f>F163-VLOOKUP(B163,[1]Quota!$B$103:$BJ$143,10,FALSE)</f>
        <v>0</v>
      </c>
      <c r="E163" s="163">
        <f>F163-C163</f>
        <v>0</v>
      </c>
      <c r="F163" s="164">
        <f>VLOOKUP(B163,[1]Quota!$B$81:$BJ$93,10,FALSE)</f>
        <v>19.600000000000001</v>
      </c>
      <c r="G163" s="163">
        <f>'[1]Cumulative '!K221-G167</f>
        <v>8.6661999999999999</v>
      </c>
      <c r="H163" s="165">
        <f t="shared" ref="H163:H177" si="71">IF(AND(F163&lt;=0),"n/a",IF(F163=0,0,100*G163/F163))</f>
        <v>44.215306122448979</v>
      </c>
      <c r="I163" s="164">
        <f>F163-G163</f>
        <v>10.933800000000002</v>
      </c>
      <c r="J163" s="163">
        <f>VLOOKUP(B163,[1]weeks!$B$156:$BO$193,10,FALSE)-VLOOKUP(B163,[1]weeks!$B$206:$BO$243,10,FALSE)</f>
        <v>0.44240000000000013</v>
      </c>
      <c r="K163" s="163">
        <f>VLOOKUP(B163,[1]weeks!$B$107:$BO$144,10,FALSE)-VLOOKUP(B163,[1]weeks!$B$156:$BO$193,10,FALSE)</f>
        <v>1.1483999999999996</v>
      </c>
      <c r="L163" s="163">
        <f>VLOOKUP(B163,[1]weeks!$B$55:$BO$94,10,FALSE)-VLOOKUP(B163,[1]weeks!$B$107:$BO$144,10,FALSE)</f>
        <v>0.54020000000000046</v>
      </c>
      <c r="M163" s="163">
        <f>VLOOKUP(B163,[1]weeks!$B$5:$BO$44,10,FALSE)-VLOOKUP(B163,[1]weeks!$B$55:$BO$94,10,FALSE)</f>
        <v>0.96619999999999973</v>
      </c>
      <c r="N163" s="163">
        <f>IF(F163&gt;0,M163/F163*100,"-")</f>
        <v>4.9295918367346916</v>
      </c>
      <c r="O163" s="163">
        <f>SUM(J163:M163)/4</f>
        <v>0.77429999999999999</v>
      </c>
      <c r="P163" s="146">
        <f>IF(ISNUMBER(VLOOKUP(B163,[1]Closures!B:BI,10,FALSE)),TEXT(VLOOKUP(B163,[1]Closures!B:BI,10,FALSE),"ddmmm"),IF(C163&lt;=0,0,IF(I163&lt;=0,0,IF(AND(C163&gt;0,O163&lt;=0),"&gt;52",IF(I163/O163&gt;52,"&gt;52", MAX(0,I163/O163-2))))))</f>
        <v>12.120883378535453</v>
      </c>
    </row>
    <row r="164" spans="1:16" s="130" customFormat="1" ht="10.7" customHeight="1" x14ac:dyDescent="0.2">
      <c r="A164" s="122"/>
      <c r="B164" s="161" t="s">
        <v>133</v>
      </c>
      <c r="C164" s="162">
        <f>'[2]IV&amp;VI Combined'!$I$30</f>
        <v>0.9</v>
      </c>
      <c r="D164" s="163">
        <f>F164-VLOOKUP(B164,[1]Quota!$B$103:$BJ$143,10,FALSE)</f>
        <v>0</v>
      </c>
      <c r="E164" s="163">
        <f t="shared" ref="E164:E177" si="72">F164-C164</f>
        <v>-0.9</v>
      </c>
      <c r="F164" s="164">
        <f>VLOOKUP(B164,[1]Quota!$B$81:$BJ$93,10,FALSE)</f>
        <v>0</v>
      </c>
      <c r="G164" s="163">
        <f>'[1]Cumulative '!K222</f>
        <v>0</v>
      </c>
      <c r="H164" s="165" t="str">
        <f t="shared" si="71"/>
        <v>n/a</v>
      </c>
      <c r="I164" s="164">
        <f t="shared" ref="I164:I167" si="73">F164-G164</f>
        <v>0</v>
      </c>
      <c r="J164" s="163">
        <f>VLOOKUP(B164,[1]weeks!$B$156:$BO$193,10,FALSE)-VLOOKUP(B164,[1]weeks!$B$206:$BO$243,10,FALSE)</f>
        <v>0</v>
      </c>
      <c r="K164" s="163">
        <f>VLOOKUP(B164,[1]weeks!$B$107:$BO$144,10,FALSE)-VLOOKUP(B164,[1]weeks!$B$156:$BO$193,10,FALSE)</f>
        <v>0</v>
      </c>
      <c r="L164" s="163">
        <f>VLOOKUP(B164,[1]weeks!$B$55:$BO$94,10,FALSE)-VLOOKUP(B164,[1]weeks!$B$107:$BO$144,10,FALSE)</f>
        <v>0</v>
      </c>
      <c r="M164" s="163">
        <f>VLOOKUP(B164,[1]weeks!$B$5:$BO$44,10,FALSE)-VLOOKUP(B164,[1]weeks!$B$55:$BO$94,10,FALSE)</f>
        <v>0</v>
      </c>
      <c r="N164" s="163" t="str">
        <f t="shared" ref="N164:N177" si="74">IF(F164&gt;0,M164/F164*100,"-")</f>
        <v>-</v>
      </c>
      <c r="O164" s="163">
        <f t="shared" ref="O164:O173" si="75">SUM(J164:M164)/4</f>
        <v>0</v>
      </c>
      <c r="P164" s="146">
        <f>IF(ISNUMBER(VLOOKUP(B164,[1]Closures!B:BI,10,FALSE)),TEXT(VLOOKUP(B164,[1]Closures!B:BI,10,FALSE),"ddmmm"),IF(C164&lt;=0,0,IF(I164&lt;=0,0,IF(AND(C164&gt;0,O164&lt;=0),"&gt;52",IF(I164/O164&gt;52,"&gt;52", MAX(0,I164/O164-2))))))</f>
        <v>0</v>
      </c>
    </row>
    <row r="165" spans="1:16" s="130" customFormat="1" ht="10.7" customHeight="1" x14ac:dyDescent="0.2">
      <c r="A165" s="122"/>
      <c r="B165" s="161" t="s">
        <v>134</v>
      </c>
      <c r="C165" s="162">
        <f>'[2]IV&amp;VI Combined'!$I$31</f>
        <v>151.5</v>
      </c>
      <c r="D165" s="163">
        <f>F165-VLOOKUP(B165,[1]Quota!$B$103:$BJ$143,10,FALSE)</f>
        <v>0</v>
      </c>
      <c r="E165" s="163">
        <f t="shared" si="72"/>
        <v>0</v>
      </c>
      <c r="F165" s="164">
        <f>VLOOKUP(B165,[1]Quota!$B$81:$BJ$93,10,FALSE)</f>
        <v>151.5</v>
      </c>
      <c r="G165" s="163">
        <f>'[1]Cumulative '!K223</f>
        <v>37.874000000000002</v>
      </c>
      <c r="H165" s="165">
        <f t="shared" si="71"/>
        <v>24.999339933993401</v>
      </c>
      <c r="I165" s="164">
        <f t="shared" si="73"/>
        <v>113.626</v>
      </c>
      <c r="J165" s="163">
        <f>VLOOKUP(B165,[1]weeks!$B$156:$BO$193,10,FALSE)-VLOOKUP(B165,[1]weeks!$B$206:$BO$243,10,FALSE)</f>
        <v>3.7160000000000011</v>
      </c>
      <c r="K165" s="163">
        <f>VLOOKUP(B165,[1]weeks!$B$107:$BO$144,10,FALSE)-VLOOKUP(B165,[1]weeks!$B$156:$BO$193,10,FALSE)</f>
        <v>3.7609999999999957</v>
      </c>
      <c r="L165" s="163">
        <f>VLOOKUP(B165,[1]weeks!$B$55:$BO$94,10,FALSE)-VLOOKUP(B165,[1]weeks!$B$107:$BO$144,10,FALSE)</f>
        <v>1.4500000000000028</v>
      </c>
      <c r="M165" s="163">
        <f>VLOOKUP(B165,[1]weeks!$B$5:$BO$44,10,FALSE)-VLOOKUP(B165,[1]weeks!$B$55:$BO$94,10,FALSE)</f>
        <v>3.6910000000000025</v>
      </c>
      <c r="N165" s="163">
        <f t="shared" si="74"/>
        <v>2.4363036303630379</v>
      </c>
      <c r="O165" s="163">
        <f t="shared" si="75"/>
        <v>3.1545000000000005</v>
      </c>
      <c r="P165" s="146">
        <f>IF(ISNUMBER(VLOOKUP(B165,[1]Closures!B:BI,10,FALSE)),TEXT(VLOOKUP(B165,[1]Closures!B:BI,10,FALSE),"ddmmm"),IF(C165&lt;=0,0,IF(I165&lt;=0,0,IF(AND(C165&gt;0,O165&lt;=0),"&gt;52",IF(I165/O165&gt;52,"&gt;52", MAX(0,I165/O165-2))))))</f>
        <v>34.0202884767792</v>
      </c>
    </row>
    <row r="166" spans="1:16" s="130" customFormat="1" ht="10.7" customHeight="1" x14ac:dyDescent="0.2">
      <c r="A166" s="122"/>
      <c r="B166" s="161" t="s">
        <v>135</v>
      </c>
      <c r="C166" s="162">
        <f>'[2]IV&amp;VI Combined'!$I$32</f>
        <v>0</v>
      </c>
      <c r="D166" s="163">
        <f>F166-VLOOKUP(B166,[1]Quota!$B$103:$BJ$143,10,FALSE)</f>
        <v>0</v>
      </c>
      <c r="E166" s="163">
        <f t="shared" si="72"/>
        <v>0</v>
      </c>
      <c r="F166" s="164">
        <f>VLOOKUP(B166,[1]Quota!$B$81:$BJ$93,10,FALSE)</f>
        <v>0</v>
      </c>
      <c r="G166" s="163">
        <f>'[1]Cumulative '!K224</f>
        <v>0</v>
      </c>
      <c r="H166" s="165" t="str">
        <f t="shared" si="71"/>
        <v>n/a</v>
      </c>
      <c r="I166" s="164">
        <f t="shared" si="73"/>
        <v>0</v>
      </c>
      <c r="J166" s="163">
        <f>VLOOKUP(B166,[1]weeks!$B$156:$BO$193,10,FALSE)-VLOOKUP(B166,[1]weeks!$B$206:$BO$243,10,FALSE)</f>
        <v>0</v>
      </c>
      <c r="K166" s="163">
        <f>VLOOKUP(B166,[1]weeks!$B$107:$BO$144,10,FALSE)-VLOOKUP(B166,[1]weeks!$B$156:$BO$193,10,FALSE)</f>
        <v>0</v>
      </c>
      <c r="L166" s="163">
        <f>VLOOKUP(B166,[1]weeks!$B$55:$BO$94,10,FALSE)-VLOOKUP(B166,[1]weeks!$B$107:$BO$144,10,FALSE)</f>
        <v>0</v>
      </c>
      <c r="M166" s="163">
        <f>VLOOKUP(B166,[1]weeks!$B$5:$BO$44,10,FALSE)-VLOOKUP(B166,[1]weeks!$B$55:$BO$94,10,FALSE)</f>
        <v>0</v>
      </c>
      <c r="N166" s="163" t="str">
        <f t="shared" si="74"/>
        <v>-</v>
      </c>
      <c r="O166" s="163">
        <f t="shared" si="75"/>
        <v>0</v>
      </c>
      <c r="P166" s="146">
        <f>IF(ISNUMBER(VLOOKUP(B166,[1]Closures!B:BI,10,FALSE)),TEXT(VLOOKUP(B166,[1]Closures!B:BI,10,FALSE),"ddmmm"),IF(C166&lt;=0,0,IF(I166&lt;=0,0,IF(AND(C166&gt;0,O166&lt;=0),"&gt;52",IF(I166/O166&gt;52,"&gt;52", MAX(0,I166/O166-2))))))</f>
        <v>0</v>
      </c>
    </row>
    <row r="167" spans="1:16" s="130" customFormat="1" ht="10.7" customHeight="1" x14ac:dyDescent="0.2">
      <c r="A167" s="122"/>
      <c r="B167" s="161" t="s">
        <v>136</v>
      </c>
      <c r="C167" s="162"/>
      <c r="D167" s="163">
        <f>F167-VLOOKUP(B167,[1]Quota!$B$32:$BJ$43,10,FALSE)</f>
        <v>0</v>
      </c>
      <c r="E167" s="163"/>
      <c r="F167" s="164">
        <f>VLOOKUP(B167,[1]Quota!$B$81:$BJ$93,10,FALSE)</f>
        <v>0</v>
      </c>
      <c r="G167" s="163"/>
      <c r="H167" s="165" t="str">
        <f t="shared" si="71"/>
        <v>n/a</v>
      </c>
      <c r="I167" s="164">
        <f t="shared" si="73"/>
        <v>0</v>
      </c>
      <c r="J167" s="163"/>
      <c r="K167" s="163"/>
      <c r="L167" s="163"/>
      <c r="M167" s="163"/>
      <c r="N167" s="163"/>
      <c r="O167" s="163"/>
      <c r="P167" s="146"/>
    </row>
    <row r="168" spans="1:16" s="130" customFormat="1" ht="10.7" customHeight="1" x14ac:dyDescent="0.2">
      <c r="A168" s="122"/>
      <c r="B168" s="168" t="s">
        <v>137</v>
      </c>
      <c r="C168" s="162">
        <f>SUM(C163:C166)</f>
        <v>172</v>
      </c>
      <c r="D168" s="163">
        <f>SUM(D163:D167)</f>
        <v>0</v>
      </c>
      <c r="E168" s="163">
        <f t="shared" si="72"/>
        <v>-0.90000000000000568</v>
      </c>
      <c r="F168" s="217">
        <f>SUM(F163:F167)</f>
        <v>171.1</v>
      </c>
      <c r="G168" s="163">
        <f>SUM(G163:G167)</f>
        <v>46.540199999999999</v>
      </c>
      <c r="H168" s="165">
        <f t="shared" si="71"/>
        <v>27.200584453535942</v>
      </c>
      <c r="I168" s="217">
        <f>F168-G168</f>
        <v>124.5598</v>
      </c>
      <c r="J168" s="163">
        <f t="shared" ref="J168:L168" si="76">SUM(J163:J166)</f>
        <v>4.1584000000000012</v>
      </c>
      <c r="K168" s="163">
        <f t="shared" si="76"/>
        <v>4.9093999999999953</v>
      </c>
      <c r="L168" s="163">
        <f t="shared" si="76"/>
        <v>1.9902000000000033</v>
      </c>
      <c r="M168" s="163">
        <f>SUM(M163:M166)</f>
        <v>4.6572000000000022</v>
      </c>
      <c r="N168" s="163">
        <f t="shared" si="74"/>
        <v>2.7219170075978973</v>
      </c>
      <c r="O168" s="163">
        <f t="shared" si="75"/>
        <v>3.9288000000000007</v>
      </c>
      <c r="P168" s="146">
        <f>IF(ISNUMBER(VLOOKUP(B168,[1]Closures!B:BI,10,FALSE)),TEXT(VLOOKUP(B168,[1]Closures!B:BI,10,FALSE),"ddmmm"),IF(C168&lt;=0,0,IF(I168&lt;=0,0,IF(AND(C168&gt;0,O168&lt;=0),"&gt;52",IF(I168/O168&gt;52,"&gt;52", MAX(0,I168/O168-2))))))</f>
        <v>29.704286296070041</v>
      </c>
    </row>
    <row r="169" spans="1:16" s="130" customFormat="1" ht="10.7" customHeight="1" x14ac:dyDescent="0.2">
      <c r="A169" s="122"/>
      <c r="B169" s="168"/>
      <c r="C169" s="162"/>
      <c r="D169" s="163"/>
      <c r="E169" s="163"/>
      <c r="F169" s="164"/>
      <c r="G169" s="163"/>
      <c r="H169" s="165"/>
      <c r="I169" s="164"/>
      <c r="J169" s="163"/>
      <c r="K169" s="163"/>
      <c r="L169" s="163"/>
      <c r="M169" s="163"/>
      <c r="N169" s="163" t="str">
        <f t="shared" si="74"/>
        <v>-</v>
      </c>
      <c r="O169" s="163"/>
      <c r="P169" s="146"/>
    </row>
    <row r="170" spans="1:16" s="130" customFormat="1" ht="10.7" customHeight="1" x14ac:dyDescent="0.2">
      <c r="A170" s="122"/>
      <c r="B170" s="174" t="s">
        <v>138</v>
      </c>
      <c r="C170" s="162">
        <f>'[2]IV&amp;VI Combined'!$I$36</f>
        <v>584.1</v>
      </c>
      <c r="D170" s="163">
        <f>F170-VLOOKUP(B170,[1]Quota!$B$103:$BJ$143,10,FALSE)</f>
        <v>0</v>
      </c>
      <c r="E170" s="163">
        <f t="shared" si="72"/>
        <v>5</v>
      </c>
      <c r="F170" s="164">
        <f>VLOOKUP(B170,[1]Quota!$B$81:$BJ$93,10,FALSE)</f>
        <v>589.1</v>
      </c>
      <c r="G170" s="163">
        <f>'[1]Cumulative '!K228-G174</f>
        <v>71.308199999999999</v>
      </c>
      <c r="H170" s="165">
        <f t="shared" si="71"/>
        <v>12.104600237650653</v>
      </c>
      <c r="I170" s="164">
        <f t="shared" ref="I170:I177" si="77">F170-G170</f>
        <v>517.79179999999997</v>
      </c>
      <c r="J170" s="163">
        <f>VLOOKUP(B170,[1]weeks!$B$156:$BO$193,10,FALSE)-VLOOKUP(B170,[1]weeks!$B$206:$BO$243,10,FALSE)</f>
        <v>3.6602999999999994</v>
      </c>
      <c r="K170" s="163">
        <f>VLOOKUP(B170,[1]weeks!$B$107:$BO$144,10,FALSE)-VLOOKUP(B170,[1]weeks!$B$156:$BO$193,10,FALSE)</f>
        <v>0</v>
      </c>
      <c r="L170" s="163">
        <f>VLOOKUP(B170,[1]weeks!$B$55:$BO$94,10,FALSE)-VLOOKUP(B170,[1]weeks!$B$107:$BO$144,10,FALSE)</f>
        <v>22.187899999999999</v>
      </c>
      <c r="M170" s="163">
        <f>VLOOKUP(B170,[1]weeks!$B$5:$BO$44,10,FALSE)-VLOOKUP(B170,[1]weeks!$B$55:$BO$94,10,FALSE)</f>
        <v>0.35790000000000077</v>
      </c>
      <c r="N170" s="163">
        <f t="shared" si="74"/>
        <v>6.0753692072653333E-2</v>
      </c>
      <c r="O170" s="163">
        <f t="shared" si="75"/>
        <v>6.5515249999999998</v>
      </c>
      <c r="P170" s="146" t="str">
        <f>IF(ISNUMBER(VLOOKUP(B170,[1]Closures!B:BI,10,FALSE)),TEXT(VLOOKUP(B170,[1]Closures!B:BI,10,FALSE),"ddmmm"),IF(C170&lt;=0,0,IF(I170&lt;=0,0,IF(AND(C170&gt;0,O170&lt;=0),"&gt;52",IF(I170/O170&gt;52,"&gt;52", MAX(0,I170/O170-2))))))</f>
        <v>&gt;52</v>
      </c>
    </row>
    <row r="171" spans="1:16" s="130" customFormat="1" ht="10.7" customHeight="1" x14ac:dyDescent="0.2">
      <c r="A171" s="122"/>
      <c r="B171" s="174" t="s">
        <v>139</v>
      </c>
      <c r="C171" s="162">
        <f>'[2]IV&amp;VI Combined'!$I$37</f>
        <v>4.0999999999999996</v>
      </c>
      <c r="D171" s="163">
        <f>F171-VLOOKUP(B171,[1]Quota!$B$103:$BJ$143,10,FALSE)</f>
        <v>0</v>
      </c>
      <c r="E171" s="163">
        <f t="shared" si="72"/>
        <v>-4.0999999999999996</v>
      </c>
      <c r="F171" s="164">
        <f>VLOOKUP(B171,[1]Quota!$B$81:$BJ$93,10,FALSE)</f>
        <v>0</v>
      </c>
      <c r="G171" s="163">
        <f>'[1]Cumulative '!K229</f>
        <v>0</v>
      </c>
      <c r="H171" s="165" t="str">
        <f t="shared" si="71"/>
        <v>n/a</v>
      </c>
      <c r="I171" s="164">
        <f t="shared" si="77"/>
        <v>0</v>
      </c>
      <c r="J171" s="163">
        <f>VLOOKUP(B171,[1]weeks!$B$156:$BO$193,10,FALSE)-VLOOKUP(B171,[1]weeks!$B$206:$BO$243,10,FALSE)</f>
        <v>0</v>
      </c>
      <c r="K171" s="163">
        <f>VLOOKUP(B171,[1]weeks!$B$107:$BO$144,10,FALSE)-VLOOKUP(B171,[1]weeks!$B$156:$BO$193,10,FALSE)</f>
        <v>0</v>
      </c>
      <c r="L171" s="163">
        <f>VLOOKUP(B171,[1]weeks!$B$55:$BO$94,10,FALSE)-VLOOKUP(B171,[1]weeks!$B$107:$BO$144,10,FALSE)</f>
        <v>0</v>
      </c>
      <c r="M171" s="163">
        <f>VLOOKUP(B171,[1]weeks!$B$5:$BO$44,10,FALSE)-VLOOKUP(B171,[1]weeks!$B$55:$BO$94,10,FALSE)</f>
        <v>0</v>
      </c>
      <c r="N171" s="163" t="str">
        <f t="shared" si="74"/>
        <v>-</v>
      </c>
      <c r="O171" s="163">
        <f t="shared" si="75"/>
        <v>0</v>
      </c>
      <c r="P171" s="146">
        <f>IF(ISNUMBER(VLOOKUP(B171,[1]Closures!B:BI,10,FALSE)),TEXT(VLOOKUP(B171,[1]Closures!B:BI,10,FALSE),"ddmmm"),IF(C171&lt;=0,0,IF(I171&lt;=0,0,IF(AND(C171&gt;0,O171&lt;=0),"&gt;52",IF(I171/O171&gt;52,"&gt;52", MAX(0,I171/O171-2))))))</f>
        <v>0</v>
      </c>
    </row>
    <row r="172" spans="1:16" s="130" customFormat="1" ht="10.7" customHeight="1" x14ac:dyDescent="0.2">
      <c r="A172" s="122"/>
      <c r="B172" s="174" t="s">
        <v>140</v>
      </c>
      <c r="C172" s="162">
        <f>'[2]IV&amp;VI Combined'!$I$38</f>
        <v>484.6</v>
      </c>
      <c r="D172" s="163">
        <f>F172-VLOOKUP(B172,[1]Quota!$B$103:$BJ$143,10,FALSE)</f>
        <v>0</v>
      </c>
      <c r="E172" s="163">
        <f t="shared" si="72"/>
        <v>0</v>
      </c>
      <c r="F172" s="164">
        <f>VLOOKUP(B172,[1]Quota!$B$81:$BJ$93,10,FALSE)</f>
        <v>484.6</v>
      </c>
      <c r="G172" s="163">
        <f>'[1]Cumulative '!K230</f>
        <v>37.040999999999997</v>
      </c>
      <c r="H172" s="165">
        <f t="shared" si="71"/>
        <v>7.643623607098637</v>
      </c>
      <c r="I172" s="164">
        <f t="shared" si="77"/>
        <v>447.55900000000003</v>
      </c>
      <c r="J172" s="163">
        <f>VLOOKUP(B172,[1]weeks!$B$156:$BO$193,10,FALSE)-VLOOKUP(B172,[1]weeks!$B$206:$BO$243,10,FALSE)</f>
        <v>0.70599999999999952</v>
      </c>
      <c r="K172" s="163">
        <f>VLOOKUP(B172,[1]weeks!$B$107:$BO$144,10,FALSE)-VLOOKUP(B172,[1]weeks!$B$156:$BO$193,10,FALSE)</f>
        <v>3.5150000000000006</v>
      </c>
      <c r="L172" s="163">
        <f>VLOOKUP(B172,[1]weeks!$B$55:$BO$94,10,FALSE)-VLOOKUP(B172,[1]weeks!$B$107:$BO$144,10,FALSE)</f>
        <v>7.8129999999999988</v>
      </c>
      <c r="M172" s="163">
        <f>VLOOKUP(B172,[1]weeks!$B$5:$BO$44,10,FALSE)-VLOOKUP(B172,[1]weeks!$B$55:$BO$94,10,FALSE)</f>
        <v>3.6259999999999977</v>
      </c>
      <c r="N172" s="163">
        <f t="shared" si="74"/>
        <v>0.74824597606273169</v>
      </c>
      <c r="O172" s="163">
        <f t="shared" si="75"/>
        <v>3.9149999999999991</v>
      </c>
      <c r="P172" s="146" t="str">
        <f>IF(ISNUMBER(VLOOKUP(B172,[1]Closures!B:BI,10,FALSE)),TEXT(VLOOKUP(B172,[1]Closures!B:BI,10,FALSE),"ddmmm"),IF(C172&lt;=0,0,IF(I172&lt;=0,0,IF(AND(C172&gt;0,O172&lt;=0),"&gt;52",IF(I172/O172&gt;52,"&gt;52", MAX(0,I172/O172-2))))))</f>
        <v>&gt;52</v>
      </c>
    </row>
    <row r="173" spans="1:16" s="130" customFormat="1" ht="10.7" customHeight="1" x14ac:dyDescent="0.2">
      <c r="A173" s="122"/>
      <c r="B173" s="174" t="s">
        <v>141</v>
      </c>
      <c r="C173" s="162">
        <f>'[2]IV&amp;VI Combined'!$I$39</f>
        <v>0.1</v>
      </c>
      <c r="D173" s="163">
        <f>F173-VLOOKUP(B173,[1]Quota!$B$103:$BJ$143,10,FALSE)</f>
        <v>0</v>
      </c>
      <c r="E173" s="163">
        <f t="shared" si="72"/>
        <v>0</v>
      </c>
      <c r="F173" s="164">
        <f>VLOOKUP(B173,[1]Quota!$B$81:$BJ$93,10,FALSE)</f>
        <v>0.1</v>
      </c>
      <c r="G173" s="163">
        <f>'[1]Cumulative '!K231</f>
        <v>0</v>
      </c>
      <c r="H173" s="165">
        <f>IF(AND(F173&lt;=0),"n/a",IF(F173=0,0,100*G173/F173))</f>
        <v>0</v>
      </c>
      <c r="I173" s="164">
        <f t="shared" si="77"/>
        <v>0.1</v>
      </c>
      <c r="J173" s="163">
        <f>VLOOKUP(B173,[1]weeks!$B$156:$BO$193,10,FALSE)-VLOOKUP(B173,[1]weeks!$B$206:$BO$243,10,FALSE)</f>
        <v>0</v>
      </c>
      <c r="K173" s="163">
        <f>VLOOKUP(B173,[1]weeks!$B$107:$BO$144,10,FALSE)-VLOOKUP(B173,[1]weeks!$B$156:$BO$193,10,FALSE)</f>
        <v>0</v>
      </c>
      <c r="L173" s="163">
        <f>VLOOKUP(B173,[1]weeks!$B$55:$BO$94,10,FALSE)-VLOOKUP(B173,[1]weeks!$B$107:$BO$144,10,FALSE)</f>
        <v>0</v>
      </c>
      <c r="M173" s="163">
        <f>VLOOKUP(B173,[1]weeks!$B$5:$BO$44,10,FALSE)-VLOOKUP(B173,[1]weeks!$B$55:$BO$94,10,FALSE)</f>
        <v>0</v>
      </c>
      <c r="N173" s="163">
        <f t="shared" si="74"/>
        <v>0</v>
      </c>
      <c r="O173" s="163">
        <f t="shared" si="75"/>
        <v>0</v>
      </c>
      <c r="P173" s="146" t="str">
        <f>IF(ISNUMBER(VLOOKUP(B173,[1]Closures!B:BI,10,FALSE)),TEXT(VLOOKUP(B173,[1]Closures!B:BI,10,FALSE),"ddmmm"),IF(C173&lt;=0,0,IF(I173&lt;=0,0,IF(AND(C173&gt;0,O173&lt;=0),"&gt;52",IF(I173/O173&gt;52,"&gt;52", MAX(0,I173/O173-2))))))</f>
        <v>&gt;52</v>
      </c>
    </row>
    <row r="174" spans="1:16" s="130" customFormat="1" ht="10.7" customHeight="1" x14ac:dyDescent="0.2">
      <c r="A174" s="122"/>
      <c r="B174" s="174" t="s">
        <v>142</v>
      </c>
      <c r="C174" s="162"/>
      <c r="D174" s="163">
        <f>F174-VLOOKUP(B174,[1]Quota!$B$32:$BJ$43,10,FALSE)</f>
        <v>0</v>
      </c>
      <c r="E174" s="163"/>
      <c r="F174" s="164">
        <f>VLOOKUP(B174,[1]Quota!$B$81:$BJ$93,10,FALSE)</f>
        <v>0</v>
      </c>
      <c r="G174" s="163"/>
      <c r="H174" s="165" t="str">
        <f>IF(AND(F174&lt;=0),"n/a",IF(F174=0,0,100*G174/F174))</f>
        <v>n/a</v>
      </c>
      <c r="I174" s="164">
        <f>F174-G174</f>
        <v>0</v>
      </c>
      <c r="J174" s="163"/>
      <c r="K174" s="163"/>
      <c r="L174" s="163"/>
      <c r="M174" s="163"/>
      <c r="N174" s="163"/>
      <c r="O174" s="163"/>
      <c r="P174" s="146"/>
    </row>
    <row r="175" spans="1:16" s="130" customFormat="1" ht="10.7" customHeight="1" x14ac:dyDescent="0.2">
      <c r="A175" s="122"/>
      <c r="B175" s="168" t="s">
        <v>143</v>
      </c>
      <c r="C175" s="162">
        <f>SUM(C170:C174)</f>
        <v>1072.9000000000001</v>
      </c>
      <c r="D175" s="163">
        <f>SUM(D170:D174)</f>
        <v>0</v>
      </c>
      <c r="E175" s="163">
        <f t="shared" si="72"/>
        <v>0.89999999999986358</v>
      </c>
      <c r="F175" s="164">
        <f>SUM(F170:F174)</f>
        <v>1073.8</v>
      </c>
      <c r="G175" s="163">
        <f>SUM(G170:G174)</f>
        <v>108.3492</v>
      </c>
      <c r="H175" s="165">
        <f t="shared" si="71"/>
        <v>10.090258893648725</v>
      </c>
      <c r="I175" s="164">
        <f t="shared" si="77"/>
        <v>965.45079999999996</v>
      </c>
      <c r="J175" s="163">
        <f t="shared" ref="J175:L175" si="78">SUM(J170:J173)</f>
        <v>4.366299999999999</v>
      </c>
      <c r="K175" s="163">
        <f t="shared" si="78"/>
        <v>3.5150000000000006</v>
      </c>
      <c r="L175" s="163">
        <f t="shared" si="78"/>
        <v>30.000899999999998</v>
      </c>
      <c r="M175" s="163">
        <f>SUM(M170:M173)</f>
        <v>3.9838999999999984</v>
      </c>
      <c r="N175" s="163">
        <f t="shared" si="74"/>
        <v>0.37100949897560054</v>
      </c>
      <c r="O175" s="163">
        <f>SUM(J175:M175)/4</f>
        <v>10.466524999999999</v>
      </c>
      <c r="P175" s="146" t="str">
        <f>IF(ISNUMBER(VLOOKUP(B175,[1]Closures!B:BI,10,FALSE)),TEXT(VLOOKUP(B175,[1]Closures!B:BI,10,FALSE),"ddmmm"),IF(C175&lt;=0,0,IF(I175&lt;=0,0,IF(AND(C175&gt;0,O175&lt;=0),"&gt;52",IF(I175/O175&gt;52,"&gt;52", MAX(0,I175/O175-2))))))</f>
        <v>&gt;52</v>
      </c>
    </row>
    <row r="176" spans="1:16" s="130" customFormat="1" ht="10.7" customHeight="1" x14ac:dyDescent="0.2">
      <c r="A176" s="122"/>
      <c r="B176" s="168"/>
      <c r="C176" s="162"/>
      <c r="D176" s="163"/>
      <c r="E176" s="163"/>
      <c r="F176" s="164"/>
      <c r="G176" s="163"/>
      <c r="H176" s="165"/>
      <c r="I176" s="164"/>
      <c r="J176" s="163"/>
      <c r="K176" s="163"/>
      <c r="L176" s="163"/>
      <c r="M176" s="163"/>
      <c r="N176" s="163"/>
      <c r="O176" s="163"/>
      <c r="P176" s="146"/>
    </row>
    <row r="177" spans="1:16" s="130" customFormat="1" ht="10.7" customHeight="1" x14ac:dyDescent="0.2">
      <c r="A177" s="122"/>
      <c r="B177" s="175" t="s">
        <v>112</v>
      </c>
      <c r="C177" s="176">
        <f>C175+C168</f>
        <v>1244.9000000000001</v>
      </c>
      <c r="D177" s="180">
        <f>D175+D168</f>
        <v>0</v>
      </c>
      <c r="E177" s="180">
        <f t="shared" si="72"/>
        <v>0</v>
      </c>
      <c r="F177" s="189">
        <f>F175+F168</f>
        <v>1244.8999999999999</v>
      </c>
      <c r="G177" s="180">
        <f>G175+G168</f>
        <v>154.88939999999999</v>
      </c>
      <c r="H177" s="179">
        <f t="shared" si="71"/>
        <v>12.441915013254077</v>
      </c>
      <c r="I177" s="218">
        <f t="shared" si="77"/>
        <v>1090.0105999999998</v>
      </c>
      <c r="J177" s="180">
        <f t="shared" ref="J177:L177" si="79">J168+J175</f>
        <v>8.5246999999999993</v>
      </c>
      <c r="K177" s="180">
        <f t="shared" si="79"/>
        <v>8.424399999999995</v>
      </c>
      <c r="L177" s="180">
        <f t="shared" si="79"/>
        <v>31.991100000000003</v>
      </c>
      <c r="M177" s="180">
        <f>M168+M175</f>
        <v>8.6411000000000016</v>
      </c>
      <c r="N177" s="180">
        <f t="shared" si="74"/>
        <v>0.69412000963932863</v>
      </c>
      <c r="O177" s="180">
        <f>SUM(J177:M177)/4</f>
        <v>14.395325</v>
      </c>
      <c r="P177" s="153" t="str">
        <f>IF(ISNUMBER(VLOOKUP(B177,[1]Closures!B:BI,10,FALSE)),TEXT(VLOOKUP(B177,[1]Closures!B:BI,10,FALSE),"ddmmm"),IF(C177&lt;=0,0,IF(I177&lt;=0,0,IF(AND(C177&gt;0,O177&lt;=0),"&gt;52",IF(I177/O177&gt;52,"&gt;52", MAX(0,I177/O177-2))))))</f>
        <v>&gt;52</v>
      </c>
    </row>
    <row r="178" spans="1:16" s="130" customFormat="1" ht="10.7" customHeight="1" x14ac:dyDescent="0.2">
      <c r="A178" s="122"/>
      <c r="B178" s="212"/>
      <c r="C178" s="173"/>
      <c r="D178" s="163"/>
      <c r="E178" s="163"/>
      <c r="F178" s="164"/>
      <c r="G178" s="163"/>
      <c r="H178" s="165"/>
      <c r="I178" s="164"/>
      <c r="J178" s="163"/>
      <c r="K178" s="163"/>
      <c r="L178" s="163"/>
      <c r="M178" s="163"/>
      <c r="N178" s="163"/>
      <c r="O178" s="163"/>
      <c r="P178" s="182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tr">
        <f>C5</f>
        <v>Initial Quota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f>[1]weeks!$B$154</f>
        <v>43166</v>
      </c>
      <c r="K182" s="151">
        <f>[1]weeks!$B$105</f>
        <v>43173</v>
      </c>
      <c r="L182" s="151">
        <f>[1]weeks!$B$55</f>
        <v>43180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6"/>
      <c r="C184" s="193" t="s">
        <v>115</v>
      </c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4"/>
      <c r="P184" s="145"/>
    </row>
    <row r="185" spans="1:16" s="130" customFormat="1" ht="10.7" customHeight="1" x14ac:dyDescent="0.2">
      <c r="A185" s="122"/>
      <c r="B185" s="161" t="s">
        <v>132</v>
      </c>
      <c r="C185" s="162">
        <f>'[2]IV&amp;VI Combined'!$J$29</f>
        <v>0</v>
      </c>
      <c r="D185" s="163">
        <f>F185-VLOOKUP(B185,[1]Quota!$B$32:$BJ$43,11,FALSE)</f>
        <v>0</v>
      </c>
      <c r="E185" s="163">
        <f>F185-C185</f>
        <v>0</v>
      </c>
      <c r="F185" s="164">
        <f>VLOOKUP(B185,[1]Quota!$B$81:$BJ$92,11,FALSE)</f>
        <v>0</v>
      </c>
      <c r="G185" s="163">
        <f>'[1]Cumulative '!L221</f>
        <v>0</v>
      </c>
      <c r="H185" s="165" t="str">
        <f t="shared" ref="H185:H199" si="80">IF(AND(F185&lt;=0),"n/a",IF(F185=0,0,100*G185/F185))</f>
        <v>n/a</v>
      </c>
      <c r="I185" s="164">
        <f>F185-G185</f>
        <v>0</v>
      </c>
      <c r="J185" s="163">
        <f>VLOOKUP(B185,[1]weeks!$B$156:$BO$193,11,FALSE)-VLOOKUP(B185,[1]weeks!$B$206:$BO$243,11,FALSE)</f>
        <v>0</v>
      </c>
      <c r="K185" s="163">
        <f>VLOOKUP(B185,[1]weeks!$B$107:$BO$144,11,FALSE)-VLOOKUP(B185,[1]weeks!$B$156:$BO$193,11,FALSE)</f>
        <v>0</v>
      </c>
      <c r="L185" s="163">
        <f>VLOOKUP(B185,[1]weeks!$B$55:$BO$94,11,FALSE)-VLOOKUP(B185,[1]weeks!$B$107:$BO$144,11,FALSE)</f>
        <v>0</v>
      </c>
      <c r="M185" s="163">
        <f>VLOOKUP(B185,[1]weeks!$B$5:$BO$44,11,FALSE)-VLOOKUP(B185,[1]weeks!$B$55:$BO$94,11,FALSE)</f>
        <v>0</v>
      </c>
      <c r="N185" s="163" t="str">
        <f>IF(F185&gt;0,M185/F185*100,"-")</f>
        <v>-</v>
      </c>
      <c r="O185" s="163">
        <f>SUM(J185:M185)/4</f>
        <v>0</v>
      </c>
      <c r="P185" s="146" t="str">
        <f>IF(ISNUMBER(VLOOKUP(B185,[1]Closures!B:BI,11,FALSE)),TEXT(VLOOKUP(B185,[1]Closures!B:BI,11,FALSE),"ddmmm"),IF(C185&lt;=0,0,IF(I185&lt;=0,0,IF(AND(C185&gt;0,O185&lt;=0),"&gt;52",IF(I185/O185&gt;52,"&gt;52", MAX(0,I185/O185-2))))))</f>
        <v>01Jan</v>
      </c>
    </row>
    <row r="186" spans="1:16" s="130" customFormat="1" ht="10.7" customHeight="1" x14ac:dyDescent="0.2">
      <c r="A186" s="122"/>
      <c r="B186" s="161" t="s">
        <v>133</v>
      </c>
      <c r="C186" s="162">
        <f>'[2]IV&amp;VI Combined'!$J$30</f>
        <v>0</v>
      </c>
      <c r="D186" s="163">
        <f>F186-VLOOKUP(B186,[1]Quota!$B$32:$BJ$43,11,FALSE)</f>
        <v>0</v>
      </c>
      <c r="E186" s="163">
        <f t="shared" ref="E186:E199" si="81">F186-C186</f>
        <v>0</v>
      </c>
      <c r="F186" s="164">
        <f>VLOOKUP(B186,[1]Quota!$B$81:$BJ$92,11,FALSE)</f>
        <v>0</v>
      </c>
      <c r="G186" s="163">
        <f>'[1]Cumulative '!L222</f>
        <v>0</v>
      </c>
      <c r="H186" s="165" t="str">
        <f t="shared" si="80"/>
        <v>n/a</v>
      </c>
      <c r="I186" s="164">
        <f t="shared" ref="I186:I189" si="82">F186-G186</f>
        <v>0</v>
      </c>
      <c r="J186" s="163">
        <f>VLOOKUP(B186,[1]weeks!$B$156:$BO$193,11,FALSE)-VLOOKUP(B186,[1]weeks!$B$206:$BO$243,11,FALSE)</f>
        <v>0</v>
      </c>
      <c r="K186" s="163">
        <f>VLOOKUP(B186,[1]weeks!$B$107:$BO$144,11,FALSE)-VLOOKUP(B186,[1]weeks!$B$156:$BO$193,11,FALSE)</f>
        <v>0</v>
      </c>
      <c r="L186" s="163">
        <f>VLOOKUP(B186,[1]weeks!$B$55:$BO$94,11,FALSE)-VLOOKUP(B186,[1]weeks!$B$107:$BO$144,11,FALSE)</f>
        <v>0</v>
      </c>
      <c r="M186" s="163">
        <f>VLOOKUP(B186,[1]weeks!$B$5:$BO$44,11,FALSE)-VLOOKUP(B186,[1]weeks!$B$55:$BO$94,11,FALSE)</f>
        <v>0</v>
      </c>
      <c r="N186" s="163" t="str">
        <f t="shared" ref="N186:N199" si="83">IF(F186&gt;0,M186/F186*100,"-")</f>
        <v>-</v>
      </c>
      <c r="O186" s="163">
        <f t="shared" ref="O186:O195" si="84">SUM(J186:M186)/4</f>
        <v>0</v>
      </c>
      <c r="P186" s="146" t="str">
        <f>IF(ISNUMBER(VLOOKUP(B186,[1]Closures!B:BI,11,FALSE)),TEXT(VLOOKUP(B186,[1]Closures!B:BI,11,FALSE),"ddmmm"),IF(C186&lt;=0,0,IF(I186&lt;=0,0,IF(AND(C186&gt;0,O186&lt;=0),"&gt;52",IF(I186/O186&gt;52,"&gt;52", MAX(0,I186/O186-2))))))</f>
        <v>01Jan</v>
      </c>
    </row>
    <row r="187" spans="1:16" s="130" customFormat="1" ht="10.7" customHeight="1" x14ac:dyDescent="0.2">
      <c r="A187" s="122"/>
      <c r="B187" s="161" t="s">
        <v>134</v>
      </c>
      <c r="C187" s="162">
        <f>'[2]IV&amp;VI Combined'!$J$31</f>
        <v>0</v>
      </c>
      <c r="D187" s="163">
        <f>F187-VLOOKUP(B187,[1]Quota!$B$32:$BJ$43,11,FALSE)</f>
        <v>0</v>
      </c>
      <c r="E187" s="163">
        <f t="shared" si="81"/>
        <v>0</v>
      </c>
      <c r="F187" s="164">
        <f>VLOOKUP(B187,[1]Quota!$B$81:$BJ$92,11,FALSE)</f>
        <v>0</v>
      </c>
      <c r="G187" s="163">
        <f>'[1]Cumulative '!L223</f>
        <v>0</v>
      </c>
      <c r="H187" s="165" t="str">
        <f t="shared" si="80"/>
        <v>n/a</v>
      </c>
      <c r="I187" s="164">
        <f t="shared" si="82"/>
        <v>0</v>
      </c>
      <c r="J187" s="163">
        <f>VLOOKUP(B187,[1]weeks!$B$156:$BO$193,11,FALSE)-VLOOKUP(B187,[1]weeks!$B$206:$BO$243,11,FALSE)</f>
        <v>0</v>
      </c>
      <c r="K187" s="163">
        <f>VLOOKUP(B187,[1]weeks!$B$107:$BO$144,11,FALSE)-VLOOKUP(B187,[1]weeks!$B$156:$BO$193,11,FALSE)</f>
        <v>0</v>
      </c>
      <c r="L187" s="163">
        <f>VLOOKUP(B187,[1]weeks!$B$55:$BO$94,11,FALSE)-VLOOKUP(B187,[1]weeks!$B$107:$BO$144,11,FALSE)</f>
        <v>0</v>
      </c>
      <c r="M187" s="163">
        <f>VLOOKUP(B187,[1]weeks!$B$5:$BO$44,11,FALSE)-VLOOKUP(B187,[1]weeks!$B$55:$BO$94,11,FALSE)</f>
        <v>0</v>
      </c>
      <c r="N187" s="163" t="str">
        <f t="shared" si="83"/>
        <v>-</v>
      </c>
      <c r="O187" s="163">
        <f t="shared" si="84"/>
        <v>0</v>
      </c>
      <c r="P187" s="146" t="str">
        <f>IF(ISNUMBER(VLOOKUP(B187,[1]Closures!B:BI,11,FALSE)),TEXT(VLOOKUP(B187,[1]Closures!B:BI,11,FALSE),"ddmmm"),IF(C187&lt;=0,0,IF(I187&lt;=0,0,IF(AND(C187&gt;0,O187&lt;=0),"&gt;52",IF(I187/O187&gt;52,"&gt;52", MAX(0,I187/O187-2))))))</f>
        <v>01Jan</v>
      </c>
    </row>
    <row r="188" spans="1:16" s="130" customFormat="1" ht="10.7" customHeight="1" x14ac:dyDescent="0.2">
      <c r="A188" s="122"/>
      <c r="B188" s="161" t="s">
        <v>135</v>
      </c>
      <c r="C188" s="162">
        <f>'[2]IV&amp;VI Combined'!$J$32</f>
        <v>0</v>
      </c>
      <c r="D188" s="163">
        <f>F188-VLOOKUP(B188,[1]Quota!$B$32:$BJ$43,11,FALSE)</f>
        <v>0</v>
      </c>
      <c r="E188" s="163">
        <f t="shared" si="81"/>
        <v>0</v>
      </c>
      <c r="F188" s="164">
        <f>VLOOKUP(B188,[1]Quota!$B$81:$BJ$92,11,FALSE)</f>
        <v>0</v>
      </c>
      <c r="G188" s="163">
        <f>'[1]Cumulative '!L224</f>
        <v>0</v>
      </c>
      <c r="H188" s="165" t="str">
        <f t="shared" si="80"/>
        <v>n/a</v>
      </c>
      <c r="I188" s="164">
        <f t="shared" si="82"/>
        <v>0</v>
      </c>
      <c r="J188" s="163">
        <f>VLOOKUP(B188,[1]weeks!$B$156:$BO$193,11,FALSE)-VLOOKUP(B188,[1]weeks!$B$206:$BO$243,11,FALSE)</f>
        <v>0</v>
      </c>
      <c r="K188" s="163">
        <f>VLOOKUP(B188,[1]weeks!$B$107:$BO$144,11,FALSE)-VLOOKUP(B188,[1]weeks!$B$156:$BO$193,11,FALSE)</f>
        <v>0</v>
      </c>
      <c r="L188" s="163">
        <f>VLOOKUP(B188,[1]weeks!$B$55:$BO$94,11,FALSE)-VLOOKUP(B188,[1]weeks!$B$107:$BO$144,11,FALSE)</f>
        <v>0</v>
      </c>
      <c r="M188" s="163">
        <f>VLOOKUP(B188,[1]weeks!$B$5:$BO$44,11,FALSE)-VLOOKUP(B188,[1]weeks!$B$55:$BO$94,11,FALSE)</f>
        <v>0</v>
      </c>
      <c r="N188" s="163" t="str">
        <f t="shared" si="83"/>
        <v>-</v>
      </c>
      <c r="O188" s="163">
        <f t="shared" si="84"/>
        <v>0</v>
      </c>
      <c r="P188" s="146" t="str">
        <f>IF(ISNUMBER(VLOOKUP(B188,[1]Closures!B:BI,11,FALSE)),TEXT(VLOOKUP(B188,[1]Closures!B:BI,11,FALSE),"ddmmm"),IF(C188&lt;=0,0,IF(I188&lt;=0,0,IF(AND(C188&gt;0,O188&lt;=0),"&gt;52",IF(I188/O188&gt;52,"&gt;52", MAX(0,I188/O188-2))))))</f>
        <v>01Jan</v>
      </c>
    </row>
    <row r="189" spans="1:16" s="130" customFormat="1" ht="10.7" customHeight="1" x14ac:dyDescent="0.2">
      <c r="A189" s="122"/>
      <c r="B189" s="161" t="s">
        <v>136</v>
      </c>
      <c r="C189" s="162"/>
      <c r="D189" s="163">
        <f>F189-VLOOKUP(B189,[1]Quota!$B$32:$BJ$43,11,FALSE)</f>
        <v>0</v>
      </c>
      <c r="E189" s="163"/>
      <c r="F189" s="164">
        <f>VLOOKUP(B189,[1]Quota!$B$81:$BJ$92,11,FALSE)</f>
        <v>0</v>
      </c>
      <c r="G189" s="163"/>
      <c r="H189" s="165" t="str">
        <f t="shared" si="80"/>
        <v>n/a</v>
      </c>
      <c r="I189" s="164">
        <f t="shared" si="82"/>
        <v>0</v>
      </c>
      <c r="J189" s="163"/>
      <c r="K189" s="163"/>
      <c r="L189" s="163"/>
      <c r="M189" s="163"/>
      <c r="N189" s="163"/>
      <c r="O189" s="163"/>
      <c r="P189" s="146"/>
    </row>
    <row r="190" spans="1:16" s="130" customFormat="1" ht="10.7" customHeight="1" x14ac:dyDescent="0.2">
      <c r="A190" s="122"/>
      <c r="B190" s="168" t="s">
        <v>137</v>
      </c>
      <c r="C190" s="162">
        <f>SUM(C185:C188)</f>
        <v>0</v>
      </c>
      <c r="D190" s="163">
        <f>SUM(D185:D189)</f>
        <v>0</v>
      </c>
      <c r="E190" s="163">
        <f t="shared" si="81"/>
        <v>0</v>
      </c>
      <c r="F190" s="217">
        <f t="shared" ref="F190" si="85">SUM(F185:F188)</f>
        <v>0</v>
      </c>
      <c r="G190" s="163">
        <f>SUM(G185:G188)</f>
        <v>0</v>
      </c>
      <c r="H190" s="165" t="str">
        <f t="shared" si="80"/>
        <v>n/a</v>
      </c>
      <c r="I190" s="217">
        <f t="shared" ref="I190:L190" si="86">SUM(I185:I188)</f>
        <v>0</v>
      </c>
      <c r="J190" s="163">
        <f t="shared" si="86"/>
        <v>0</v>
      </c>
      <c r="K190" s="163">
        <f t="shared" si="86"/>
        <v>0</v>
      </c>
      <c r="L190" s="163">
        <f t="shared" si="86"/>
        <v>0</v>
      </c>
      <c r="M190" s="163">
        <f>SUM(M185:M188)</f>
        <v>0</v>
      </c>
      <c r="N190" s="163" t="str">
        <f t="shared" si="83"/>
        <v>-</v>
      </c>
      <c r="O190" s="163">
        <f t="shared" si="84"/>
        <v>0</v>
      </c>
      <c r="P190" s="146">
        <f>IF(ISNUMBER(VLOOKUP(B190,[1]Closures!B:BI,11,FALSE)),TEXT(VLOOKUP(B190,[1]Closures!B:BI,11,FALSE),"ddmmm"),IF(C190&lt;=0,0,IF(I190&lt;=0,0,IF(AND(C190&gt;0,O190&lt;=0),"&gt;52",IF(I190/O190&gt;52,"&gt;52", MAX(0,I190/O190-2))))))</f>
        <v>0</v>
      </c>
    </row>
    <row r="191" spans="1:16" s="130" customFormat="1" ht="10.7" customHeight="1" x14ac:dyDescent="0.2">
      <c r="A191" s="122"/>
      <c r="B191" s="168"/>
      <c r="C191" s="162"/>
      <c r="D191" s="163"/>
      <c r="E191" s="163"/>
      <c r="F191" s="164"/>
      <c r="G191" s="163"/>
      <c r="H191" s="165"/>
      <c r="I191" s="164"/>
      <c r="J191" s="163"/>
      <c r="K191" s="163"/>
      <c r="L191" s="163"/>
      <c r="M191" s="163"/>
      <c r="N191" s="163" t="str">
        <f t="shared" si="83"/>
        <v>-</v>
      </c>
      <c r="O191" s="163"/>
      <c r="P191" s="146"/>
    </row>
    <row r="192" spans="1:16" s="130" customFormat="1" ht="10.7" customHeight="1" x14ac:dyDescent="0.2">
      <c r="A192" s="122"/>
      <c r="B192" s="174" t="s">
        <v>138</v>
      </c>
      <c r="C192" s="162">
        <f>'[2]IV&amp;VI Combined'!$J$36</f>
        <v>0</v>
      </c>
      <c r="D192" s="163">
        <f>F192-VLOOKUP(B192,[1]Quota!$B$32:$BJ$43,11,FALSE)</f>
        <v>0</v>
      </c>
      <c r="E192" s="163">
        <f t="shared" si="81"/>
        <v>0</v>
      </c>
      <c r="F192" s="164">
        <f>VLOOKUP(B192,[1]Quota!$B$81:$BJ$92,11,FALSE)</f>
        <v>0</v>
      </c>
      <c r="G192" s="163">
        <f>'[1]Cumulative '!L228</f>
        <v>0</v>
      </c>
      <c r="H192" s="165" t="str">
        <f t="shared" si="80"/>
        <v>n/a</v>
      </c>
      <c r="I192" s="164">
        <f t="shared" ref="I192:I199" si="87">F192-G192</f>
        <v>0</v>
      </c>
      <c r="J192" s="163">
        <f>VLOOKUP(B192,[1]weeks!$B$156:$BO$193,11,FALSE)-VLOOKUP(B192,[1]weeks!$B$206:$BO$243,11,FALSE)</f>
        <v>0</v>
      </c>
      <c r="K192" s="163">
        <f>VLOOKUP(B192,[1]weeks!$B$107:$BO$144,11,FALSE)-VLOOKUP(B192,[1]weeks!$B$156:$BO$193,11,FALSE)</f>
        <v>0</v>
      </c>
      <c r="L192" s="163">
        <f>VLOOKUP(B192,[1]weeks!$B$55:$BO$94,11,FALSE)-VLOOKUP(B192,[1]weeks!$B$107:$BO$144,11,FALSE)</f>
        <v>0</v>
      </c>
      <c r="M192" s="163">
        <f>VLOOKUP(B192,[1]weeks!$B$5:$BO$44,11,FALSE)-VLOOKUP(B192,[1]weeks!$B$55:$BO$94,11,FALSE)</f>
        <v>0</v>
      </c>
      <c r="N192" s="163" t="str">
        <f t="shared" si="83"/>
        <v>-</v>
      </c>
      <c r="O192" s="163">
        <f t="shared" si="84"/>
        <v>0</v>
      </c>
      <c r="P192" s="146" t="str">
        <f>IF(ISNUMBER(VLOOKUP(B192,[1]Closures!B:BI,11,FALSE)),TEXT(VLOOKUP(B192,[1]Closures!B:BI,11,FALSE),"ddmmm"),IF(C192&lt;=0,0,IF(I192&lt;=0,0,IF(AND(C192&gt;0,O192&lt;=0),"&gt;52",IF(I192/O192&gt;52,"&gt;52", MAX(0,I192/O192-2))))))</f>
        <v>01Jan</v>
      </c>
    </row>
    <row r="193" spans="1:16" s="130" customFormat="1" ht="10.7" customHeight="1" x14ac:dyDescent="0.2">
      <c r="A193" s="122"/>
      <c r="B193" s="174" t="s">
        <v>139</v>
      </c>
      <c r="C193" s="162">
        <f>'[2]IV&amp;VI Combined'!$J$37</f>
        <v>0</v>
      </c>
      <c r="D193" s="163">
        <f>F193-VLOOKUP(B193,[1]Quota!$B$32:$BJ$43,11,FALSE)</f>
        <v>0</v>
      </c>
      <c r="E193" s="163">
        <f t="shared" si="81"/>
        <v>0</v>
      </c>
      <c r="F193" s="164">
        <f>VLOOKUP(B193,[1]Quota!$B$81:$BJ$92,11,FALSE)</f>
        <v>0</v>
      </c>
      <c r="G193" s="163">
        <f>'[1]Cumulative '!L229</f>
        <v>0</v>
      </c>
      <c r="H193" s="165" t="str">
        <f t="shared" si="80"/>
        <v>n/a</v>
      </c>
      <c r="I193" s="164">
        <f t="shared" si="87"/>
        <v>0</v>
      </c>
      <c r="J193" s="163">
        <f>VLOOKUP(B193,[1]weeks!$B$156:$BO$193,11,FALSE)-VLOOKUP(B193,[1]weeks!$B$206:$BO$243,11,FALSE)</f>
        <v>0</v>
      </c>
      <c r="K193" s="163">
        <f>VLOOKUP(B193,[1]weeks!$B$107:$BO$144,11,FALSE)-VLOOKUP(B193,[1]weeks!$B$156:$BO$193,11,FALSE)</f>
        <v>0</v>
      </c>
      <c r="L193" s="163">
        <f>VLOOKUP(B193,[1]weeks!$B$55:$BO$94,11,FALSE)-VLOOKUP(B193,[1]weeks!$B$107:$BO$144,11,FALSE)</f>
        <v>0</v>
      </c>
      <c r="M193" s="163">
        <f>VLOOKUP(B193,[1]weeks!$B$5:$BO$44,11,FALSE)-VLOOKUP(B193,[1]weeks!$B$55:$BO$94,11,FALSE)</f>
        <v>0</v>
      </c>
      <c r="N193" s="163" t="str">
        <f t="shared" si="83"/>
        <v>-</v>
      </c>
      <c r="O193" s="163">
        <f t="shared" si="84"/>
        <v>0</v>
      </c>
      <c r="P193" s="146" t="str">
        <f>IF(ISNUMBER(VLOOKUP(B193,[1]Closures!B:BI,11,FALSE)),TEXT(VLOOKUP(B193,[1]Closures!B:BI,11,FALSE),"ddmmm"),IF(C193&lt;=0,0,IF(I193&lt;=0,0,IF(AND(C193&gt;0,O193&lt;=0),"&gt;52",IF(I193/O193&gt;52,"&gt;52", MAX(0,I193/O193-2))))))</f>
        <v>01Jan</v>
      </c>
    </row>
    <row r="194" spans="1:16" s="130" customFormat="1" ht="10.7" customHeight="1" x14ac:dyDescent="0.2">
      <c r="A194" s="122"/>
      <c r="B194" s="174" t="s">
        <v>140</v>
      </c>
      <c r="C194" s="162">
        <f>'[2]IV&amp;VI Combined'!$J$38</f>
        <v>0</v>
      </c>
      <c r="D194" s="163">
        <f>F194-VLOOKUP(B194,[1]Quota!$B$32:$BJ$43,11,FALSE)</f>
        <v>0</v>
      </c>
      <c r="E194" s="163">
        <f t="shared" si="81"/>
        <v>0</v>
      </c>
      <c r="F194" s="164">
        <f>VLOOKUP(B194,[1]Quota!$B$81:$BJ$92,11,FALSE)</f>
        <v>0</v>
      </c>
      <c r="G194" s="163">
        <f>'[1]Cumulative '!L230</f>
        <v>0</v>
      </c>
      <c r="H194" s="165" t="str">
        <f t="shared" si="80"/>
        <v>n/a</v>
      </c>
      <c r="I194" s="164">
        <f t="shared" si="87"/>
        <v>0</v>
      </c>
      <c r="J194" s="163">
        <f>VLOOKUP(B194,[1]weeks!$B$156:$BO$193,11,FALSE)-VLOOKUP(B194,[1]weeks!$B$206:$BO$243,11,FALSE)</f>
        <v>0</v>
      </c>
      <c r="K194" s="163">
        <f>VLOOKUP(B194,[1]weeks!$B$107:$BO$144,11,FALSE)-VLOOKUP(B194,[1]weeks!$B$156:$BO$193,11,FALSE)</f>
        <v>0</v>
      </c>
      <c r="L194" s="163">
        <f>VLOOKUP(B194,[1]weeks!$B$55:$BO$94,11,FALSE)-VLOOKUP(B194,[1]weeks!$B$107:$BO$144,11,FALSE)</f>
        <v>0</v>
      </c>
      <c r="M194" s="163">
        <f>VLOOKUP(B194,[1]weeks!$B$5:$BO$44,11,FALSE)-VLOOKUP(B194,[1]weeks!$B$55:$BO$94,11,FALSE)</f>
        <v>0</v>
      </c>
      <c r="N194" s="163" t="str">
        <f t="shared" si="83"/>
        <v>-</v>
      </c>
      <c r="O194" s="163">
        <f t="shared" si="84"/>
        <v>0</v>
      </c>
      <c r="P194" s="146" t="str">
        <f>IF(ISNUMBER(VLOOKUP(B194,[1]Closures!B:BI,11,FALSE)),TEXT(VLOOKUP(B194,[1]Closures!B:BI,11,FALSE),"ddmmm"),IF(C194&lt;=0,0,IF(I194&lt;=0,0,IF(AND(C194&gt;0,O194&lt;=0),"&gt;52",IF(I194/O194&gt;52,"&gt;52", MAX(0,I194/O194-2))))))</f>
        <v>01Jan</v>
      </c>
    </row>
    <row r="195" spans="1:16" s="130" customFormat="1" ht="10.7" customHeight="1" x14ac:dyDescent="0.2">
      <c r="A195" s="122"/>
      <c r="B195" s="174" t="s">
        <v>141</v>
      </c>
      <c r="C195" s="162">
        <f>'[2]IV&amp;VI Combined'!$J$39</f>
        <v>0</v>
      </c>
      <c r="D195" s="163">
        <f>F195-VLOOKUP(B195,[1]Quota!$B$32:$BJ$43,11,FALSE)</f>
        <v>0</v>
      </c>
      <c r="E195" s="163">
        <f t="shared" si="81"/>
        <v>0</v>
      </c>
      <c r="F195" s="164">
        <f>VLOOKUP(B195,[1]Quota!$B$81:$BJ$92,11,FALSE)</f>
        <v>0</v>
      </c>
      <c r="G195" s="163">
        <f>'[1]Cumulative '!L231</f>
        <v>0</v>
      </c>
      <c r="H195" s="165" t="str">
        <f>IF(AND(F195&lt;=0),"n/a",IF(F195=0,0,100*G195/F195))</f>
        <v>n/a</v>
      </c>
      <c r="I195" s="164">
        <f t="shared" si="87"/>
        <v>0</v>
      </c>
      <c r="J195" s="163">
        <f>VLOOKUP(B195,[1]weeks!$B$156:$BO$193,11,FALSE)-VLOOKUP(B195,[1]weeks!$B$206:$BO$243,11,FALSE)</f>
        <v>0</v>
      </c>
      <c r="K195" s="163">
        <f>VLOOKUP(B195,[1]weeks!$B$107:$BO$144,11,FALSE)-VLOOKUP(B195,[1]weeks!$B$156:$BO$193,11,FALSE)</f>
        <v>0</v>
      </c>
      <c r="L195" s="163">
        <f>VLOOKUP(B195,[1]weeks!$B$55:$BO$94,11,FALSE)-VLOOKUP(B195,[1]weeks!$B$107:$BO$144,11,FALSE)</f>
        <v>0</v>
      </c>
      <c r="M195" s="163">
        <f>VLOOKUP(B195,[1]weeks!$B$5:$BO$44,11,FALSE)-VLOOKUP(B195,[1]weeks!$B$55:$BO$94,11,FALSE)</f>
        <v>0</v>
      </c>
      <c r="N195" s="163" t="str">
        <f t="shared" si="83"/>
        <v>-</v>
      </c>
      <c r="O195" s="163">
        <f t="shared" si="84"/>
        <v>0</v>
      </c>
      <c r="P195" s="146" t="str">
        <f>IF(ISNUMBER(VLOOKUP(B195,[1]Closures!B:BI,11,FALSE)),TEXT(VLOOKUP(B195,[1]Closures!B:BI,11,FALSE),"ddmmm"),IF(C195&lt;=0,0,IF(I195&lt;=0,0,IF(AND(C195&gt;0,O195&lt;=0),"&gt;52",IF(I195/O195&gt;52,"&gt;52", MAX(0,I195/O195-2))))))</f>
        <v>01Jan</v>
      </c>
    </row>
    <row r="196" spans="1:16" s="130" customFormat="1" ht="10.7" customHeight="1" x14ac:dyDescent="0.2">
      <c r="A196" s="122"/>
      <c r="B196" s="174" t="s">
        <v>142</v>
      </c>
      <c r="C196" s="162"/>
      <c r="D196" s="163">
        <f>F196-VLOOKUP(B196,[1]Quota!$B$32:$BJ$43,11,FALSE)</f>
        <v>0</v>
      </c>
      <c r="E196" s="163"/>
      <c r="F196" s="164">
        <f>VLOOKUP(B196,[1]Quota!$B$81:$BJ$92,11,FALSE)</f>
        <v>0</v>
      </c>
      <c r="G196" s="163"/>
      <c r="H196" s="165" t="str">
        <f>IF(AND(F196&lt;=0),"n/a",IF(F196=0,0,100*G196/F196))</f>
        <v>n/a</v>
      </c>
      <c r="I196" s="164">
        <f>F196-G196</f>
        <v>0</v>
      </c>
      <c r="J196" s="163"/>
      <c r="K196" s="163"/>
      <c r="L196" s="163"/>
      <c r="M196" s="163"/>
      <c r="N196" s="163"/>
      <c r="O196" s="163"/>
      <c r="P196" s="146"/>
    </row>
    <row r="197" spans="1:16" s="130" customFormat="1" ht="10.7" customHeight="1" x14ac:dyDescent="0.2">
      <c r="A197" s="122"/>
      <c r="B197" s="168" t="s">
        <v>143</v>
      </c>
      <c r="C197" s="162">
        <f>SUM(C192:C196)</f>
        <v>0</v>
      </c>
      <c r="D197" s="163">
        <f>SUM(D192:D196)</f>
        <v>0</v>
      </c>
      <c r="E197" s="163">
        <f t="shared" si="81"/>
        <v>0</v>
      </c>
      <c r="F197" s="164">
        <f>SUM(F193:F196)</f>
        <v>0</v>
      </c>
      <c r="G197" s="163">
        <f>SUM(G192:G196)</f>
        <v>0</v>
      </c>
      <c r="H197" s="165" t="str">
        <f t="shared" si="80"/>
        <v>n/a</v>
      </c>
      <c r="I197" s="164">
        <f t="shared" si="87"/>
        <v>0</v>
      </c>
      <c r="J197" s="163">
        <f t="shared" ref="J197:L197" si="88">SUM(J192:J195)</f>
        <v>0</v>
      </c>
      <c r="K197" s="163">
        <f t="shared" si="88"/>
        <v>0</v>
      </c>
      <c r="L197" s="163">
        <f t="shared" si="88"/>
        <v>0</v>
      </c>
      <c r="M197" s="163">
        <f>SUM(M192:M195)</f>
        <v>0</v>
      </c>
      <c r="N197" s="163" t="str">
        <f t="shared" si="83"/>
        <v>-</v>
      </c>
      <c r="O197" s="163">
        <f>SUM(J197:M197)/4</f>
        <v>0</v>
      </c>
      <c r="P197" s="146">
        <f>IF(ISNUMBER(VLOOKUP(B197,[1]Closures!B:BI,11,FALSE)),TEXT(VLOOKUP(B197,[1]Closures!B:BI,11,FALSE),"ddmmm"),IF(C197&lt;=0,0,IF(I197&lt;=0,0,IF(AND(C197&gt;0,O197&lt;=0),"&gt;52",IF(I197/O197&gt;52,"&gt;52", MAX(0,I197/O197-2))))))</f>
        <v>0</v>
      </c>
    </row>
    <row r="198" spans="1:16" s="130" customFormat="1" ht="10.7" customHeight="1" x14ac:dyDescent="0.2">
      <c r="A198" s="122"/>
      <c r="B198" s="168"/>
      <c r="C198" s="162"/>
      <c r="D198" s="163"/>
      <c r="E198" s="163"/>
      <c r="F198" s="164"/>
      <c r="G198" s="163"/>
      <c r="H198" s="165"/>
      <c r="I198" s="164"/>
      <c r="J198" s="163"/>
      <c r="K198" s="163"/>
      <c r="L198" s="163"/>
      <c r="M198" s="163"/>
      <c r="N198" s="163"/>
      <c r="O198" s="163"/>
      <c r="P198" s="146"/>
    </row>
    <row r="199" spans="1:16" s="130" customFormat="1" ht="10.7" customHeight="1" x14ac:dyDescent="0.2">
      <c r="A199" s="122"/>
      <c r="B199" s="175" t="s">
        <v>112</v>
      </c>
      <c r="C199" s="176">
        <f>C197+C190</f>
        <v>0</v>
      </c>
      <c r="D199" s="180">
        <f>D197+D190</f>
        <v>0</v>
      </c>
      <c r="E199" s="180">
        <f t="shared" si="81"/>
        <v>0</v>
      </c>
      <c r="F199" s="189">
        <f>F197+F190</f>
        <v>0</v>
      </c>
      <c r="G199" s="180">
        <f>G197+G190</f>
        <v>0</v>
      </c>
      <c r="H199" s="179" t="str">
        <f t="shared" si="80"/>
        <v>n/a</v>
      </c>
      <c r="I199" s="218">
        <f t="shared" si="87"/>
        <v>0</v>
      </c>
      <c r="J199" s="180">
        <f t="shared" ref="J199:L199" si="89">J190+J197</f>
        <v>0</v>
      </c>
      <c r="K199" s="180">
        <f t="shared" si="89"/>
        <v>0</v>
      </c>
      <c r="L199" s="180">
        <f t="shared" si="89"/>
        <v>0</v>
      </c>
      <c r="M199" s="180">
        <f>M190+M197</f>
        <v>0</v>
      </c>
      <c r="N199" s="180" t="str">
        <f t="shared" si="83"/>
        <v>-</v>
      </c>
      <c r="O199" s="180">
        <f>SUM(J199:M199)/4</f>
        <v>0</v>
      </c>
      <c r="P199" s="153">
        <f>IF(ISNUMBER(VLOOKUP(B199,[1]Closures!B:BI,11,FALSE)),TEXT(VLOOKUP(B199,[1]Closures!B:BI,11,FALSE),"ddmmm"),IF(C199&lt;=0,0,IF(I199&lt;=0,0,IF(AND(C199&gt;0,O199&lt;=0),"&gt;52",IF(I199/O199&gt;52,"&gt;52", MAX(0,I199/O199-2))))))</f>
        <v>0</v>
      </c>
    </row>
    <row r="200" spans="1:16" s="130" customFormat="1" ht="10.7" customHeight="1" x14ac:dyDescent="0.2">
      <c r="A200" s="122"/>
      <c r="B200" s="181"/>
      <c r="C200" s="181"/>
      <c r="D200" s="163"/>
      <c r="E200" s="163"/>
      <c r="F200" s="164"/>
      <c r="G200" s="163"/>
      <c r="H200" s="2"/>
      <c r="I200" s="164"/>
      <c r="J200" s="163"/>
      <c r="K200" s="163"/>
      <c r="L200" s="163"/>
      <c r="M200" s="163"/>
      <c r="N200" s="163"/>
      <c r="O200" s="163"/>
      <c r="P200" s="182"/>
    </row>
    <row r="201" spans="1:16" s="130" customFormat="1" ht="10.7" customHeight="1" x14ac:dyDescent="0.2">
      <c r="A201" s="122"/>
      <c r="B201" s="181"/>
      <c r="C201" s="181"/>
      <c r="D201" s="183"/>
      <c r="E201" s="183"/>
      <c r="F201" s="184"/>
      <c r="G201" s="183"/>
      <c r="H201" s="163"/>
      <c r="I201" s="184"/>
      <c r="J201" s="185"/>
      <c r="K201" s="185"/>
      <c r="L201" s="185"/>
      <c r="M201" s="185"/>
      <c r="N201" s="173"/>
      <c r="O201" s="183"/>
      <c r="P201" s="182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tr">
        <f>C5</f>
        <v>Initial Quota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f>[1]weeks!$B$154</f>
        <v>43166</v>
      </c>
      <c r="K204" s="151">
        <f>[1]weeks!$B$105</f>
        <v>43173</v>
      </c>
      <c r="L204" s="151">
        <f>[1]weeks!$B$55</f>
        <v>43180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6"/>
      <c r="C206" s="193" t="s">
        <v>145</v>
      </c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4"/>
      <c r="P206" s="145"/>
    </row>
    <row r="207" spans="1:16" s="130" customFormat="1" ht="10.7" customHeight="1" x14ac:dyDescent="0.2">
      <c r="A207" s="122"/>
      <c r="B207" s="161" t="s">
        <v>132</v>
      </c>
      <c r="C207" s="162">
        <f>'[2]IV&amp;VI Combined'!$K$29</f>
        <v>0.2</v>
      </c>
      <c r="D207" s="163">
        <f>F207-VLOOKUP(B207,[1]Quota!$B$103:$BJ$143,12,FALSE)</f>
        <v>0</v>
      </c>
      <c r="E207" s="163">
        <f>F207-C207</f>
        <v>0</v>
      </c>
      <c r="F207" s="164">
        <f>VLOOKUP(B207,[1]Quota!$B$81:$BJ$92,12,FALSE)</f>
        <v>0.2</v>
      </c>
      <c r="G207" s="163">
        <f>'[1]Cumulative '!M221</f>
        <v>0.17810000000000001</v>
      </c>
      <c r="H207" s="165">
        <f t="shared" ref="H207:H221" si="90">IF(AND(F207&lt;=0),"n/a",IF(F207=0,0,100*G207/F207))</f>
        <v>89.050000000000011</v>
      </c>
      <c r="I207" s="164">
        <f>F207-G207</f>
        <v>2.1900000000000003E-2</v>
      </c>
      <c r="J207" s="163">
        <f>VLOOKUP(B207,[1]weeks!$B$156:$BO$193,12,FALSE)-VLOOKUP(B207,[1]weeks!$B$206:$BO$243,12,FALSE)</f>
        <v>1.1999999999999927E-3</v>
      </c>
      <c r="K207" s="163">
        <f>VLOOKUP(B207,[1]weeks!$B$107:$BO$144,12,FALSE)-VLOOKUP(B207,[1]weeks!$B$156:$BO$193,12,FALSE)</f>
        <v>1.3000000000000012E-2</v>
      </c>
      <c r="L207" s="163">
        <f>VLOOKUP(B207,[1]weeks!$B$55:$BO$94,12,FALSE)-VLOOKUP(B207,[1]weeks!$B$107:$BO$144,12,FALSE)</f>
        <v>8.4999999999999798E-3</v>
      </c>
      <c r="M207" s="163">
        <f>VLOOKUP(B207,[1]weeks!$B$5:$BO$44,12,FALSE)-VLOOKUP(B207,[1]weeks!$B$55:$BO$94,12,FALSE)</f>
        <v>3.8900000000000018E-2</v>
      </c>
      <c r="N207" s="163">
        <f>IF(F207&gt;0,M207/F207*100,"-")</f>
        <v>19.45000000000001</v>
      </c>
      <c r="O207" s="163">
        <f>SUM(J207:M207)/4</f>
        <v>1.54E-2</v>
      </c>
      <c r="P207" s="146">
        <f>IF(ISNUMBER(VLOOKUP(B207,[1]Closures!B:BI,12,FALSE)),TEXT(VLOOKUP(B207,[1]Closures!B:BI,12,FALSE),"ddmmm"),IF(C207&lt;=0,0,IF(I207&lt;=0,0,IF(AND(C207&gt;0,O207&lt;=0),"&gt;52",IF(I207/O207&gt;52,"&gt;52", MAX(0,I207/O207-2))))))</f>
        <v>0</v>
      </c>
    </row>
    <row r="208" spans="1:16" s="130" customFormat="1" ht="10.7" customHeight="1" x14ac:dyDescent="0.2">
      <c r="A208" s="122"/>
      <c r="B208" s="161" t="s">
        <v>133</v>
      </c>
      <c r="C208" s="162">
        <f>'[2]IV&amp;VI Combined'!$K$30</f>
        <v>0.1</v>
      </c>
      <c r="D208" s="163">
        <f>F208-VLOOKUP(B208,[1]Quota!$B$103:$BJ$143,12,FALSE)</f>
        <v>0</v>
      </c>
      <c r="E208" s="163">
        <f t="shared" ref="E208:E221" si="91">F208-C208</f>
        <v>-0.1</v>
      </c>
      <c r="F208" s="164">
        <f>VLOOKUP(B208,[1]Quota!$B$81:$BJ$92,12,FALSE)</f>
        <v>0</v>
      </c>
      <c r="G208" s="163">
        <f>'[1]Cumulative '!M222</f>
        <v>0</v>
      </c>
      <c r="H208" s="165" t="str">
        <f t="shared" si="90"/>
        <v>n/a</v>
      </c>
      <c r="I208" s="164">
        <f t="shared" ref="I208:I211" si="92">F208-G208</f>
        <v>0</v>
      </c>
      <c r="J208" s="163">
        <f>VLOOKUP(B208,[1]weeks!$B$156:$BO$193,12,FALSE)-VLOOKUP(B208,[1]weeks!$B$206:$BO$243,12,FALSE)</f>
        <v>0</v>
      </c>
      <c r="K208" s="163">
        <f>VLOOKUP(B208,[1]weeks!$B$107:$BO$144,12,FALSE)-VLOOKUP(B208,[1]weeks!$B$156:$BO$193,12,FALSE)</f>
        <v>0</v>
      </c>
      <c r="L208" s="163">
        <f>VLOOKUP(B208,[1]weeks!$B$55:$BO$94,12,FALSE)-VLOOKUP(B208,[1]weeks!$B$107:$BO$144,12,FALSE)</f>
        <v>0</v>
      </c>
      <c r="M208" s="163">
        <f>VLOOKUP(B208,[1]weeks!$B$5:$BO$44,12,FALSE)-VLOOKUP(B208,[1]weeks!$B$55:$BO$94,12,FALSE)</f>
        <v>0</v>
      </c>
      <c r="N208" s="163" t="str">
        <f t="shared" ref="N208:N221" si="93">IF(F208&gt;0,M208/F208*100,"-")</f>
        <v>-</v>
      </c>
      <c r="O208" s="163">
        <f t="shared" ref="O208:O217" si="94">SUM(J208:M208)/4</f>
        <v>0</v>
      </c>
      <c r="P208" s="146">
        <f>IF(ISNUMBER(VLOOKUP(B208,[1]Closures!B:BI,12,FALSE)),TEXT(VLOOKUP(B208,[1]Closures!B:BI,12,FALSE),"ddmmm"),IF(C208&lt;=0,0,IF(I208&lt;=0,0,IF(AND(C208&gt;0,O208&lt;=0),"&gt;52",IF(I208/O208&gt;52,"&gt;52", MAX(0,I208/O208-2))))))</f>
        <v>0</v>
      </c>
    </row>
    <row r="209" spans="1:16" s="130" customFormat="1" ht="10.7" customHeight="1" x14ac:dyDescent="0.2">
      <c r="A209" s="122"/>
      <c r="B209" s="161" t="s">
        <v>134</v>
      </c>
      <c r="C209" s="162">
        <f>'[2]IV&amp;VI Combined'!$K$31</f>
        <v>2.4</v>
      </c>
      <c r="D209" s="163">
        <f>F209-VLOOKUP(B209,[1]Quota!$B$103:$BJ$143,12,FALSE)</f>
        <v>0</v>
      </c>
      <c r="E209" s="163">
        <f t="shared" si="91"/>
        <v>0</v>
      </c>
      <c r="F209" s="164">
        <f>VLOOKUP(B209,[1]Quota!$B$81:$BJ$92,12,FALSE)</f>
        <v>2.4</v>
      </c>
      <c r="G209" s="163">
        <f>'[1]Cumulative '!M223</f>
        <v>0</v>
      </c>
      <c r="H209" s="165">
        <f t="shared" si="90"/>
        <v>0</v>
      </c>
      <c r="I209" s="164">
        <f t="shared" si="92"/>
        <v>2.4</v>
      </c>
      <c r="J209" s="163">
        <f>VLOOKUP(B209,[1]weeks!$B$156:$BO$193,12,FALSE)-VLOOKUP(B209,[1]weeks!$B$206:$BO$243,12,FALSE)</f>
        <v>0</v>
      </c>
      <c r="K209" s="163">
        <f>VLOOKUP(B209,[1]weeks!$B$107:$BO$144,12,FALSE)-VLOOKUP(B209,[1]weeks!$B$156:$BO$193,12,FALSE)</f>
        <v>0</v>
      </c>
      <c r="L209" s="163">
        <f>VLOOKUP(B209,[1]weeks!$B$55:$BO$94,12,FALSE)-VLOOKUP(B209,[1]weeks!$B$107:$BO$144,12,FALSE)</f>
        <v>0</v>
      </c>
      <c r="M209" s="163">
        <f>VLOOKUP(B209,[1]weeks!$B$5:$BO$44,12,FALSE)-VLOOKUP(B209,[1]weeks!$B$55:$BO$94,12,FALSE)</f>
        <v>0</v>
      </c>
      <c r="N209" s="163">
        <f t="shared" si="93"/>
        <v>0</v>
      </c>
      <c r="O209" s="163">
        <f t="shared" si="94"/>
        <v>0</v>
      </c>
      <c r="P209" s="146" t="str">
        <f>IF(ISNUMBER(VLOOKUP(B209,[1]Closures!B:BI,12,FALSE)),TEXT(VLOOKUP(B209,[1]Closures!B:BI,12,FALSE),"ddmmm"),IF(C209&lt;=0,0,IF(I209&lt;=0,0,IF(AND(C209&gt;0,O209&lt;=0),"&gt;52",IF(I209/O209&gt;52,"&gt;52", MAX(0,I209/O209-2))))))</f>
        <v>01Jan</v>
      </c>
    </row>
    <row r="210" spans="1:16" s="130" customFormat="1" ht="10.7" customHeight="1" x14ac:dyDescent="0.2">
      <c r="A210" s="122"/>
      <c r="B210" s="161" t="s">
        <v>135</v>
      </c>
      <c r="C210" s="162">
        <f>'[2]IV&amp;VI Combined'!$K$32</f>
        <v>0</v>
      </c>
      <c r="D210" s="163">
        <f>F210-VLOOKUP(B210,[1]Quota!$B$103:$BJ$143,12,FALSE)</f>
        <v>0</v>
      </c>
      <c r="E210" s="163">
        <f t="shared" si="91"/>
        <v>0</v>
      </c>
      <c r="F210" s="164">
        <f>VLOOKUP(B210,[1]Quota!$B$81:$BJ$92,12,FALSE)</f>
        <v>0</v>
      </c>
      <c r="G210" s="163">
        <f>'[1]Cumulative '!M224</f>
        <v>0</v>
      </c>
      <c r="H210" s="165" t="str">
        <f t="shared" si="90"/>
        <v>n/a</v>
      </c>
      <c r="I210" s="164">
        <f t="shared" si="92"/>
        <v>0</v>
      </c>
      <c r="J210" s="163">
        <f>VLOOKUP(B210,[1]weeks!$B$156:$BO$193,12,FALSE)-VLOOKUP(B210,[1]weeks!$B$206:$BO$243,12,FALSE)</f>
        <v>0</v>
      </c>
      <c r="K210" s="163">
        <f>VLOOKUP(B210,[1]weeks!$B$107:$BO$144,12,FALSE)-VLOOKUP(B210,[1]weeks!$B$156:$BO$193,12,FALSE)</f>
        <v>0</v>
      </c>
      <c r="L210" s="163">
        <f>VLOOKUP(B210,[1]weeks!$B$55:$BO$94,12,FALSE)-VLOOKUP(B210,[1]weeks!$B$107:$BO$144,12,FALSE)</f>
        <v>0</v>
      </c>
      <c r="M210" s="163">
        <f>VLOOKUP(B210,[1]weeks!$B$5:$BO$44,12,FALSE)-VLOOKUP(B210,[1]weeks!$B$55:$BO$94,12,FALSE)</f>
        <v>0</v>
      </c>
      <c r="N210" s="163" t="str">
        <f t="shared" si="93"/>
        <v>-</v>
      </c>
      <c r="O210" s="163">
        <f t="shared" si="94"/>
        <v>0</v>
      </c>
      <c r="P210" s="146">
        <f>IF(ISNUMBER(VLOOKUP(B210,[1]Closures!B:BI,12,FALSE)),TEXT(VLOOKUP(B210,[1]Closures!B:BI,12,FALSE),"ddmmm"),IF(C210&lt;=0,0,IF(I210&lt;=0,0,IF(AND(C210&gt;0,O210&lt;=0),"&gt;52",IF(I210/O210&gt;52,"&gt;52", MAX(0,I210/O210-2))))))</f>
        <v>0</v>
      </c>
    </row>
    <row r="211" spans="1:16" s="130" customFormat="1" ht="10.7" customHeight="1" x14ac:dyDescent="0.2">
      <c r="A211" s="122"/>
      <c r="B211" s="161" t="s">
        <v>136</v>
      </c>
      <c r="C211" s="162"/>
      <c r="D211" s="163">
        <f>F211-VLOOKUP(B211,[1]Quota!$B$32:$BJ$43,12,FALSE)</f>
        <v>0</v>
      </c>
      <c r="E211" s="163"/>
      <c r="F211" s="164">
        <f>VLOOKUP(B211,[1]Quota!$B$81:$BJ$92,12,FALSE)</f>
        <v>0</v>
      </c>
      <c r="G211" s="163"/>
      <c r="H211" s="165" t="str">
        <f t="shared" si="90"/>
        <v>n/a</v>
      </c>
      <c r="I211" s="164">
        <f t="shared" si="92"/>
        <v>0</v>
      </c>
      <c r="J211" s="163"/>
      <c r="K211" s="163"/>
      <c r="L211" s="163"/>
      <c r="M211" s="163"/>
      <c r="N211" s="163"/>
      <c r="O211" s="163"/>
      <c r="P211" s="146"/>
    </row>
    <row r="212" spans="1:16" s="130" customFormat="1" ht="10.7" customHeight="1" x14ac:dyDescent="0.2">
      <c r="A212" s="122"/>
      <c r="B212" s="168" t="s">
        <v>137</v>
      </c>
      <c r="C212" s="162">
        <f>SUM(C207:C210)</f>
        <v>2.7</v>
      </c>
      <c r="D212" s="163">
        <f>SUM(D207:D211)</f>
        <v>0</v>
      </c>
      <c r="E212" s="163">
        <f t="shared" si="91"/>
        <v>-0.10000000000000009</v>
      </c>
      <c r="F212" s="217">
        <f t="shared" ref="F212" si="95">SUM(F207:F210)</f>
        <v>2.6</v>
      </c>
      <c r="G212" s="163">
        <f>SUM(G207:G210)</f>
        <v>0.17810000000000001</v>
      </c>
      <c r="H212" s="165">
        <f t="shared" si="90"/>
        <v>6.8500000000000005</v>
      </c>
      <c r="I212" s="217">
        <f t="shared" ref="I212:L212" si="96">SUM(I207:I210)</f>
        <v>2.4218999999999999</v>
      </c>
      <c r="J212" s="163">
        <f t="shared" si="96"/>
        <v>1.1999999999999927E-3</v>
      </c>
      <c r="K212" s="163">
        <f t="shared" si="96"/>
        <v>1.3000000000000012E-2</v>
      </c>
      <c r="L212" s="163">
        <f t="shared" si="96"/>
        <v>8.4999999999999798E-3</v>
      </c>
      <c r="M212" s="163">
        <f>SUM(M207:M210)</f>
        <v>3.8900000000000018E-2</v>
      </c>
      <c r="N212" s="163">
        <f t="shared" si="93"/>
        <v>1.4961538461538466</v>
      </c>
      <c r="O212" s="163">
        <f t="shared" si="94"/>
        <v>1.54E-2</v>
      </c>
      <c r="P212" s="146" t="str">
        <f>IF(ISNUMBER(VLOOKUP(B212,[1]Closures!B:BI,12,FALSE)),TEXT(VLOOKUP(B212,[1]Closures!B:BI,12,FALSE),"ddmmm"),IF(C212&lt;=0,0,IF(I212&lt;=0,0,IF(AND(C212&gt;0,O212&lt;=0),"&gt;52",IF(I212/O212&gt;52,"&gt;52", MAX(0,I212/O212-2))))))</f>
        <v>&gt;52</v>
      </c>
    </row>
    <row r="213" spans="1:16" s="130" customFormat="1" ht="10.7" customHeight="1" x14ac:dyDescent="0.2">
      <c r="A213" s="122"/>
      <c r="B213" s="168"/>
      <c r="C213" s="162"/>
      <c r="D213" s="163"/>
      <c r="E213" s="163"/>
      <c r="F213" s="164"/>
      <c r="G213" s="163"/>
      <c r="H213" s="165"/>
      <c r="I213" s="164"/>
      <c r="J213" s="163"/>
      <c r="K213" s="163"/>
      <c r="L213" s="163"/>
      <c r="M213" s="163"/>
      <c r="N213" s="163" t="str">
        <f t="shared" si="93"/>
        <v>-</v>
      </c>
      <c r="O213" s="163"/>
      <c r="P213" s="146"/>
    </row>
    <row r="214" spans="1:16" s="130" customFormat="1" ht="10.7" customHeight="1" x14ac:dyDescent="0.2">
      <c r="A214" s="122"/>
      <c r="B214" s="174" t="s">
        <v>138</v>
      </c>
      <c r="C214" s="162">
        <f>'[2]IV&amp;VI Combined'!$K$36</f>
        <v>30.7</v>
      </c>
      <c r="D214" s="163">
        <f>F214-VLOOKUP(B214,[1]Quota!$B$103:$BJ$143,12,FALSE)</f>
        <v>0</v>
      </c>
      <c r="E214" s="163">
        <f t="shared" si="91"/>
        <v>-9.8000000000000007</v>
      </c>
      <c r="F214" s="164">
        <f>VLOOKUP(B214,[1]Quota!$B$81:$BJ$92,12,FALSE)</f>
        <v>20.9</v>
      </c>
      <c r="G214" s="163">
        <f>'[1]Cumulative '!M228</f>
        <v>0.89190000000000003</v>
      </c>
      <c r="H214" s="165">
        <f t="shared" si="90"/>
        <v>4.2674641148325358</v>
      </c>
      <c r="I214" s="164">
        <f t="shared" ref="I214:I221" si="97">F214-G214</f>
        <v>20.008099999999999</v>
      </c>
      <c r="J214" s="163">
        <f>VLOOKUP(B214,[1]weeks!$B$156:$BO$193,12,FALSE)-VLOOKUP(B214,[1]weeks!$B$206:$BO$243,12,FALSE)</f>
        <v>0.28410000000000002</v>
      </c>
      <c r="K214" s="163">
        <f>VLOOKUP(B214,[1]weeks!$B$107:$BO$144,12,FALSE)-VLOOKUP(B214,[1]weeks!$B$156:$BO$193,12,FALSE)</f>
        <v>0</v>
      </c>
      <c r="L214" s="163">
        <f>VLOOKUP(B214,[1]weeks!$B$55:$BO$94,12,FALSE)-VLOOKUP(B214,[1]weeks!$B$107:$BO$144,12,FALSE)</f>
        <v>0.41699999999999998</v>
      </c>
      <c r="M214" s="163">
        <f>VLOOKUP(B214,[1]weeks!$B$5:$BO$44,12,FALSE)-VLOOKUP(B214,[1]weeks!$B$55:$BO$94,12,FALSE)</f>
        <v>3.6000000000000476E-3</v>
      </c>
      <c r="N214" s="163">
        <f t="shared" si="93"/>
        <v>1.7224880382775348E-2</v>
      </c>
      <c r="O214" s="163">
        <f t="shared" si="94"/>
        <v>0.17617500000000003</v>
      </c>
      <c r="P214" s="146" t="str">
        <f>IF(ISNUMBER(VLOOKUP(B214,[1]Closures!B:BI,12,FALSE)),TEXT(VLOOKUP(B214,[1]Closures!B:BI,12,FALSE),"ddmmm"),IF(C214&lt;=0,0,IF(I214&lt;=0,0,IF(AND(C214&gt;0,O214&lt;=0),"&gt;52",IF(I214/O214&gt;52,"&gt;52", MAX(0,I214/O214-2))))))</f>
        <v>&gt;52</v>
      </c>
    </row>
    <row r="215" spans="1:16" s="130" customFormat="1" ht="10.7" customHeight="1" x14ac:dyDescent="0.2">
      <c r="A215" s="122"/>
      <c r="B215" s="174" t="s">
        <v>139</v>
      </c>
      <c r="C215" s="162">
        <f>'[2]IV&amp;VI Combined'!$K$37</f>
        <v>0.1</v>
      </c>
      <c r="D215" s="163">
        <f>F215-VLOOKUP(B215,[1]Quota!$B$103:$BJ$143,12,FALSE)</f>
        <v>0</v>
      </c>
      <c r="E215" s="163">
        <f t="shared" si="91"/>
        <v>-0.1</v>
      </c>
      <c r="F215" s="164">
        <f>VLOOKUP(B215,[1]Quota!$B$81:$BJ$92,12,FALSE)</f>
        <v>0</v>
      </c>
      <c r="G215" s="163">
        <f>'[1]Cumulative '!M229</f>
        <v>0</v>
      </c>
      <c r="H215" s="165" t="str">
        <f t="shared" si="90"/>
        <v>n/a</v>
      </c>
      <c r="I215" s="164">
        <f t="shared" si="97"/>
        <v>0</v>
      </c>
      <c r="J215" s="163">
        <f>VLOOKUP(B215,[1]weeks!$B$156:$BO$193,12,FALSE)-VLOOKUP(B215,[1]weeks!$B$206:$BO$243,12,FALSE)</f>
        <v>0</v>
      </c>
      <c r="K215" s="163">
        <f>VLOOKUP(B215,[1]weeks!$B$107:$BO$144,12,FALSE)-VLOOKUP(B215,[1]weeks!$B$156:$BO$193,12,FALSE)</f>
        <v>0</v>
      </c>
      <c r="L215" s="163">
        <f>VLOOKUP(B215,[1]weeks!$B$55:$BO$94,12,FALSE)-VLOOKUP(B215,[1]weeks!$B$107:$BO$144,12,FALSE)</f>
        <v>0</v>
      </c>
      <c r="M215" s="163">
        <f>VLOOKUP(B215,[1]weeks!$B$5:$BO$44,12,FALSE)-VLOOKUP(B215,[1]weeks!$B$55:$BO$94,12,FALSE)</f>
        <v>0</v>
      </c>
      <c r="N215" s="163" t="str">
        <f t="shared" si="93"/>
        <v>-</v>
      </c>
      <c r="O215" s="163">
        <f t="shared" si="94"/>
        <v>0</v>
      </c>
      <c r="P215" s="146">
        <f>IF(ISNUMBER(VLOOKUP(B215,[1]Closures!B:BI,12,FALSE)),TEXT(VLOOKUP(B215,[1]Closures!B:BI,12,FALSE),"ddmmm"),IF(C215&lt;=0,0,IF(I215&lt;=0,0,IF(AND(C215&gt;0,O215&lt;=0),"&gt;52",IF(I215/O215&gt;52,"&gt;52", MAX(0,I215/O215-2))))))</f>
        <v>0</v>
      </c>
    </row>
    <row r="216" spans="1:16" s="130" customFormat="1" ht="10.7" customHeight="1" x14ac:dyDescent="0.2">
      <c r="A216" s="122"/>
      <c r="B216" s="174" t="s">
        <v>140</v>
      </c>
      <c r="C216" s="162">
        <f>'[2]IV&amp;VI Combined'!$K$38</f>
        <v>1.2</v>
      </c>
      <c r="D216" s="163">
        <f>F216-VLOOKUP(B216,[1]Quota!$B$103:$BJ$143,12,FALSE)</f>
        <v>0</v>
      </c>
      <c r="E216" s="163">
        <f t="shared" si="91"/>
        <v>10</v>
      </c>
      <c r="F216" s="164">
        <f>VLOOKUP(B216,[1]Quota!$B$81:$BJ$92,12,FALSE)</f>
        <v>11.2</v>
      </c>
      <c r="G216" s="163">
        <f>'[1]Cumulative '!M230</f>
        <v>1E-3</v>
      </c>
      <c r="H216" s="165">
        <f t="shared" si="90"/>
        <v>8.9285714285714298E-3</v>
      </c>
      <c r="I216" s="164">
        <f t="shared" si="97"/>
        <v>11.199</v>
      </c>
      <c r="J216" s="163">
        <f>VLOOKUP(B216,[1]weeks!$B$156:$BO$193,12,FALSE)-VLOOKUP(B216,[1]weeks!$B$206:$BO$243,12,FALSE)</f>
        <v>0</v>
      </c>
      <c r="K216" s="163">
        <f>VLOOKUP(B216,[1]weeks!$B$107:$BO$144,12,FALSE)-VLOOKUP(B216,[1]weeks!$B$156:$BO$193,12,FALSE)</f>
        <v>0</v>
      </c>
      <c r="L216" s="163">
        <f>VLOOKUP(B216,[1]weeks!$B$55:$BO$94,12,FALSE)-VLOOKUP(B216,[1]weeks!$B$107:$BO$144,12,FALSE)</f>
        <v>0</v>
      </c>
      <c r="M216" s="163">
        <f>VLOOKUP(B216,[1]weeks!$B$5:$BO$44,12,FALSE)-VLOOKUP(B216,[1]weeks!$B$55:$BO$94,12,FALSE)</f>
        <v>1E-3</v>
      </c>
      <c r="N216" s="163">
        <f t="shared" si="93"/>
        <v>8.9285714285714298E-3</v>
      </c>
      <c r="O216" s="163">
        <f t="shared" si="94"/>
        <v>2.5000000000000001E-4</v>
      </c>
      <c r="P216" s="146" t="str">
        <f>IF(ISNUMBER(VLOOKUP(B216,[1]Closures!B:BI,12,FALSE)),TEXT(VLOOKUP(B216,[1]Closures!B:BI,12,FALSE),"ddmmm"),IF(C216&lt;=0,0,IF(I216&lt;=0,0,IF(AND(C216&gt;0,O216&lt;=0),"&gt;52",IF(I216/O216&gt;52,"&gt;52", MAX(0,I216/O216-2))))))</f>
        <v>&gt;52</v>
      </c>
    </row>
    <row r="217" spans="1:16" s="130" customFormat="1" ht="10.7" customHeight="1" x14ac:dyDescent="0.2">
      <c r="A217" s="122"/>
      <c r="B217" s="174" t="s">
        <v>141</v>
      </c>
      <c r="C217" s="162">
        <f>'[2]IV&amp;VI Combined'!$K$39</f>
        <v>0</v>
      </c>
      <c r="D217" s="163">
        <f>F217-VLOOKUP(B217,[1]Quota!$B$103:$BJ$143,12,FALSE)</f>
        <v>0</v>
      </c>
      <c r="E217" s="163">
        <f t="shared" si="91"/>
        <v>0</v>
      </c>
      <c r="F217" s="164">
        <f>VLOOKUP(B217,[1]Quota!$B$81:$BJ$92,12,FALSE)</f>
        <v>0</v>
      </c>
      <c r="G217" s="163">
        <f>'[1]Cumulative '!M231</f>
        <v>0</v>
      </c>
      <c r="H217" s="165" t="str">
        <f>IF(AND(F217&lt;=0),"n/a",IF(F217=0,0,100*G217/F217))</f>
        <v>n/a</v>
      </c>
      <c r="I217" s="164">
        <f t="shared" si="97"/>
        <v>0</v>
      </c>
      <c r="J217" s="163">
        <f>VLOOKUP(B217,[1]weeks!$B$156:$BO$193,12,FALSE)-VLOOKUP(B217,[1]weeks!$B$206:$BO$243,12,FALSE)</f>
        <v>0</v>
      </c>
      <c r="K217" s="163">
        <f>VLOOKUP(B217,[1]weeks!$B$107:$BO$144,12,FALSE)-VLOOKUP(B217,[1]weeks!$B$156:$BO$193,12,FALSE)</f>
        <v>0</v>
      </c>
      <c r="L217" s="163">
        <f>VLOOKUP(B217,[1]weeks!$B$55:$BO$94,12,FALSE)-VLOOKUP(B217,[1]weeks!$B$107:$BO$144,12,FALSE)</f>
        <v>0</v>
      </c>
      <c r="M217" s="163">
        <f>VLOOKUP(B217,[1]weeks!$B$5:$BO$44,12,FALSE)-VLOOKUP(B217,[1]weeks!$B$55:$BO$94,12,FALSE)</f>
        <v>0</v>
      </c>
      <c r="N217" s="163" t="str">
        <f t="shared" si="93"/>
        <v>-</v>
      </c>
      <c r="O217" s="163">
        <f t="shared" si="94"/>
        <v>0</v>
      </c>
      <c r="P217" s="146">
        <f>IF(ISNUMBER(VLOOKUP(B217,[1]Closures!B:BI,12,FALSE)),TEXT(VLOOKUP(B217,[1]Closures!B:BI,12,FALSE),"ddmmm"),IF(C217&lt;=0,0,IF(I217&lt;=0,0,IF(AND(C217&gt;0,O217&lt;=0),"&gt;52",IF(I217/O217&gt;52,"&gt;52", MAX(0,I217/O217-2))))))</f>
        <v>0</v>
      </c>
    </row>
    <row r="218" spans="1:16" s="130" customFormat="1" ht="10.7" customHeight="1" x14ac:dyDescent="0.2">
      <c r="A218" s="122"/>
      <c r="B218" s="174" t="s">
        <v>142</v>
      </c>
      <c r="C218" s="162"/>
      <c r="D218" s="163">
        <f>F218-VLOOKUP(B218,[1]Quota!$B$32:$BJ$43,12,FALSE)</f>
        <v>0</v>
      </c>
      <c r="E218" s="163"/>
      <c r="F218" s="164">
        <f>VLOOKUP(B218,[1]Quota!$B$81:$BJ$92,12,FALSE)</f>
        <v>0</v>
      </c>
      <c r="G218" s="163"/>
      <c r="H218" s="165" t="str">
        <f>IF(AND(F218&lt;=0),"n/a",IF(F218=0,0,100*G218/F218))</f>
        <v>n/a</v>
      </c>
      <c r="I218" s="164">
        <f>F218-G218</f>
        <v>0</v>
      </c>
      <c r="J218" s="163"/>
      <c r="K218" s="163"/>
      <c r="L218" s="163"/>
      <c r="M218" s="163"/>
      <c r="N218" s="163"/>
      <c r="O218" s="163"/>
      <c r="P218" s="146"/>
    </row>
    <row r="219" spans="1:16" s="130" customFormat="1" ht="10.7" customHeight="1" x14ac:dyDescent="0.2">
      <c r="A219" s="122"/>
      <c r="B219" s="168" t="s">
        <v>143</v>
      </c>
      <c r="C219" s="162">
        <f>SUM(C214:C218)</f>
        <v>32</v>
      </c>
      <c r="D219" s="163">
        <f>SUM(D214:D218)</f>
        <v>0</v>
      </c>
      <c r="E219" s="163">
        <f t="shared" si="91"/>
        <v>9.9999999999994316E-2</v>
      </c>
      <c r="F219" s="164">
        <f>SUM(F214:F218)</f>
        <v>32.099999999999994</v>
      </c>
      <c r="G219" s="163">
        <f>SUM(G214:G218)</f>
        <v>0.89290000000000003</v>
      </c>
      <c r="H219" s="165">
        <f t="shared" si="90"/>
        <v>2.7816199376947046</v>
      </c>
      <c r="I219" s="164">
        <f t="shared" si="97"/>
        <v>31.207099999999993</v>
      </c>
      <c r="J219" s="163">
        <f t="shared" ref="J219:L219" si="98">SUM(J214:J217)</f>
        <v>0.28410000000000002</v>
      </c>
      <c r="K219" s="163">
        <f t="shared" si="98"/>
        <v>0</v>
      </c>
      <c r="L219" s="163">
        <f t="shared" si="98"/>
        <v>0.41699999999999998</v>
      </c>
      <c r="M219" s="163">
        <f>SUM(M214:M217)</f>
        <v>4.6000000000000476E-3</v>
      </c>
      <c r="N219" s="163">
        <f t="shared" si="93"/>
        <v>1.4330218068535976E-2</v>
      </c>
      <c r="O219" s="163">
        <f>SUM(J219:M219)/4</f>
        <v>0.17642500000000003</v>
      </c>
      <c r="P219" s="146" t="str">
        <f>IF(ISNUMBER(VLOOKUP(B219,[1]Closures!B:BI,12,FALSE)),TEXT(VLOOKUP(B219,[1]Closures!B:BI,12,FALSE),"ddmmm"),IF(C219&lt;=0,0,IF(I219&lt;=0,0,IF(AND(C219&gt;0,O219&lt;=0),"&gt;52",IF(I219/O219&gt;52,"&gt;52", MAX(0,I219/O219-2))))))</f>
        <v>&gt;52</v>
      </c>
    </row>
    <row r="220" spans="1:16" s="130" customFormat="1" ht="10.7" customHeight="1" x14ac:dyDescent="0.2">
      <c r="A220" s="122"/>
      <c r="B220" s="168"/>
      <c r="C220" s="162"/>
      <c r="D220" s="163"/>
      <c r="E220" s="163"/>
      <c r="F220" s="164"/>
      <c r="G220" s="163"/>
      <c r="H220" s="165"/>
      <c r="I220" s="164"/>
      <c r="J220" s="163"/>
      <c r="K220" s="163"/>
      <c r="L220" s="163"/>
      <c r="M220" s="163"/>
      <c r="N220" s="163"/>
      <c r="O220" s="163"/>
      <c r="P220" s="146"/>
    </row>
    <row r="221" spans="1:16" s="130" customFormat="1" ht="10.7" customHeight="1" x14ac:dyDescent="0.2">
      <c r="A221" s="122"/>
      <c r="B221" s="175" t="s">
        <v>112</v>
      </c>
      <c r="C221" s="176">
        <f>C219+C212</f>
        <v>34.700000000000003</v>
      </c>
      <c r="D221" s="180">
        <f>D219+D212</f>
        <v>0</v>
      </c>
      <c r="E221" s="180">
        <f t="shared" si="91"/>
        <v>0</v>
      </c>
      <c r="F221" s="189">
        <f>F219+F212</f>
        <v>34.699999999999996</v>
      </c>
      <c r="G221" s="180">
        <f>G219+G212</f>
        <v>1.071</v>
      </c>
      <c r="H221" s="179">
        <f t="shared" si="90"/>
        <v>3.0864553314121039</v>
      </c>
      <c r="I221" s="218">
        <f t="shared" si="97"/>
        <v>33.628999999999998</v>
      </c>
      <c r="J221" s="180">
        <f t="shared" ref="J221:L221" si="99">J212+J219</f>
        <v>0.2853</v>
      </c>
      <c r="K221" s="180">
        <f t="shared" si="99"/>
        <v>1.3000000000000012E-2</v>
      </c>
      <c r="L221" s="180">
        <f t="shared" si="99"/>
        <v>0.42549999999999999</v>
      </c>
      <c r="M221" s="180">
        <f>M212+M219</f>
        <v>4.3500000000000066E-2</v>
      </c>
      <c r="N221" s="180">
        <f t="shared" si="93"/>
        <v>0.12536023054755063</v>
      </c>
      <c r="O221" s="180">
        <f>SUM(J221:M221)/4</f>
        <v>0.19182500000000002</v>
      </c>
      <c r="P221" s="153" t="str">
        <f>IF(ISNUMBER(VLOOKUP(B221,[1]Closures!B:BI,12,FALSE)),TEXT(VLOOKUP(B221,[1]Closures!B:BI,12,FALSE),"ddmmm"),IF(C221&lt;=0,0,IF(I221&lt;=0,0,IF(AND(C221&gt;0,O221&lt;=0),"&gt;52",IF(I221/O221&gt;52,"&gt;52", MAX(0,I221/O221-2))))))</f>
        <v>&gt;52</v>
      </c>
    </row>
    <row r="222" spans="1:16" s="130" customFormat="1" ht="10.7" customHeight="1" x14ac:dyDescent="0.2">
      <c r="A222" s="122"/>
      <c r="B222" s="212"/>
      <c r="C222" s="173"/>
      <c r="D222" s="163"/>
      <c r="E222" s="163"/>
      <c r="F222" s="164"/>
      <c r="G222" s="163"/>
      <c r="H222" s="165"/>
      <c r="I222" s="164"/>
      <c r="J222" s="163"/>
      <c r="K222" s="163"/>
      <c r="L222" s="163"/>
      <c r="M222" s="163"/>
      <c r="N222" s="163"/>
      <c r="O222" s="163"/>
      <c r="P222" s="182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tr">
        <f>C5</f>
        <v>Initial Quota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f>[1]weeks!$B$154</f>
        <v>43166</v>
      </c>
      <c r="K226" s="151">
        <f>[1]weeks!$B$105</f>
        <v>43173</v>
      </c>
      <c r="L226" s="151">
        <f>[1]weeks!$B$55</f>
        <v>43180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6"/>
      <c r="C228" s="193" t="s">
        <v>174</v>
      </c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4"/>
      <c r="P228" s="145"/>
    </row>
    <row r="229" spans="1:16" s="130" customFormat="1" ht="10.7" customHeight="1" x14ac:dyDescent="0.2">
      <c r="A229" s="122"/>
      <c r="B229" s="161" t="s">
        <v>132</v>
      </c>
      <c r="C229" s="162">
        <f>'[2]IV&amp;VI Combined'!$L$29</f>
        <v>0</v>
      </c>
      <c r="D229" s="163">
        <f>F229-VLOOKUP(B229,[1]Quota!$B$103:$BJ$143,13,FALSE)</f>
        <v>0</v>
      </c>
      <c r="E229" s="163">
        <f>F229-C229</f>
        <v>0</v>
      </c>
      <c r="F229" s="164">
        <f>VLOOKUP(B229,[1]Quota!$B$81:$BJ$92,13,FALSE)</f>
        <v>0</v>
      </c>
      <c r="G229" s="163">
        <f>'[1]Cumulative '!N221</f>
        <v>0</v>
      </c>
      <c r="H229" s="165" t="str">
        <f t="shared" ref="H229:H243" si="100">IF(AND(F229&lt;=0),"n/a",IF(F229=0,0,100*G229/F229))</f>
        <v>n/a</v>
      </c>
      <c r="I229" s="164">
        <f>F229-G229</f>
        <v>0</v>
      </c>
      <c r="J229" s="163">
        <f>VLOOKUP(B229,[1]weeks!$B$156:$BO$193,13,FALSE)-VLOOKUP(B229,[1]weeks!$B$206:$BO$243,13,FALSE)</f>
        <v>0</v>
      </c>
      <c r="K229" s="163">
        <f>VLOOKUP(B229,[1]weeks!$B$107:$BO$144,13,FALSE)-VLOOKUP(B229,[1]weeks!$B$156:$BO$193,13,FALSE)</f>
        <v>0</v>
      </c>
      <c r="L229" s="163">
        <f>VLOOKUP(B229,[1]weeks!$B$55:$BO$94,13,FALSE)-VLOOKUP(B229,[1]weeks!$B$107:$BO$144,13,FALSE)</f>
        <v>0</v>
      </c>
      <c r="M229" s="163">
        <f>VLOOKUP(B229,[1]weeks!$B$5:$BO$44,13,FALSE)-VLOOKUP(B229,[1]weeks!$B$55:$BO$94,13,FALSE)</f>
        <v>0</v>
      </c>
      <c r="N229" s="163" t="str">
        <f>IF(F229&gt;0,M229/F229*100,"-")</f>
        <v>-</v>
      </c>
      <c r="O229" s="163">
        <f>SUM(J229:M229)/4</f>
        <v>0</v>
      </c>
      <c r="P229" s="146" t="str">
        <f>IF(ISNUMBER(VLOOKUP(B229,[1]Closures!B:BI,13,FALSE)),TEXT(VLOOKUP(B229,[1]Closures!B:BI,13,FALSE),"ddmmm"),IF(C229&lt;=0,0,IF(I229&lt;=0,0,IF(AND(C229&gt;0,O229&lt;=0),"&gt;52",IF(I229/O229&gt;52,"&gt;52", MAX(0,I229/O229-2))))))</f>
        <v>01Jan</v>
      </c>
    </row>
    <row r="230" spans="1:16" s="130" customFormat="1" ht="10.7" customHeight="1" x14ac:dyDescent="0.2">
      <c r="A230" s="122"/>
      <c r="B230" s="161" t="s">
        <v>133</v>
      </c>
      <c r="C230" s="162">
        <f>'[2]IV&amp;VI Combined'!$L$30</f>
        <v>0</v>
      </c>
      <c r="D230" s="163">
        <f>F230-VLOOKUP(B230,[1]Quota!$B$103:$BJ$143,13,FALSE)</f>
        <v>0</v>
      </c>
      <c r="E230" s="163">
        <f t="shared" ref="E230:E243" si="101">F230-C230</f>
        <v>0</v>
      </c>
      <c r="F230" s="164">
        <f>VLOOKUP(B230,[1]Quota!$B$81:$BJ$92,13,FALSE)</f>
        <v>0</v>
      </c>
      <c r="G230" s="163">
        <f>'[1]Cumulative '!N222</f>
        <v>0</v>
      </c>
      <c r="H230" s="165" t="str">
        <f t="shared" si="100"/>
        <v>n/a</v>
      </c>
      <c r="I230" s="164">
        <f t="shared" ref="I230:I233" si="102">F230-G230</f>
        <v>0</v>
      </c>
      <c r="J230" s="163">
        <f>VLOOKUP(B230,[1]weeks!$B$156:$BO$193,13,FALSE)-VLOOKUP(B230,[1]weeks!$B$206:$BO$243,13,FALSE)</f>
        <v>0</v>
      </c>
      <c r="K230" s="163">
        <f>VLOOKUP(B230,[1]weeks!$B$107:$BO$144,13,FALSE)-VLOOKUP(B230,[1]weeks!$B$156:$BO$193,13,FALSE)</f>
        <v>0</v>
      </c>
      <c r="L230" s="163">
        <f>VLOOKUP(B230,[1]weeks!$B$55:$BO$94,13,FALSE)-VLOOKUP(B230,[1]weeks!$B$107:$BO$144,13,FALSE)</f>
        <v>0</v>
      </c>
      <c r="M230" s="163">
        <f>VLOOKUP(B230,[1]weeks!$B$5:$BO$44,13,FALSE)-VLOOKUP(B230,[1]weeks!$B$55:$BO$94,13,FALSE)</f>
        <v>0</v>
      </c>
      <c r="N230" s="163" t="str">
        <f t="shared" ref="N230:N243" si="103">IF(F230&gt;0,M230/F230*100,"-")</f>
        <v>-</v>
      </c>
      <c r="O230" s="163">
        <f t="shared" ref="O230:O239" si="104">SUM(J230:M230)/4</f>
        <v>0</v>
      </c>
      <c r="P230" s="146" t="str">
        <f>IF(ISNUMBER(VLOOKUP(B230,[1]Closures!B:BI,13,FALSE)),TEXT(VLOOKUP(B230,[1]Closures!B:BI,13,FALSE),"ddmmm"),IF(C230&lt;=0,0,IF(I230&lt;=0,0,IF(AND(C230&gt;0,O230&lt;=0),"&gt;52",IF(I230/O230&gt;52,"&gt;52", MAX(0,I230/O230-2))))))</f>
        <v>01Jan</v>
      </c>
    </row>
    <row r="231" spans="1:16" s="130" customFormat="1" ht="10.7" customHeight="1" x14ac:dyDescent="0.2">
      <c r="A231" s="122"/>
      <c r="B231" s="161" t="s">
        <v>134</v>
      </c>
      <c r="C231" s="162">
        <f>'[2]IV&amp;VI Combined'!$L$31</f>
        <v>0</v>
      </c>
      <c r="D231" s="163">
        <f>F231-VLOOKUP(B231,[1]Quota!$B$103:$BJ$143,13,FALSE)</f>
        <v>0</v>
      </c>
      <c r="E231" s="163">
        <f t="shared" si="101"/>
        <v>0</v>
      </c>
      <c r="F231" s="164">
        <f>VLOOKUP(B231,[1]Quota!$B$81:$BJ$92,13,FALSE)</f>
        <v>0</v>
      </c>
      <c r="G231" s="163">
        <f>'[1]Cumulative '!N223</f>
        <v>0</v>
      </c>
      <c r="H231" s="165" t="str">
        <f t="shared" si="100"/>
        <v>n/a</v>
      </c>
      <c r="I231" s="164">
        <f t="shared" si="102"/>
        <v>0</v>
      </c>
      <c r="J231" s="163">
        <f>VLOOKUP(B231,[1]weeks!$B$156:$BO$193,13,FALSE)-VLOOKUP(B231,[1]weeks!$B$206:$BO$243,13,FALSE)</f>
        <v>0</v>
      </c>
      <c r="K231" s="163">
        <f>VLOOKUP(B231,[1]weeks!$B$107:$BO$144,13,FALSE)-VLOOKUP(B231,[1]weeks!$B$156:$BO$193,13,FALSE)</f>
        <v>0</v>
      </c>
      <c r="L231" s="163">
        <f>VLOOKUP(B231,[1]weeks!$B$55:$BO$94,13,FALSE)-VLOOKUP(B231,[1]weeks!$B$107:$BO$144,13,FALSE)</f>
        <v>0</v>
      </c>
      <c r="M231" s="163">
        <f>VLOOKUP(B231,[1]weeks!$B$5:$BO$44,13,FALSE)-VLOOKUP(B231,[1]weeks!$B$55:$BO$94,13,FALSE)</f>
        <v>0</v>
      </c>
      <c r="N231" s="163" t="str">
        <f t="shared" si="103"/>
        <v>-</v>
      </c>
      <c r="O231" s="163">
        <f t="shared" si="104"/>
        <v>0</v>
      </c>
      <c r="P231" s="146" t="str">
        <f>IF(ISNUMBER(VLOOKUP(B231,[1]Closures!B:BI,13,FALSE)),TEXT(VLOOKUP(B231,[1]Closures!B:BI,13,FALSE),"ddmmm"),IF(C231&lt;=0,0,IF(I231&lt;=0,0,IF(AND(C231&gt;0,O231&lt;=0),"&gt;52",IF(I231/O231&gt;52,"&gt;52", MAX(0,I231/O231-2))))))</f>
        <v>01Jan</v>
      </c>
    </row>
    <row r="232" spans="1:16" s="130" customFormat="1" ht="10.7" customHeight="1" x14ac:dyDescent="0.2">
      <c r="A232" s="122"/>
      <c r="B232" s="161" t="s">
        <v>135</v>
      </c>
      <c r="C232" s="162">
        <f>'[2]IV&amp;VI Combined'!$L$32</f>
        <v>0</v>
      </c>
      <c r="D232" s="163">
        <f>F232-VLOOKUP(B232,[1]Quota!$B$103:$BJ$143,13,FALSE)</f>
        <v>0</v>
      </c>
      <c r="E232" s="163">
        <f t="shared" si="101"/>
        <v>0</v>
      </c>
      <c r="F232" s="164">
        <f>VLOOKUP(B232,[1]Quota!$B$81:$BJ$92,13,FALSE)</f>
        <v>0</v>
      </c>
      <c r="G232" s="163">
        <f>'[1]Cumulative '!N224</f>
        <v>0</v>
      </c>
      <c r="H232" s="165" t="str">
        <f t="shared" si="100"/>
        <v>n/a</v>
      </c>
      <c r="I232" s="164">
        <f t="shared" si="102"/>
        <v>0</v>
      </c>
      <c r="J232" s="163">
        <f>VLOOKUP(B232,[1]weeks!$B$156:$BO$193,13,FALSE)-VLOOKUP(B232,[1]weeks!$B$206:$BO$243,13,FALSE)</f>
        <v>0</v>
      </c>
      <c r="K232" s="163">
        <f>VLOOKUP(B232,[1]weeks!$B$107:$BO$144,13,FALSE)-VLOOKUP(B232,[1]weeks!$B$156:$BO$193,13,FALSE)</f>
        <v>0</v>
      </c>
      <c r="L232" s="163">
        <f>VLOOKUP(B232,[1]weeks!$B$55:$BO$94,13,FALSE)-VLOOKUP(B232,[1]weeks!$B$107:$BO$144,13,FALSE)</f>
        <v>0</v>
      </c>
      <c r="M232" s="163">
        <f>VLOOKUP(B232,[1]weeks!$B$5:$BO$44,13,FALSE)-VLOOKUP(B232,[1]weeks!$B$55:$BO$94,13,FALSE)</f>
        <v>0</v>
      </c>
      <c r="N232" s="163" t="str">
        <f t="shared" si="103"/>
        <v>-</v>
      </c>
      <c r="O232" s="163">
        <f t="shared" si="104"/>
        <v>0</v>
      </c>
      <c r="P232" s="146" t="str">
        <f>IF(ISNUMBER(VLOOKUP(B232,[1]Closures!B:BI,13,FALSE)),TEXT(VLOOKUP(B232,[1]Closures!B:BI,13,FALSE),"ddmmm"),IF(C232&lt;=0,0,IF(I232&lt;=0,0,IF(AND(C232&gt;0,O232&lt;=0),"&gt;52",IF(I232/O232&gt;52,"&gt;52", MAX(0,I232/O232-2))))))</f>
        <v>01Jan</v>
      </c>
    </row>
    <row r="233" spans="1:16" s="130" customFormat="1" ht="10.7" customHeight="1" x14ac:dyDescent="0.2">
      <c r="A233" s="122"/>
      <c r="B233" s="161" t="s">
        <v>136</v>
      </c>
      <c r="C233" s="162"/>
      <c r="D233" s="163">
        <f>F233-VLOOKUP(B233,[1]Quota!$B$32:$BJ$43,13,FALSE)</f>
        <v>0</v>
      </c>
      <c r="E233" s="163"/>
      <c r="F233" s="164">
        <f>VLOOKUP(B233,[1]Quota!$B$81:$BJ$92,13,FALSE)</f>
        <v>0</v>
      </c>
      <c r="G233" s="163"/>
      <c r="H233" s="165" t="str">
        <f t="shared" si="100"/>
        <v>n/a</v>
      </c>
      <c r="I233" s="164">
        <f t="shared" si="102"/>
        <v>0</v>
      </c>
      <c r="J233" s="163"/>
      <c r="K233" s="163"/>
      <c r="L233" s="163"/>
      <c r="M233" s="163"/>
      <c r="N233" s="163"/>
      <c r="O233" s="163"/>
      <c r="P233" s="146"/>
    </row>
    <row r="234" spans="1:16" s="130" customFormat="1" ht="10.7" customHeight="1" x14ac:dyDescent="0.2">
      <c r="A234" s="122"/>
      <c r="B234" s="168" t="s">
        <v>137</v>
      </c>
      <c r="C234" s="162">
        <f>SUM(C229:C232)</f>
        <v>0</v>
      </c>
      <c r="D234" s="163">
        <f>SUM(D229:D233)</f>
        <v>0</v>
      </c>
      <c r="E234" s="163">
        <f t="shared" si="101"/>
        <v>0</v>
      </c>
      <c r="F234" s="217">
        <f t="shared" ref="F234" si="105">SUM(F229:F232)</f>
        <v>0</v>
      </c>
      <c r="G234" s="163">
        <f>SUM(G229:G232)</f>
        <v>0</v>
      </c>
      <c r="H234" s="165" t="str">
        <f t="shared" si="100"/>
        <v>n/a</v>
      </c>
      <c r="I234" s="217">
        <f t="shared" ref="I234:L234" si="106">SUM(I229:I232)</f>
        <v>0</v>
      </c>
      <c r="J234" s="163">
        <f t="shared" si="106"/>
        <v>0</v>
      </c>
      <c r="K234" s="163">
        <f t="shared" si="106"/>
        <v>0</v>
      </c>
      <c r="L234" s="163">
        <f t="shared" si="106"/>
        <v>0</v>
      </c>
      <c r="M234" s="163">
        <f>SUM(M229:M232)</f>
        <v>0</v>
      </c>
      <c r="N234" s="163" t="str">
        <f t="shared" si="103"/>
        <v>-</v>
      </c>
      <c r="O234" s="163">
        <f t="shared" si="104"/>
        <v>0</v>
      </c>
      <c r="P234" s="146">
        <f>IF(ISNUMBER(VLOOKUP(B234,[1]Closures!B:BI,13,FALSE)),TEXT(VLOOKUP(B234,[1]Closures!B:BI,13,FALSE),"ddmmm"),IF(C234&lt;=0,0,IF(I234&lt;=0,0,IF(AND(C234&gt;0,O234&lt;=0),"&gt;52",IF(I234/O234&gt;52,"&gt;52", MAX(0,I234/O234-2))))))</f>
        <v>0</v>
      </c>
    </row>
    <row r="235" spans="1:16" s="130" customFormat="1" ht="10.7" customHeight="1" x14ac:dyDescent="0.2">
      <c r="A235" s="122"/>
      <c r="B235" s="168"/>
      <c r="C235" s="162"/>
      <c r="D235" s="163"/>
      <c r="E235" s="163"/>
      <c r="F235" s="164"/>
      <c r="G235" s="163"/>
      <c r="H235" s="165"/>
      <c r="I235" s="164"/>
      <c r="J235" s="163"/>
      <c r="K235" s="163"/>
      <c r="L235" s="163"/>
      <c r="M235" s="163"/>
      <c r="N235" s="163" t="str">
        <f t="shared" si="103"/>
        <v>-</v>
      </c>
      <c r="O235" s="163"/>
      <c r="P235" s="146"/>
    </row>
    <row r="236" spans="1:16" s="130" customFormat="1" ht="10.7" customHeight="1" x14ac:dyDescent="0.2">
      <c r="A236" s="122"/>
      <c r="B236" s="174" t="s">
        <v>138</v>
      </c>
      <c r="C236" s="162">
        <f>'[2]IV&amp;VI Combined'!$L$36</f>
        <v>0.1</v>
      </c>
      <c r="D236" s="163">
        <f>F236-VLOOKUP(B236,[1]Quota!$B$103:$BJ$143,13,FALSE)</f>
        <v>0</v>
      </c>
      <c r="E236" s="163">
        <f t="shared" si="101"/>
        <v>1</v>
      </c>
      <c r="F236" s="164">
        <f>VLOOKUP(B236,[1]Quota!$B$81:$BJ$92,13,FALSE)</f>
        <v>1.1000000000000001</v>
      </c>
      <c r="G236" s="163">
        <f>'[1]Cumulative '!N228</f>
        <v>0</v>
      </c>
      <c r="H236" s="165">
        <f t="shared" si="100"/>
        <v>0</v>
      </c>
      <c r="I236" s="164">
        <f t="shared" ref="I236:I243" si="107">F236-G236</f>
        <v>1.1000000000000001</v>
      </c>
      <c r="J236" s="163">
        <f>VLOOKUP(B236,[1]weeks!$B$156:$BO$193,13,FALSE)-VLOOKUP(B236,[1]weeks!$B$206:$BO$243,13,FALSE)</f>
        <v>0</v>
      </c>
      <c r="K236" s="163">
        <f>VLOOKUP(B236,[1]weeks!$B$107:$BO$144,13,FALSE)-VLOOKUP(B236,[1]weeks!$B$156:$BO$193,13,FALSE)</f>
        <v>0</v>
      </c>
      <c r="L236" s="163">
        <f>VLOOKUP(B236,[1]weeks!$B$55:$BO$94,13,FALSE)-VLOOKUP(B236,[1]weeks!$B$107:$BO$144,13,FALSE)</f>
        <v>0</v>
      </c>
      <c r="M236" s="163">
        <f>VLOOKUP(B236,[1]weeks!$B$5:$BO$44,13,FALSE)-VLOOKUP(B236,[1]weeks!$B$55:$BO$94,13,FALSE)</f>
        <v>0</v>
      </c>
      <c r="N236" s="163">
        <f t="shared" si="103"/>
        <v>0</v>
      </c>
      <c r="O236" s="163">
        <f t="shared" si="104"/>
        <v>0</v>
      </c>
      <c r="P236" s="146" t="str">
        <f>IF(ISNUMBER(VLOOKUP(B236,[1]Closures!B:BI,13,FALSE)),TEXT(VLOOKUP(B236,[1]Closures!B:BI,13,FALSE),"ddmmm"),IF(C236&lt;=0,0,IF(I236&lt;=0,0,IF(AND(C236&gt;0,O236&lt;=0),"&gt;52",IF(I236/O236&gt;52,"&gt;52", MAX(0,I236/O236-2))))))</f>
        <v>&gt;52</v>
      </c>
    </row>
    <row r="237" spans="1:16" s="130" customFormat="1" ht="10.7" customHeight="1" x14ac:dyDescent="0.2">
      <c r="A237" s="122"/>
      <c r="B237" s="174" t="s">
        <v>139</v>
      </c>
      <c r="C237" s="162">
        <f>'[2]IV&amp;VI Combined'!$L$37</f>
        <v>0</v>
      </c>
      <c r="D237" s="163">
        <f>F237-VLOOKUP(B237,[1]Quota!$B$103:$BJ$143,13,FALSE)</f>
        <v>0</v>
      </c>
      <c r="E237" s="163">
        <f t="shared" si="101"/>
        <v>0</v>
      </c>
      <c r="F237" s="164">
        <f>VLOOKUP(B237,[1]Quota!$B$81:$BJ$92,13,FALSE)</f>
        <v>0</v>
      </c>
      <c r="G237" s="163">
        <f>'[1]Cumulative '!N229</f>
        <v>0</v>
      </c>
      <c r="H237" s="165" t="str">
        <f t="shared" si="100"/>
        <v>n/a</v>
      </c>
      <c r="I237" s="164">
        <f t="shared" si="107"/>
        <v>0</v>
      </c>
      <c r="J237" s="163">
        <f>VLOOKUP(B237,[1]weeks!$B$156:$BO$193,13,FALSE)-VLOOKUP(B237,[1]weeks!$B$206:$BO$243,13,FALSE)</f>
        <v>0</v>
      </c>
      <c r="K237" s="163">
        <f>VLOOKUP(B237,[1]weeks!$B$107:$BO$144,13,FALSE)-VLOOKUP(B237,[1]weeks!$B$156:$BO$193,13,FALSE)</f>
        <v>0</v>
      </c>
      <c r="L237" s="163">
        <f>VLOOKUP(B237,[1]weeks!$B$55:$BO$94,13,FALSE)-VLOOKUP(B237,[1]weeks!$B$107:$BO$144,13,FALSE)</f>
        <v>0</v>
      </c>
      <c r="M237" s="163">
        <f>VLOOKUP(B237,[1]weeks!$B$5:$BO$44,13,FALSE)-VLOOKUP(B237,[1]weeks!$B$55:$BO$94,13,FALSE)</f>
        <v>0</v>
      </c>
      <c r="N237" s="163" t="str">
        <f t="shared" si="103"/>
        <v>-</v>
      </c>
      <c r="O237" s="163">
        <f t="shared" si="104"/>
        <v>0</v>
      </c>
      <c r="P237" s="146">
        <f>IF(ISNUMBER(VLOOKUP(B237,[1]Closures!B:BI,13,FALSE)),TEXT(VLOOKUP(B237,[1]Closures!B:BI,13,FALSE),"ddmmm"),IF(C237&lt;=0,0,IF(I237&lt;=0,0,IF(AND(C237&gt;0,O237&lt;=0),"&gt;52",IF(I237/O237&gt;52,"&gt;52", MAX(0,I237/O237-2))))))</f>
        <v>0</v>
      </c>
    </row>
    <row r="238" spans="1:16" s="130" customFormat="1" ht="10.7" customHeight="1" x14ac:dyDescent="0.2">
      <c r="A238" s="122"/>
      <c r="B238" s="174" t="s">
        <v>140</v>
      </c>
      <c r="C238" s="162">
        <f>'[2]IV&amp;VI Combined'!$L$38</f>
        <v>1.8</v>
      </c>
      <c r="D238" s="163">
        <f>F238-VLOOKUP(B238,[1]Quota!$B$103:$BJ$143,13,FALSE)</f>
        <v>0</v>
      </c>
      <c r="E238" s="163">
        <f t="shared" si="101"/>
        <v>0</v>
      </c>
      <c r="F238" s="164">
        <f>VLOOKUP(B238,[1]Quota!$B$81:$BJ$92,13,FALSE)</f>
        <v>1.8</v>
      </c>
      <c r="G238" s="163">
        <f>'[1]Cumulative '!N230</f>
        <v>0</v>
      </c>
      <c r="H238" s="165">
        <f t="shared" si="100"/>
        <v>0</v>
      </c>
      <c r="I238" s="164">
        <f t="shared" si="107"/>
        <v>1.8</v>
      </c>
      <c r="J238" s="163">
        <f>VLOOKUP(B238,[1]weeks!$B$156:$BO$193,13,FALSE)-VLOOKUP(B238,[1]weeks!$B$206:$BO$243,13,FALSE)</f>
        <v>0</v>
      </c>
      <c r="K238" s="163">
        <f>VLOOKUP(B238,[1]weeks!$B$107:$BO$144,13,FALSE)-VLOOKUP(B238,[1]weeks!$B$156:$BO$193,13,FALSE)</f>
        <v>0</v>
      </c>
      <c r="L238" s="163">
        <f>VLOOKUP(B238,[1]weeks!$B$55:$BO$94,13,FALSE)-VLOOKUP(B238,[1]weeks!$B$107:$BO$144,13,FALSE)</f>
        <v>0</v>
      </c>
      <c r="M238" s="163">
        <f>VLOOKUP(B238,[1]weeks!$B$5:$BO$44,13,FALSE)-VLOOKUP(B238,[1]weeks!$B$55:$BO$94,13,FALSE)</f>
        <v>0</v>
      </c>
      <c r="N238" s="163">
        <f t="shared" si="103"/>
        <v>0</v>
      </c>
      <c r="O238" s="163">
        <f t="shared" si="104"/>
        <v>0</v>
      </c>
      <c r="P238" s="146" t="str">
        <f>IF(ISNUMBER(VLOOKUP(B238,[1]Closures!B:BI,13,FALSE)),TEXT(VLOOKUP(B238,[1]Closures!B:BI,13,FALSE),"ddmmm"),IF(C238&lt;=0,0,IF(I238&lt;=0,0,IF(AND(C238&gt;0,O238&lt;=0),"&gt;52",IF(I238/O238&gt;52,"&gt;52", MAX(0,I238/O238-2))))))</f>
        <v>&gt;52</v>
      </c>
    </row>
    <row r="239" spans="1:16" s="130" customFormat="1" ht="10.7" customHeight="1" x14ac:dyDescent="0.2">
      <c r="A239" s="122"/>
      <c r="B239" s="174" t="s">
        <v>141</v>
      </c>
      <c r="C239" s="162">
        <f>'[2]IV&amp;VI Combined'!$L$39</f>
        <v>0</v>
      </c>
      <c r="D239" s="163">
        <f>F239-VLOOKUP(B239,[1]Quota!$B$103:$BJ$143,13,FALSE)</f>
        <v>0</v>
      </c>
      <c r="E239" s="163">
        <f t="shared" si="101"/>
        <v>0</v>
      </c>
      <c r="F239" s="164">
        <f>VLOOKUP(B239,[1]Quota!$B$81:$BJ$92,13,FALSE)</f>
        <v>0</v>
      </c>
      <c r="G239" s="163">
        <f>'[1]Cumulative '!N231</f>
        <v>0</v>
      </c>
      <c r="H239" s="165" t="str">
        <f>IF(AND(F239&lt;=0),"n/a",IF(F239=0,0,100*G239/F239))</f>
        <v>n/a</v>
      </c>
      <c r="I239" s="164">
        <f t="shared" si="107"/>
        <v>0</v>
      </c>
      <c r="J239" s="163">
        <f>VLOOKUP(B239,[1]weeks!$B$156:$BO$193,13,FALSE)-VLOOKUP(B239,[1]weeks!$B$206:$BO$243,13,FALSE)</f>
        <v>0</v>
      </c>
      <c r="K239" s="163">
        <f>VLOOKUP(B239,[1]weeks!$B$107:$BO$144,13,FALSE)-VLOOKUP(B239,[1]weeks!$B$156:$BO$193,13,FALSE)</f>
        <v>0</v>
      </c>
      <c r="L239" s="163">
        <f>VLOOKUP(B239,[1]weeks!$B$55:$BO$94,13,FALSE)-VLOOKUP(B239,[1]weeks!$B$107:$BO$144,13,FALSE)</f>
        <v>0</v>
      </c>
      <c r="M239" s="163">
        <f>VLOOKUP(B239,[1]weeks!$B$5:$BO$44,13,FALSE)-VLOOKUP(B239,[1]weeks!$B$55:$BO$94,13,FALSE)</f>
        <v>0</v>
      </c>
      <c r="N239" s="163" t="str">
        <f t="shared" si="103"/>
        <v>-</v>
      </c>
      <c r="O239" s="163">
        <f t="shared" si="104"/>
        <v>0</v>
      </c>
      <c r="P239" s="146">
        <f>IF(ISNUMBER(VLOOKUP(B239,[1]Closures!B:BI,13,FALSE)),TEXT(VLOOKUP(B239,[1]Closures!B:BI,13,FALSE),"ddmmm"),IF(C239&lt;=0,0,IF(I239&lt;=0,0,IF(AND(C239&gt;0,O239&lt;=0),"&gt;52",IF(I239/O239&gt;52,"&gt;52", MAX(0,I239/O239-2))))))</f>
        <v>0</v>
      </c>
    </row>
    <row r="240" spans="1:16" s="130" customFormat="1" ht="10.7" customHeight="1" x14ac:dyDescent="0.2">
      <c r="A240" s="122"/>
      <c r="B240" s="174" t="s">
        <v>142</v>
      </c>
      <c r="C240" s="162"/>
      <c r="D240" s="163">
        <f>F240-VLOOKUP(B240,[1]Quota!$B$32:$BJ$43,13,FALSE)</f>
        <v>0</v>
      </c>
      <c r="E240" s="163"/>
      <c r="F240" s="164">
        <f>VLOOKUP(B240,[1]Quota!$B$81:$BJ$92,13,FALSE)</f>
        <v>0</v>
      </c>
      <c r="G240" s="163"/>
      <c r="H240" s="165" t="str">
        <f>IF(AND(F240&lt;=0),"n/a",IF(F240=0,0,100*G240/F240))</f>
        <v>n/a</v>
      </c>
      <c r="I240" s="164">
        <f>F240-G240</f>
        <v>0</v>
      </c>
      <c r="J240" s="163"/>
      <c r="K240" s="163"/>
      <c r="L240" s="163"/>
      <c r="M240" s="163"/>
      <c r="N240" s="163"/>
      <c r="O240" s="163"/>
      <c r="P240" s="146"/>
    </row>
    <row r="241" spans="1:16" s="130" customFormat="1" ht="10.7" customHeight="1" x14ac:dyDescent="0.2">
      <c r="A241" s="122"/>
      <c r="B241" s="168" t="s">
        <v>143</v>
      </c>
      <c r="C241" s="162">
        <f>SUM(C236:C240)</f>
        <v>1.9000000000000001</v>
      </c>
      <c r="D241" s="163">
        <f>SUM(D236:D240)</f>
        <v>0</v>
      </c>
      <c r="E241" s="163">
        <f t="shared" si="101"/>
        <v>1.0000000000000002</v>
      </c>
      <c r="F241" s="164">
        <f>SUM(F236:F240)</f>
        <v>2.9000000000000004</v>
      </c>
      <c r="G241" s="163">
        <f>SUM(G236:G240)</f>
        <v>0</v>
      </c>
      <c r="H241" s="165">
        <f t="shared" si="100"/>
        <v>0</v>
      </c>
      <c r="I241" s="164">
        <f t="shared" si="107"/>
        <v>2.9000000000000004</v>
      </c>
      <c r="J241" s="163">
        <f t="shared" ref="J241:L241" si="108">SUM(J236:J239)</f>
        <v>0</v>
      </c>
      <c r="K241" s="163">
        <f t="shared" si="108"/>
        <v>0</v>
      </c>
      <c r="L241" s="163">
        <f t="shared" si="108"/>
        <v>0</v>
      </c>
      <c r="M241" s="163">
        <f>SUM(M236:M239)</f>
        <v>0</v>
      </c>
      <c r="N241" s="163">
        <f t="shared" si="103"/>
        <v>0</v>
      </c>
      <c r="O241" s="163">
        <f>SUM(J241:M241)/4</f>
        <v>0</v>
      </c>
      <c r="P241" s="146" t="str">
        <f>IF(ISNUMBER(VLOOKUP(B241,[1]Closures!B:BI,13,FALSE)),TEXT(VLOOKUP(B241,[1]Closures!B:BI,13,FALSE),"ddmmm"),IF(C241&lt;=0,0,IF(I241&lt;=0,0,IF(AND(C241&gt;0,O241&lt;=0),"&gt;52",IF(I241/O241&gt;52,"&gt;52", MAX(0,I241/O241-2))))))</f>
        <v>&gt;52</v>
      </c>
    </row>
    <row r="242" spans="1:16" s="130" customFormat="1" ht="10.7" customHeight="1" x14ac:dyDescent="0.2">
      <c r="A242" s="122"/>
      <c r="B242" s="168"/>
      <c r="C242" s="162"/>
      <c r="D242" s="163"/>
      <c r="E242" s="163"/>
      <c r="F242" s="164"/>
      <c r="G242" s="163"/>
      <c r="H242" s="165"/>
      <c r="I242" s="164"/>
      <c r="J242" s="163"/>
      <c r="K242" s="163"/>
      <c r="L242" s="163"/>
      <c r="M242" s="163"/>
      <c r="N242" s="163"/>
      <c r="O242" s="163"/>
      <c r="P242" s="146"/>
    </row>
    <row r="243" spans="1:16" s="130" customFormat="1" ht="10.7" customHeight="1" x14ac:dyDescent="0.2">
      <c r="A243" s="122"/>
      <c r="B243" s="175" t="s">
        <v>112</v>
      </c>
      <c r="C243" s="176">
        <f>C241+C234</f>
        <v>1.9000000000000001</v>
      </c>
      <c r="D243" s="180">
        <f>D241+D234</f>
        <v>0</v>
      </c>
      <c r="E243" s="180">
        <f t="shared" si="101"/>
        <v>1.0000000000000002</v>
      </c>
      <c r="F243" s="189">
        <f>F241+F234</f>
        <v>2.9000000000000004</v>
      </c>
      <c r="G243" s="180">
        <f>G241+G234</f>
        <v>0</v>
      </c>
      <c r="H243" s="179">
        <f t="shared" si="100"/>
        <v>0</v>
      </c>
      <c r="I243" s="218">
        <f t="shared" si="107"/>
        <v>2.9000000000000004</v>
      </c>
      <c r="J243" s="180">
        <f t="shared" ref="J243:L243" si="109">J234+J241</f>
        <v>0</v>
      </c>
      <c r="K243" s="180">
        <f t="shared" si="109"/>
        <v>0</v>
      </c>
      <c r="L243" s="180">
        <f t="shared" si="109"/>
        <v>0</v>
      </c>
      <c r="M243" s="180">
        <f>M234+M241</f>
        <v>0</v>
      </c>
      <c r="N243" s="180">
        <f t="shared" si="103"/>
        <v>0</v>
      </c>
      <c r="O243" s="180">
        <f>SUM(J243:M243)/4</f>
        <v>0</v>
      </c>
      <c r="P243" s="153" t="str">
        <f>IF(ISNUMBER(VLOOKUP(B243,[1]Closures!B:BI,13,FALSE)),TEXT(VLOOKUP(B243,[1]Closures!B:BI,13,FALSE),"ddmmm"),IF(C243&lt;=0,0,IF(I243&lt;=0,0,IF(AND(C243&gt;0,O243&lt;=0),"&gt;52",IF(I243/O243&gt;52,"&gt;52", MAX(0,I243/O243-2))))))</f>
        <v>&gt;52</v>
      </c>
    </row>
    <row r="244" spans="1:16" s="130" customFormat="1" ht="10.7" customHeight="1" x14ac:dyDescent="0.2">
      <c r="A244" s="122"/>
      <c r="B244" s="181"/>
      <c r="C244" s="181"/>
      <c r="D244" s="163"/>
      <c r="E244" s="163"/>
      <c r="F244" s="164"/>
      <c r="G244" s="163"/>
      <c r="H244" s="2"/>
      <c r="I244" s="164"/>
      <c r="J244" s="163"/>
      <c r="K244" s="163"/>
      <c r="L244" s="163"/>
      <c r="M244" s="163"/>
      <c r="N244" s="163"/>
      <c r="O244" s="163"/>
      <c r="P244" s="182"/>
    </row>
    <row r="245" spans="1:16" s="130" customFormat="1" ht="10.7" customHeight="1" x14ac:dyDescent="0.2">
      <c r="A245" s="122"/>
      <c r="B245" s="181"/>
      <c r="C245" s="181"/>
      <c r="D245" s="183"/>
      <c r="E245" s="183"/>
      <c r="F245" s="184"/>
      <c r="G245" s="183"/>
      <c r="H245" s="163"/>
      <c r="I245" s="184"/>
      <c r="J245" s="185"/>
      <c r="K245" s="185"/>
      <c r="L245" s="185"/>
      <c r="M245" s="185"/>
      <c r="N245" s="173"/>
      <c r="O245" s="183"/>
      <c r="P245" s="182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tr">
        <f>C5</f>
        <v>Initial Quota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f>[1]weeks!$B$154</f>
        <v>43166</v>
      </c>
      <c r="K248" s="151">
        <f>[1]weeks!$B$105</f>
        <v>43173</v>
      </c>
      <c r="L248" s="151">
        <f>[1]weeks!$B$55</f>
        <v>43180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6"/>
      <c r="C250" s="193" t="s">
        <v>121</v>
      </c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4"/>
      <c r="P250" s="145"/>
    </row>
    <row r="251" spans="1:16" s="130" customFormat="1" ht="10.7" customHeight="1" x14ac:dyDescent="0.2">
      <c r="A251" s="122"/>
      <c r="B251" s="161" t="s">
        <v>132</v>
      </c>
      <c r="C251" s="162">
        <f>'[2]IV&amp;VI Combined'!$M$29</f>
        <v>0.2</v>
      </c>
      <c r="D251" s="163">
        <f>F251-VLOOKUP(B251,[1]Quota!$B$103:$BJ$143,14,FALSE)</f>
        <v>0</v>
      </c>
      <c r="E251" s="163">
        <f>F251-C251</f>
        <v>0</v>
      </c>
      <c r="F251" s="164">
        <f>VLOOKUP(B251,[1]Quota!$B$81:$BJ$92,14,FALSE)</f>
        <v>0.2</v>
      </c>
      <c r="G251" s="163">
        <f>'[1]Cumulative '!P221+'[1]Cumulative '!S221</f>
        <v>0.10199999999999999</v>
      </c>
      <c r="H251" s="165">
        <f t="shared" ref="H251:H265" si="110">IF(AND(F251&lt;=0),"n/a",IF(F251=0,0,100*G251/F251))</f>
        <v>50.999999999999993</v>
      </c>
      <c r="I251" s="164">
        <f>F251-G251</f>
        <v>9.8000000000000018E-2</v>
      </c>
      <c r="J251" s="163">
        <f>VLOOKUP(B251,[1]weeks!$B$156:$BO$193,15,FALSE)+VLOOKUP(B251,[1]weeks!$B$156:$BO$193,18,FALSE)-VLOOKUP(B251,[1]weeks!$B$206:$BO$243,15,FALSE)-VLOOKUP(B251,[1]weeks!$B$206:$BO$243,18,FALSE)</f>
        <v>1.9999999999999983E-3</v>
      </c>
      <c r="K251" s="163">
        <f>VLOOKUP(B251,[1]weeks!$B$107:$BO$144,15,FALSE)+VLOOKUP(B251,[1]weeks!$B$107:$BO$144,18,FALSE)-VLOOKUP(B251,[1]weeks!$B$156:$BO$193,15,FALSE)-VLOOKUP(B251,[1]weeks!$B$156:$BO$193,18,FALSE)</f>
        <v>0</v>
      </c>
      <c r="L251" s="163">
        <f>VLOOKUP(B251,[1]weeks!$B$55:$BO$94,15,FALSE)+VLOOKUP(B251,[1]weeks!$B$55:$BO$94,18,FALSE)-VLOOKUP(B251,[1]weeks!$B$107:$BO$144,15,FALSE)-VLOOKUP(B251,[1]weeks!$B$107:$BO$144,18,FALSE)</f>
        <v>3.1399999999999997E-2</v>
      </c>
      <c r="M251" s="163">
        <f>VLOOKUP(B251,[1]weeks!$B$5:$BO$44,15,FALSE)+VLOOKUP(B251,[1]weeks!$B$5:$BO$44,18,FALSE)-VLOOKUP(B251,[1]weeks!$B$55:$BO$94,15,FALSE)-VLOOKUP(B251,[1]weeks!$B$55:$BO$94,18,FALSE)</f>
        <v>2.9499999999999998E-2</v>
      </c>
      <c r="N251" s="163">
        <f>IF(F251&gt;0,M251/F251*100,"-")</f>
        <v>14.75</v>
      </c>
      <c r="O251" s="163">
        <f>SUM(J251:M251)/4</f>
        <v>1.5724999999999999E-2</v>
      </c>
      <c r="P251" s="146">
        <f>IF(ISNUMBER(VLOOKUP(B251,[1]Closures!B:BI,14,FALSE)),TEXT(VLOOKUP(B251,[1]Closures!B:BI,14,FALSE),"ddmmm"),IF(C251&lt;=0,0,IF(I251&lt;=0,0,IF(AND(C251&gt;0,O251&lt;=0),"&gt;52",IF(I251/O251&gt;52,"&gt;52", MAX(0,I251/O251-2))))))</f>
        <v>4.2321144674085867</v>
      </c>
    </row>
    <row r="252" spans="1:16" s="130" customFormat="1" ht="10.7" customHeight="1" x14ac:dyDescent="0.2">
      <c r="A252" s="122"/>
      <c r="B252" s="161" t="s">
        <v>133</v>
      </c>
      <c r="C252" s="162">
        <f>'[2]IV&amp;VI Combined'!$M$30</f>
        <v>0.1</v>
      </c>
      <c r="D252" s="163">
        <f>F252-VLOOKUP(B252,[1]Quota!$B$103:$BJ$143,14,FALSE)</f>
        <v>0</v>
      </c>
      <c r="E252" s="163">
        <f t="shared" ref="E252:E265" si="111">F252-C252</f>
        <v>-0.1</v>
      </c>
      <c r="F252" s="164">
        <f>VLOOKUP(B252,[1]Quota!$B$81:$BJ$92,14,FALSE)</f>
        <v>0</v>
      </c>
      <c r="G252" s="163">
        <f>'[1]Cumulative '!P222+'[1]Cumulative '!S222</f>
        <v>0</v>
      </c>
      <c r="H252" s="165" t="str">
        <f t="shared" si="110"/>
        <v>n/a</v>
      </c>
      <c r="I252" s="164">
        <f t="shared" ref="I252:I255" si="112">F252-G252</f>
        <v>0</v>
      </c>
      <c r="J252" s="163">
        <f>VLOOKUP(B252,[1]weeks!$B$156:$BO$193,15,FALSE)+VLOOKUP(B252,[1]weeks!$B$156:$BO$193,18,FALSE)-VLOOKUP(B252,[1]weeks!$B$206:$BO$243,15,FALSE)-VLOOKUP(B252,[1]weeks!$B$206:$BO$243,18,FALSE)</f>
        <v>0</v>
      </c>
      <c r="K252" s="163">
        <f>VLOOKUP(B252,[1]weeks!$B$107:$BO$144,15,FALSE)+VLOOKUP(B252,[1]weeks!$B$107:$BO$144,18,FALSE)-VLOOKUP(B252,[1]weeks!$B$156:$BO$193,15,FALSE)-VLOOKUP(B252,[1]weeks!$B$156:$BO$193,18,FALSE)</f>
        <v>0</v>
      </c>
      <c r="L252" s="163">
        <f>VLOOKUP(B252,[1]weeks!$B$55:$BO$94,15,FALSE)+VLOOKUP(B252,[1]weeks!$B$55:$BO$94,18,FALSE)-VLOOKUP(B252,[1]weeks!$B$107:$BO$144,15,FALSE)-VLOOKUP(B252,[1]weeks!$B$107:$BO$144,18,FALSE)</f>
        <v>0</v>
      </c>
      <c r="M252" s="163">
        <f>VLOOKUP(B252,[1]weeks!$B$5:$BO$44,15,FALSE)+VLOOKUP(B252,[1]weeks!$B$5:$BO$44,18,FALSE)-VLOOKUP(B252,[1]weeks!$B$55:$BO$94,15,FALSE)-VLOOKUP(B252,[1]weeks!$B$55:$BO$94,18,FALSE)</f>
        <v>0</v>
      </c>
      <c r="N252" s="163" t="str">
        <f t="shared" ref="N252:N265" si="113">IF(F252&gt;0,M252/F252*100,"-")</f>
        <v>-</v>
      </c>
      <c r="O252" s="163">
        <f t="shared" ref="O252:O261" si="114">SUM(J252:M252)/4</f>
        <v>0</v>
      </c>
      <c r="P252" s="146">
        <f>IF(ISNUMBER(VLOOKUP(B252,[1]Closures!B:BI,14,FALSE)),TEXT(VLOOKUP(B252,[1]Closures!B:BI,14,FALSE),"ddmmm"),IF(C252&lt;=0,0,IF(I252&lt;=0,0,IF(AND(C252&gt;0,O252&lt;=0),"&gt;52",IF(I252/O252&gt;52,"&gt;52", MAX(0,I252/O252-2))))))</f>
        <v>0</v>
      </c>
    </row>
    <row r="253" spans="1:16" s="130" customFormat="1" ht="10.7" customHeight="1" x14ac:dyDescent="0.2">
      <c r="A253" s="122"/>
      <c r="B253" s="161" t="s">
        <v>134</v>
      </c>
      <c r="C253" s="162">
        <f>'[2]IV&amp;VI Combined'!$M$31</f>
        <v>0.9</v>
      </c>
      <c r="D253" s="163">
        <f>F253-VLOOKUP(B253,[1]Quota!$B$103:$BJ$143,14,FALSE)</f>
        <v>0</v>
      </c>
      <c r="E253" s="163">
        <f t="shared" si="111"/>
        <v>0</v>
      </c>
      <c r="F253" s="164">
        <f>VLOOKUP(B253,[1]Quota!$B$81:$BJ$92,14,FALSE)</f>
        <v>0.9</v>
      </c>
      <c r="G253" s="163">
        <f>'[1]Cumulative '!P223+'[1]Cumulative '!S223</f>
        <v>0</v>
      </c>
      <c r="H253" s="165">
        <f t="shared" si="110"/>
        <v>0</v>
      </c>
      <c r="I253" s="164">
        <f t="shared" si="112"/>
        <v>0.9</v>
      </c>
      <c r="J253" s="163">
        <f>VLOOKUP(B253,[1]weeks!$B$156:$BO$193,15,FALSE)+VLOOKUP(B253,[1]weeks!$B$156:$BO$193,18,FALSE)-VLOOKUP(B253,[1]weeks!$B$206:$BO$243,15,FALSE)-VLOOKUP(B253,[1]weeks!$B$206:$BO$243,18,FALSE)</f>
        <v>0</v>
      </c>
      <c r="K253" s="163">
        <f>VLOOKUP(B253,[1]weeks!$B$107:$BO$144,15,FALSE)+VLOOKUP(B253,[1]weeks!$B$107:$BO$144,18,FALSE)-VLOOKUP(B253,[1]weeks!$B$156:$BO$193,15,FALSE)-VLOOKUP(B253,[1]weeks!$B$156:$BO$193,18,FALSE)</f>
        <v>0</v>
      </c>
      <c r="L253" s="163">
        <f>VLOOKUP(B253,[1]weeks!$B$55:$BO$94,15,FALSE)+VLOOKUP(B253,[1]weeks!$B$55:$BO$94,18,FALSE)-VLOOKUP(B253,[1]weeks!$B$107:$BO$144,15,FALSE)-VLOOKUP(B253,[1]weeks!$B$107:$BO$144,18,FALSE)</f>
        <v>0</v>
      </c>
      <c r="M253" s="163">
        <f>VLOOKUP(B253,[1]weeks!$B$5:$BO$44,15,FALSE)+VLOOKUP(B253,[1]weeks!$B$5:$BO$44,18,FALSE)-VLOOKUP(B253,[1]weeks!$B$55:$BO$94,15,FALSE)-VLOOKUP(B253,[1]weeks!$B$55:$BO$94,18,FALSE)</f>
        <v>0</v>
      </c>
      <c r="N253" s="163">
        <f t="shared" si="113"/>
        <v>0</v>
      </c>
      <c r="O253" s="163">
        <f t="shared" si="114"/>
        <v>0</v>
      </c>
      <c r="P253" s="146" t="str">
        <f>IF(ISNUMBER(VLOOKUP(B253,[1]Closures!B:BI,14,FALSE)),TEXT(VLOOKUP(B253,[1]Closures!B:BI,14,FALSE),"ddmmm"),IF(C253&lt;=0,0,IF(I253&lt;=0,0,IF(AND(C253&gt;0,O253&lt;=0),"&gt;52",IF(I253/O253&gt;52,"&gt;52", MAX(0,I253/O253-2))))))</f>
        <v>&gt;52</v>
      </c>
    </row>
    <row r="254" spans="1:16" s="130" customFormat="1" ht="10.7" customHeight="1" x14ac:dyDescent="0.2">
      <c r="A254" s="122"/>
      <c r="B254" s="161" t="s">
        <v>135</v>
      </c>
      <c r="C254" s="162">
        <f>'[2]IV&amp;VI Combined'!$M$32</f>
        <v>0</v>
      </c>
      <c r="D254" s="163">
        <f>F254-VLOOKUP(B254,[1]Quota!$B$103:$BJ$143,14,FALSE)</f>
        <v>0</v>
      </c>
      <c r="E254" s="163">
        <f t="shared" si="111"/>
        <v>0</v>
      </c>
      <c r="F254" s="164">
        <f>VLOOKUP(B254,[1]Quota!$B$81:$BJ$92,14,FALSE)</f>
        <v>0</v>
      </c>
      <c r="G254" s="163">
        <f>'[1]Cumulative '!P224+'[1]Cumulative '!S224</f>
        <v>0</v>
      </c>
      <c r="H254" s="165" t="str">
        <f t="shared" si="110"/>
        <v>n/a</v>
      </c>
      <c r="I254" s="164">
        <f t="shared" si="112"/>
        <v>0</v>
      </c>
      <c r="J254" s="163">
        <f>VLOOKUP(B254,[1]weeks!$B$156:$BO$193,15,FALSE)+VLOOKUP(B254,[1]weeks!$B$156:$BO$193,18,FALSE)-VLOOKUP(B254,[1]weeks!$B$206:$BO$243,15,FALSE)-VLOOKUP(B254,[1]weeks!$B$206:$BO$243,18,FALSE)</f>
        <v>0</v>
      </c>
      <c r="K254" s="163">
        <f>VLOOKUP(B254,[1]weeks!$B$107:$BO$144,15,FALSE)+VLOOKUP(B254,[1]weeks!$B$107:$BO$144,18,FALSE)-VLOOKUP(B254,[1]weeks!$B$156:$BO$193,15,FALSE)-VLOOKUP(B254,[1]weeks!$B$156:$BO$193,18,FALSE)</f>
        <v>0</v>
      </c>
      <c r="L254" s="163">
        <f>VLOOKUP(B254,[1]weeks!$B$55:$BO$94,15,FALSE)+VLOOKUP(B254,[1]weeks!$B$55:$BO$94,18,FALSE)-VLOOKUP(B254,[1]weeks!$B$107:$BO$144,15,FALSE)-VLOOKUP(B254,[1]weeks!$B$107:$BO$144,18,FALSE)</f>
        <v>0</v>
      </c>
      <c r="M254" s="163">
        <f>VLOOKUP(B254,[1]weeks!$B$5:$BO$44,15,FALSE)+VLOOKUP(B254,[1]weeks!$B$5:$BO$44,18,FALSE)-VLOOKUP(B254,[1]weeks!$B$55:$BO$94,15,FALSE)-VLOOKUP(B254,[1]weeks!$B$55:$BO$94,18,FALSE)</f>
        <v>0</v>
      </c>
      <c r="N254" s="163" t="str">
        <f t="shared" si="113"/>
        <v>-</v>
      </c>
      <c r="O254" s="163">
        <f t="shared" si="114"/>
        <v>0</v>
      </c>
      <c r="P254" s="146">
        <f>IF(ISNUMBER(VLOOKUP(B254,[1]Closures!B:BI,14,FALSE)),TEXT(VLOOKUP(B254,[1]Closures!B:BI,14,FALSE),"ddmmm"),IF(C254&lt;=0,0,IF(I254&lt;=0,0,IF(AND(C254&gt;0,O254&lt;=0),"&gt;52",IF(I254/O254&gt;52,"&gt;52", MAX(0,I254/O254-2))))))</f>
        <v>0</v>
      </c>
    </row>
    <row r="255" spans="1:16" s="130" customFormat="1" ht="10.7" customHeight="1" x14ac:dyDescent="0.2">
      <c r="A255" s="122"/>
      <c r="B255" s="161" t="s">
        <v>136</v>
      </c>
      <c r="C255" s="162"/>
      <c r="D255" s="163">
        <f>F255-VLOOKUP(B255,[1]Quota!$B$32:$BJ$43,14,FALSE)</f>
        <v>0</v>
      </c>
      <c r="E255" s="163"/>
      <c r="F255" s="164">
        <f>VLOOKUP(B255,[1]Quota!$B$81:$BJ$92,14,FALSE)</f>
        <v>0</v>
      </c>
      <c r="G255" s="163"/>
      <c r="H255" s="165" t="str">
        <f t="shared" si="110"/>
        <v>n/a</v>
      </c>
      <c r="I255" s="164">
        <f t="shared" si="112"/>
        <v>0</v>
      </c>
      <c r="J255" s="163"/>
      <c r="K255" s="163"/>
      <c r="L255" s="163"/>
      <c r="M255" s="163"/>
      <c r="N255" s="163"/>
      <c r="O255" s="163"/>
      <c r="P255" s="146"/>
    </row>
    <row r="256" spans="1:16" s="130" customFormat="1" ht="10.7" customHeight="1" x14ac:dyDescent="0.2">
      <c r="A256" s="122"/>
      <c r="B256" s="168" t="s">
        <v>137</v>
      </c>
      <c r="C256" s="162">
        <f>SUM(C251:C254)</f>
        <v>1.2000000000000002</v>
      </c>
      <c r="D256" s="163">
        <f>SUM(D251:D255)</f>
        <v>0</v>
      </c>
      <c r="E256" s="163">
        <f t="shared" si="111"/>
        <v>-0.10000000000000009</v>
      </c>
      <c r="F256" s="217">
        <f t="shared" ref="F256" si="115">SUM(F251:F254)</f>
        <v>1.1000000000000001</v>
      </c>
      <c r="G256" s="163">
        <f>SUM(G251:G254)</f>
        <v>0.10199999999999999</v>
      </c>
      <c r="H256" s="165">
        <f t="shared" si="110"/>
        <v>9.2727272727272716</v>
      </c>
      <c r="I256" s="217">
        <f t="shared" ref="I256:L256" si="116">SUM(I251:I254)</f>
        <v>0.998</v>
      </c>
      <c r="J256" s="163">
        <f t="shared" si="116"/>
        <v>1.9999999999999983E-3</v>
      </c>
      <c r="K256" s="163">
        <f t="shared" si="116"/>
        <v>0</v>
      </c>
      <c r="L256" s="163">
        <f t="shared" si="116"/>
        <v>3.1399999999999997E-2</v>
      </c>
      <c r="M256" s="163">
        <f>SUM(M251:M254)</f>
        <v>2.9499999999999998E-2</v>
      </c>
      <c r="N256" s="163">
        <f t="shared" si="113"/>
        <v>2.6818181818181812</v>
      </c>
      <c r="O256" s="163">
        <f t="shared" si="114"/>
        <v>1.5724999999999999E-2</v>
      </c>
      <c r="P256" s="146" t="str">
        <f>IF(ISNUMBER(VLOOKUP(B256,[1]Closures!B:BI,14,FALSE)),TEXT(VLOOKUP(B256,[1]Closures!B:BI,14,FALSE),"ddmmm"),IF(C256&lt;=0,0,IF(I256&lt;=0,0,IF(AND(C256&gt;0,O256&lt;=0),"&gt;52",IF(I256/O256&gt;52,"&gt;52", MAX(0,I256/O256-2))))))</f>
        <v>&gt;52</v>
      </c>
    </row>
    <row r="257" spans="1:19" ht="10.7" customHeight="1" x14ac:dyDescent="0.2">
      <c r="A257" s="122"/>
      <c r="B257" s="168"/>
      <c r="C257" s="162"/>
      <c r="D257" s="163"/>
      <c r="E257" s="163"/>
      <c r="F257" s="164"/>
      <c r="G257" s="163"/>
      <c r="H257" s="165"/>
      <c r="I257" s="164"/>
      <c r="J257" s="163"/>
      <c r="K257" s="163"/>
      <c r="L257" s="163"/>
      <c r="M257" s="163"/>
      <c r="N257" s="163" t="str">
        <f t="shared" si="113"/>
        <v>-</v>
      </c>
      <c r="O257" s="163"/>
      <c r="P257" s="146"/>
      <c r="S257" s="130"/>
    </row>
    <row r="258" spans="1:19" ht="10.7" customHeight="1" x14ac:dyDescent="0.2">
      <c r="A258" s="122"/>
      <c r="B258" s="174" t="s">
        <v>138</v>
      </c>
      <c r="C258" s="162">
        <f>'[2]IV&amp;VI Combined'!$M$36</f>
        <v>260</v>
      </c>
      <c r="D258" s="163">
        <f>F258-VLOOKUP(B258,[1]Quota!$B$103:$BJ$143,14,FALSE)</f>
        <v>0</v>
      </c>
      <c r="E258" s="163">
        <f t="shared" si="111"/>
        <v>0.30000000000001137</v>
      </c>
      <c r="F258" s="164">
        <f>VLOOKUP(B258,[1]Quota!$B$81:$BJ$92,14,FALSE)</f>
        <v>260.3</v>
      </c>
      <c r="G258" s="163">
        <f>'[1]Cumulative '!P228+'[1]Cumulative '!S228</f>
        <v>1.0057</v>
      </c>
      <c r="H258" s="165">
        <f t="shared" si="110"/>
        <v>0.3863618901267768</v>
      </c>
      <c r="I258" s="164">
        <f t="shared" ref="I258:I265" si="117">F258-G258</f>
        <v>259.29430000000002</v>
      </c>
      <c r="J258" s="163">
        <f>VLOOKUP(B258,[1]weeks!$B$156:$BO$193,15,FALSE)+VLOOKUP(B258,[1]weeks!$B$156:$BO$193,18,FALSE)-VLOOKUP(B258,[1]weeks!$B$206:$BO$243,15,FALSE)-VLOOKUP(B258,[1]weeks!$B$206:$BO$243,18,FALSE)</f>
        <v>0.2676</v>
      </c>
      <c r="K258" s="163">
        <f>VLOOKUP(B258,[1]weeks!$B$107:$BO$144,15,FALSE)+VLOOKUP(B258,[1]weeks!$B$107:$BO$144,18,FALSE)-VLOOKUP(B258,[1]weeks!$B$156:$BO$193,15,FALSE)-VLOOKUP(B258,[1]weeks!$B$156:$BO$193,18,FALSE)</f>
        <v>1.2793585635328952E-17</v>
      </c>
      <c r="L258" s="163">
        <f>VLOOKUP(B258,[1]weeks!$B$55:$BO$94,15,FALSE)+VLOOKUP(B258,[1]weeks!$B$55:$BO$94,18,FALSE)-VLOOKUP(B258,[1]weeks!$B$107:$BO$144,15,FALSE)-VLOOKUP(B258,[1]weeks!$B$107:$BO$144,18,FALSE)</f>
        <v>0.56950000000000001</v>
      </c>
      <c r="M258" s="163">
        <f>VLOOKUP(B258,[1]weeks!$B$5:$BO$44,15,FALSE)+VLOOKUP(B258,[1]weeks!$B$5:$BO$44,18,FALSE)-VLOOKUP(B258,[1]weeks!$B$55:$BO$94,15,FALSE)-VLOOKUP(B258,[1]weeks!$B$55:$BO$94,18,FALSE)</f>
        <v>1.8000000000000019E-2</v>
      </c>
      <c r="N258" s="163">
        <f t="shared" si="113"/>
        <v>6.9150979638878292E-3</v>
      </c>
      <c r="O258" s="163">
        <f t="shared" si="114"/>
        <v>0.21377499999999999</v>
      </c>
      <c r="P258" s="146" t="str">
        <f>IF(ISNUMBER(VLOOKUP(B258,[1]Closures!B:BI,14,FALSE)),TEXT(VLOOKUP(B258,[1]Closures!B:BI,14,FALSE),"ddmmm"),IF(C258&lt;=0,0,IF(I258&lt;=0,0,IF(AND(C258&gt;0,O258&lt;=0),"&gt;52",IF(I258/O258&gt;52,"&gt;52", MAX(0,I258/O258-2))))))</f>
        <v>&gt;52</v>
      </c>
      <c r="S258" s="130"/>
    </row>
    <row r="259" spans="1:19" ht="10.7" customHeight="1" x14ac:dyDescent="0.2">
      <c r="A259" s="122"/>
      <c r="B259" s="174" t="s">
        <v>139</v>
      </c>
      <c r="C259" s="162">
        <f>'[2]IV&amp;VI Combined'!$M$37</f>
        <v>0.2</v>
      </c>
      <c r="D259" s="163">
        <f>F259-VLOOKUP(B259,[1]Quota!$B$103:$BJ$143,14,FALSE)</f>
        <v>0</v>
      </c>
      <c r="E259" s="163">
        <f t="shared" si="111"/>
        <v>-0.2</v>
      </c>
      <c r="F259" s="164">
        <f>VLOOKUP(B259,[1]Quota!$B$81:$BJ$92,14,FALSE)</f>
        <v>0</v>
      </c>
      <c r="G259" s="163">
        <f>'[1]Cumulative '!P229+'[1]Cumulative '!S229</f>
        <v>0</v>
      </c>
      <c r="H259" s="165" t="str">
        <f t="shared" si="110"/>
        <v>n/a</v>
      </c>
      <c r="I259" s="164">
        <f t="shared" si="117"/>
        <v>0</v>
      </c>
      <c r="J259" s="163">
        <f>VLOOKUP(B259,[1]weeks!$B$156:$BO$193,15,FALSE)+VLOOKUP(B259,[1]weeks!$B$156:$BO$193,18,FALSE)-VLOOKUP(B259,[1]weeks!$B$206:$BO$243,15,FALSE)-VLOOKUP(B259,[1]weeks!$B$206:$BO$243,18,FALSE)</f>
        <v>0</v>
      </c>
      <c r="K259" s="163">
        <f>VLOOKUP(B259,[1]weeks!$B$107:$BO$144,15,FALSE)+VLOOKUP(B259,[1]weeks!$B$107:$BO$144,18,FALSE)-VLOOKUP(B259,[1]weeks!$B$156:$BO$193,15,FALSE)-VLOOKUP(B259,[1]weeks!$B$156:$BO$193,18,FALSE)</f>
        <v>0</v>
      </c>
      <c r="L259" s="163">
        <f>VLOOKUP(B259,[1]weeks!$B$55:$BO$94,15,FALSE)+VLOOKUP(B259,[1]weeks!$B$55:$BO$94,18,FALSE)-VLOOKUP(B259,[1]weeks!$B$107:$BO$144,15,FALSE)-VLOOKUP(B259,[1]weeks!$B$107:$BO$144,18,FALSE)</f>
        <v>0</v>
      </c>
      <c r="M259" s="163">
        <f>VLOOKUP(B259,[1]weeks!$B$5:$BO$44,15,FALSE)+VLOOKUP(B259,[1]weeks!$B$5:$BO$44,18,FALSE)-VLOOKUP(B259,[1]weeks!$B$55:$BO$94,15,FALSE)-VLOOKUP(B259,[1]weeks!$B$55:$BO$94,18,FALSE)</f>
        <v>0</v>
      </c>
      <c r="N259" s="163" t="str">
        <f t="shared" si="113"/>
        <v>-</v>
      </c>
      <c r="O259" s="163">
        <f t="shared" si="114"/>
        <v>0</v>
      </c>
      <c r="P259" s="146">
        <f>IF(ISNUMBER(VLOOKUP(B259,[1]Closures!B:BI,14,FALSE)),TEXT(VLOOKUP(B259,[1]Closures!B:BI,14,FALSE),"ddmmm"),IF(C259&lt;=0,0,IF(I259&lt;=0,0,IF(AND(C259&gt;0,O259&lt;=0),"&gt;52",IF(I259/O259&gt;52,"&gt;52", MAX(0,I259/O259-2))))))</f>
        <v>0</v>
      </c>
      <c r="S259" s="130"/>
    </row>
    <row r="260" spans="1:19" ht="10.7" customHeight="1" x14ac:dyDescent="0.2">
      <c r="A260" s="122"/>
      <c r="B260" s="174" t="s">
        <v>140</v>
      </c>
      <c r="C260" s="162">
        <f>'[2]IV&amp;VI Combined'!$M$38</f>
        <v>0.6</v>
      </c>
      <c r="D260" s="163">
        <f>F260-VLOOKUP(B260,[1]Quota!$B$103:$BJ$143,14,FALSE)</f>
        <v>0</v>
      </c>
      <c r="E260" s="163">
        <f t="shared" si="111"/>
        <v>0</v>
      </c>
      <c r="F260" s="164">
        <f>VLOOKUP(B260,[1]Quota!$B$81:$BJ$92,14,FALSE)</f>
        <v>0.6</v>
      </c>
      <c r="G260" s="163">
        <f>'[1]Cumulative '!P230+'[1]Cumulative '!S230</f>
        <v>7.0000000000000001E-3</v>
      </c>
      <c r="H260" s="165">
        <f t="shared" si="110"/>
        <v>1.1666666666666667</v>
      </c>
      <c r="I260" s="164">
        <f t="shared" si="117"/>
        <v>0.59299999999999997</v>
      </c>
      <c r="J260" s="163">
        <f>VLOOKUP(B260,[1]weeks!$B$156:$BO$193,15,FALSE)+VLOOKUP(B260,[1]weeks!$B$156:$BO$193,18,FALSE)-VLOOKUP(B260,[1]weeks!$B$206:$BO$243,15,FALSE)-VLOOKUP(B260,[1]weeks!$B$206:$BO$243,18,FALSE)</f>
        <v>0</v>
      </c>
      <c r="K260" s="163">
        <f>VLOOKUP(B260,[1]weeks!$B$107:$BO$144,15,FALSE)+VLOOKUP(B260,[1]weeks!$B$107:$BO$144,18,FALSE)-VLOOKUP(B260,[1]weeks!$B$156:$BO$193,15,FALSE)-VLOOKUP(B260,[1]weeks!$B$156:$BO$193,18,FALSE)</f>
        <v>0</v>
      </c>
      <c r="L260" s="163">
        <f>VLOOKUP(B260,[1]weeks!$B$55:$BO$94,15,FALSE)+VLOOKUP(B260,[1]weeks!$B$55:$BO$94,18,FALSE)-VLOOKUP(B260,[1]weeks!$B$107:$BO$144,15,FALSE)-VLOOKUP(B260,[1]weeks!$B$107:$BO$144,18,FALSE)</f>
        <v>0</v>
      </c>
      <c r="M260" s="163">
        <f>VLOOKUP(B260,[1]weeks!$B$5:$BO$44,15,FALSE)+VLOOKUP(B260,[1]weeks!$B$5:$BO$44,18,FALSE)-VLOOKUP(B260,[1]weeks!$B$55:$BO$94,15,FALSE)-VLOOKUP(B260,[1]weeks!$B$55:$BO$94,18,FALSE)</f>
        <v>7.0000000000000001E-3</v>
      </c>
      <c r="N260" s="163">
        <f t="shared" si="113"/>
        <v>1.1666666666666667</v>
      </c>
      <c r="O260" s="163">
        <f t="shared" si="114"/>
        <v>1.75E-3</v>
      </c>
      <c r="P260" s="146" t="str">
        <f>IF(ISNUMBER(VLOOKUP(B260,[1]Closures!B:BI,14,FALSE)),TEXT(VLOOKUP(B260,[1]Closures!B:BI,14,FALSE),"ddmmm"),IF(C260&lt;=0,0,IF(I260&lt;=0,0,IF(AND(C260&gt;0,O260&lt;=0),"&gt;52",IF(I260/O260&gt;52,"&gt;52", MAX(0,I260/O260-2))))))</f>
        <v>&gt;52</v>
      </c>
      <c r="S260" s="130"/>
    </row>
    <row r="261" spans="1:19" ht="10.7" customHeight="1" x14ac:dyDescent="0.2">
      <c r="A261" s="122"/>
      <c r="B261" s="174" t="s">
        <v>141</v>
      </c>
      <c r="C261" s="162">
        <f>'[2]IV&amp;VI Combined'!$M$39</f>
        <v>0</v>
      </c>
      <c r="D261" s="163">
        <f>F261-VLOOKUP(B261,[1]Quota!$B$103:$BJ$143,14,FALSE)</f>
        <v>0</v>
      </c>
      <c r="E261" s="163">
        <f t="shared" si="111"/>
        <v>0</v>
      </c>
      <c r="F261" s="164">
        <f>VLOOKUP(B261,[1]Quota!$B$81:$BJ$92,14,FALSE)</f>
        <v>0</v>
      </c>
      <c r="G261" s="163">
        <f>'[1]Cumulative '!P231+'[1]Cumulative '!S231</f>
        <v>0</v>
      </c>
      <c r="H261" s="165" t="str">
        <f>IF(AND(F261&lt;=0),"n/a",IF(F261=0,0,100*G261/F261))</f>
        <v>n/a</v>
      </c>
      <c r="I261" s="164">
        <f t="shared" si="117"/>
        <v>0</v>
      </c>
      <c r="J261" s="163">
        <f>VLOOKUP(B261,[1]weeks!$B$156:$BO$193,15,FALSE)+VLOOKUP(B261,[1]weeks!$B$156:$BO$193,18,FALSE)-VLOOKUP(B261,[1]weeks!$B$206:$BO$243,15,FALSE)-VLOOKUP(B261,[1]weeks!$B$206:$BO$243,18,FALSE)</f>
        <v>0</v>
      </c>
      <c r="K261" s="163">
        <f>VLOOKUP(B261,[1]weeks!$B$107:$BO$144,15,FALSE)+VLOOKUP(B261,[1]weeks!$B$107:$BO$144,18,FALSE)-VLOOKUP(B261,[1]weeks!$B$156:$BO$193,15,FALSE)-VLOOKUP(B261,[1]weeks!$B$156:$BO$193,18,FALSE)</f>
        <v>0</v>
      </c>
      <c r="L261" s="163">
        <f>VLOOKUP(B261,[1]weeks!$B$55:$BO$94,15,FALSE)+VLOOKUP(B261,[1]weeks!$B$55:$BO$94,18,FALSE)-VLOOKUP(B261,[1]weeks!$B$107:$BO$144,15,FALSE)-VLOOKUP(B261,[1]weeks!$B$107:$BO$144,18,FALSE)</f>
        <v>0</v>
      </c>
      <c r="M261" s="163">
        <f>VLOOKUP(B261,[1]weeks!$B$5:$BO$44,15,FALSE)+VLOOKUP(B261,[1]weeks!$B$5:$BO$44,18,FALSE)-VLOOKUP(B261,[1]weeks!$B$55:$BO$94,15,FALSE)-VLOOKUP(B261,[1]weeks!$B$55:$BO$94,18,FALSE)</f>
        <v>0</v>
      </c>
      <c r="N261" s="163" t="str">
        <f t="shared" si="113"/>
        <v>-</v>
      </c>
      <c r="O261" s="163">
        <f t="shared" si="114"/>
        <v>0</v>
      </c>
      <c r="P261" s="146">
        <f>IF(ISNUMBER(VLOOKUP(B261,[1]Closures!B:BI,14,FALSE)),TEXT(VLOOKUP(B261,[1]Closures!B:BI,14,FALSE),"ddmmm"),IF(C261&lt;=0,0,IF(I261&lt;=0,0,IF(AND(C261&gt;0,O261&lt;=0),"&gt;52",IF(I261/O261&gt;52,"&gt;52", MAX(0,I261/O261-2))))))</f>
        <v>0</v>
      </c>
      <c r="S261" s="130"/>
    </row>
    <row r="262" spans="1:19" ht="10.7" customHeight="1" x14ac:dyDescent="0.2">
      <c r="A262" s="122"/>
      <c r="B262" s="174" t="s">
        <v>142</v>
      </c>
      <c r="C262" s="162"/>
      <c r="D262" s="163">
        <f>F262-VLOOKUP(B262,[1]Quota!$B$32:$BJ$43,14,FALSE)</f>
        <v>0</v>
      </c>
      <c r="E262" s="163"/>
      <c r="F262" s="164">
        <f>VLOOKUP(B262,[1]Quota!$B$81:$BJ$92,14,FALSE)</f>
        <v>0</v>
      </c>
      <c r="G262" s="163"/>
      <c r="H262" s="165" t="str">
        <f>IF(AND(F262&lt;=0),"n/a",IF(F262=0,0,100*G262/F262))</f>
        <v>n/a</v>
      </c>
      <c r="I262" s="164">
        <f>F262-G262</f>
        <v>0</v>
      </c>
      <c r="J262" s="163"/>
      <c r="K262" s="163"/>
      <c r="L262" s="163"/>
      <c r="M262" s="163"/>
      <c r="N262" s="163"/>
      <c r="O262" s="163"/>
      <c r="P262" s="146"/>
      <c r="S262" s="130"/>
    </row>
    <row r="263" spans="1:19" ht="10.7" customHeight="1" x14ac:dyDescent="0.2">
      <c r="A263" s="122"/>
      <c r="B263" s="168" t="s">
        <v>143</v>
      </c>
      <c r="C263" s="162">
        <f>SUM(C258:C262)</f>
        <v>260.8</v>
      </c>
      <c r="D263" s="163">
        <f>SUM(D258:D262)</f>
        <v>0</v>
      </c>
      <c r="E263" s="163">
        <f t="shared" si="111"/>
        <v>0.10000000000002274</v>
      </c>
      <c r="F263" s="164">
        <f>SUM(F258:F262)</f>
        <v>260.90000000000003</v>
      </c>
      <c r="G263" s="163">
        <f>SUM(G258:G262)</f>
        <v>1.0126999999999999</v>
      </c>
      <c r="H263" s="165">
        <f t="shared" si="110"/>
        <v>0.3881563817554618</v>
      </c>
      <c r="I263" s="164">
        <f t="shared" si="117"/>
        <v>259.88730000000004</v>
      </c>
      <c r="J263" s="163">
        <f t="shared" ref="J263:L263" si="118">SUM(J258:J261)</f>
        <v>0.2676</v>
      </c>
      <c r="K263" s="163">
        <f t="shared" si="118"/>
        <v>1.2793585635328952E-17</v>
      </c>
      <c r="L263" s="163">
        <f t="shared" si="118"/>
        <v>0.56950000000000001</v>
      </c>
      <c r="M263" s="163">
        <f>SUM(M258:M261)</f>
        <v>2.5000000000000019E-2</v>
      </c>
      <c r="N263" s="163">
        <f t="shared" si="113"/>
        <v>9.5822154082023832E-3</v>
      </c>
      <c r="O263" s="163">
        <f>SUM(J263:M263)/4</f>
        <v>0.21552499999999999</v>
      </c>
      <c r="P263" s="146" t="str">
        <f>IF(ISNUMBER(VLOOKUP(B263,[1]Closures!B:BI,14,FALSE)),TEXT(VLOOKUP(B263,[1]Closures!B:BI,14,FALSE),"ddmmm"),IF(C263&lt;=0,0,IF(I263&lt;=0,0,IF(AND(C263&gt;0,O263&lt;=0),"&gt;52",IF(I263/O263&gt;52,"&gt;52", MAX(0,I263/O263-2))))))</f>
        <v>&gt;52</v>
      </c>
      <c r="S263" s="130"/>
    </row>
    <row r="264" spans="1:19" ht="10.7" customHeight="1" x14ac:dyDescent="0.2">
      <c r="A264" s="122"/>
      <c r="B264" s="168"/>
      <c r="C264" s="162"/>
      <c r="D264" s="163"/>
      <c r="E264" s="163"/>
      <c r="F264" s="164"/>
      <c r="G264" s="163"/>
      <c r="H264" s="165"/>
      <c r="I264" s="164"/>
      <c r="J264" s="163"/>
      <c r="K264" s="163"/>
      <c r="L264" s="163"/>
      <c r="M264" s="163"/>
      <c r="N264" s="163"/>
      <c r="O264" s="163"/>
      <c r="P264" s="146"/>
      <c r="S264" s="130"/>
    </row>
    <row r="265" spans="1:19" ht="10.7" customHeight="1" x14ac:dyDescent="0.2">
      <c r="A265" s="122"/>
      <c r="B265" s="175" t="s">
        <v>112</v>
      </c>
      <c r="C265" s="176">
        <f>C263+C256</f>
        <v>262</v>
      </c>
      <c r="D265" s="180">
        <f>D263+D256</f>
        <v>0</v>
      </c>
      <c r="E265" s="180">
        <f t="shared" si="111"/>
        <v>0</v>
      </c>
      <c r="F265" s="189">
        <f>F263+F256</f>
        <v>262.00000000000006</v>
      </c>
      <c r="G265" s="180">
        <f>G263+G256</f>
        <v>1.1147</v>
      </c>
      <c r="H265" s="179">
        <f t="shared" si="110"/>
        <v>0.42545801526717547</v>
      </c>
      <c r="I265" s="218">
        <f t="shared" si="117"/>
        <v>260.88530000000003</v>
      </c>
      <c r="J265" s="180">
        <f>J256+J263</f>
        <v>0.26960000000000001</v>
      </c>
      <c r="K265" s="180">
        <f>K256+K263</f>
        <v>1.2793585635328952E-17</v>
      </c>
      <c r="L265" s="180">
        <f>L256+L263</f>
        <v>0.60089999999999999</v>
      </c>
      <c r="M265" s="180">
        <f>M256+M263</f>
        <v>5.4500000000000021E-2</v>
      </c>
      <c r="N265" s="180">
        <f t="shared" si="113"/>
        <v>2.0801526717557254E-2</v>
      </c>
      <c r="O265" s="180">
        <f>SUM(J265:M265)/4</f>
        <v>0.23125000000000001</v>
      </c>
      <c r="P265" s="153" t="str">
        <f>IF(ISNUMBER(VLOOKUP(B265,[1]Closures!B:BI,14,FALSE)),TEXT(VLOOKUP(B265,[1]Closures!B:BI,14,FALSE),"ddmmm"),IF(C265&lt;=0,0,IF(I265&lt;=0,0,IF(AND(C265&gt;0,O265&lt;=0),"&gt;52",IF(I265/O265&gt;52,"&gt;52", MAX(0,I265/O265-2))))))</f>
        <v>&gt;52</v>
      </c>
      <c r="S265" s="130"/>
    </row>
    <row r="266" spans="1:19" ht="10.7" customHeight="1" x14ac:dyDescent="0.2">
      <c r="A266" s="122"/>
      <c r="B266" s="212"/>
      <c r="C266" s="173"/>
      <c r="D266" s="163"/>
      <c r="E266" s="163"/>
      <c r="F266" s="164"/>
      <c r="G266" s="163"/>
      <c r="H266" s="165"/>
      <c r="I266" s="164"/>
      <c r="J266" s="163"/>
      <c r="K266" s="163"/>
      <c r="L266" s="163"/>
      <c r="M266" s="163"/>
      <c r="N266" s="163"/>
      <c r="O266" s="163"/>
      <c r="P266" s="182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tr">
        <f>C5</f>
        <v>Initial Quota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f>[1]weeks!$B$154</f>
        <v>43166</v>
      </c>
      <c r="K270" s="151">
        <f>[1]weeks!$B$105</f>
        <v>43173</v>
      </c>
      <c r="L270" s="151">
        <f>[1]weeks!$B$55</f>
        <v>43180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6"/>
      <c r="C272" s="193" t="s">
        <v>144</v>
      </c>
      <c r="D272" s="193"/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4"/>
      <c r="P272" s="145"/>
      <c r="S272" s="130"/>
    </row>
    <row r="273" spans="1:19" ht="10.7" customHeight="1" x14ac:dyDescent="0.2">
      <c r="A273" s="122"/>
      <c r="B273" s="161" t="s">
        <v>132</v>
      </c>
      <c r="C273" s="162">
        <f>'[2]IV&amp;VI Combined'!$N$29</f>
        <v>14.1</v>
      </c>
      <c r="D273" s="163">
        <f>F273-VLOOKUP(B273,[1]Quota!$B$103:$BJ$143,15,FALSE)</f>
        <v>0</v>
      </c>
      <c r="E273" s="163">
        <f>F273-C273</f>
        <v>0</v>
      </c>
      <c r="F273" s="164">
        <f>VLOOKUP(B273,[1]Quota!$B$81:$BJ$92,15,FALSE)</f>
        <v>14.1</v>
      </c>
      <c r="G273" s="163">
        <f>'[1]Cumulative '!O221-G277</f>
        <v>6.1028000000000002</v>
      </c>
      <c r="H273" s="165">
        <f t="shared" ref="H273:H287" si="119">IF(AND(F273&lt;=0),"n/a",IF(F273=0,0,100*G273/F273))</f>
        <v>43.282269503546097</v>
      </c>
      <c r="I273" s="164">
        <f>F273-G273</f>
        <v>7.9971999999999994</v>
      </c>
      <c r="J273" s="163">
        <f>VLOOKUP(B273,[1]weeks!$B$156:$BO$193,14,FALSE)-VLOOKUP(B273,[1]weeks!$B$206:$BO$243,14,FALSE)</f>
        <v>2.5907</v>
      </c>
      <c r="K273" s="163">
        <f>VLOOKUP(B273,[1]weeks!$B$107:$BO$144,14,FALSE)-VLOOKUP(B273,[1]weeks!$B$156:$BO$193,14,FALSE)</f>
        <v>1.0400000000000631E-2</v>
      </c>
      <c r="L273" s="163">
        <f>VLOOKUP(B273,[1]weeks!$B$55:$BO$94,14,FALSE)-VLOOKUP(B273,[1]weeks!$B$107:$BO$144,14,FALSE)</f>
        <v>1.9615999999999998</v>
      </c>
      <c r="M273" s="163">
        <f>VLOOKUP(B273,[1]weeks!$B$5:$BO$44,14,FALSE)-VLOOKUP(B273,[1]weeks!$B$55:$BO$94,14,FALSE)</f>
        <v>0</v>
      </c>
      <c r="N273" s="163">
        <f>IF(F273&gt;0,M273/F273*100,"-")</f>
        <v>0</v>
      </c>
      <c r="O273" s="163">
        <f>SUM(J273:M273)/4</f>
        <v>1.1406750000000001</v>
      </c>
      <c r="P273" s="146">
        <f>IF(ISNUMBER(VLOOKUP(B273,[1]Closures!B:BI,15,FALSE)),TEXT(VLOOKUP(B273,[1]Closures!B:BI,15,FALSE),"ddmmm"),IF(C273&lt;=0,0,IF(I273&lt;=0,0,IF(AND(C273&gt;0,O273&lt;=0),"&gt;52",IF(I273/O273&gt;52,"&gt;52", MAX(0,I273/O273-2))))))</f>
        <v>5.0109365068928478</v>
      </c>
      <c r="S273" s="130"/>
    </row>
    <row r="274" spans="1:19" ht="10.7" customHeight="1" x14ac:dyDescent="0.2">
      <c r="A274" s="122"/>
      <c r="B274" s="161" t="s">
        <v>133</v>
      </c>
      <c r="C274" s="162">
        <f>'[2]IV&amp;VI Combined'!$N$30</f>
        <v>0</v>
      </c>
      <c r="D274" s="163">
        <f>F274-VLOOKUP(B274,[1]Quota!$B$103:$BJ$143,15,FALSE)</f>
        <v>0</v>
      </c>
      <c r="E274" s="163">
        <f t="shared" ref="E274:E287" si="120">F274-C274</f>
        <v>0</v>
      </c>
      <c r="F274" s="164">
        <f>VLOOKUP(B274,[1]Quota!$B$81:$BJ$92,15,FALSE)</f>
        <v>0</v>
      </c>
      <c r="G274" s="163">
        <f>'[1]Cumulative '!O222</f>
        <v>0</v>
      </c>
      <c r="H274" s="165" t="str">
        <f t="shared" si="119"/>
        <v>n/a</v>
      </c>
      <c r="I274" s="164">
        <f t="shared" ref="I274:I277" si="121">F274-G274</f>
        <v>0</v>
      </c>
      <c r="J274" s="163">
        <f>VLOOKUP(B274,[1]weeks!$B$156:$BO$193,14,FALSE)-VLOOKUP(B274,[1]weeks!$B$206:$BO$243,14,FALSE)</f>
        <v>0</v>
      </c>
      <c r="K274" s="163">
        <f>VLOOKUP(B274,[1]weeks!$B$107:$BO$144,14,FALSE)-VLOOKUP(B274,[1]weeks!$B$156:$BO$193,14,FALSE)</f>
        <v>0</v>
      </c>
      <c r="L274" s="163">
        <f>VLOOKUP(B274,[1]weeks!$B$55:$BO$94,14,FALSE)-VLOOKUP(B274,[1]weeks!$B$107:$BO$144,14,FALSE)</f>
        <v>0</v>
      </c>
      <c r="M274" s="163">
        <f>VLOOKUP(B274,[1]weeks!$B$5:$BO$44,14,FALSE)-VLOOKUP(B274,[1]weeks!$B$55:$BO$94,14,FALSE)</f>
        <v>0</v>
      </c>
      <c r="N274" s="163" t="str">
        <f t="shared" ref="N274:N287" si="122">IF(F274&gt;0,M274/F274*100,"-")</f>
        <v>-</v>
      </c>
      <c r="O274" s="163">
        <f t="shared" ref="O274:O283" si="123">SUM(J274:M274)/4</f>
        <v>0</v>
      </c>
      <c r="P274" s="146">
        <f>IF(ISNUMBER(VLOOKUP(B274,[1]Closures!B:BI,15,FALSE)),TEXT(VLOOKUP(B274,[1]Closures!B:BI,15,FALSE),"ddmmm"),IF(C274&lt;=0,0,IF(I274&lt;=0,0,IF(AND(C274&gt;0,O274&lt;=0),"&gt;52",IF(I274/O274&gt;52,"&gt;52", MAX(0,I274/O274-2))))))</f>
        <v>0</v>
      </c>
      <c r="S274" s="130"/>
    </row>
    <row r="275" spans="1:19" ht="10.7" customHeight="1" x14ac:dyDescent="0.2">
      <c r="A275" s="122"/>
      <c r="B275" s="161" t="s">
        <v>134</v>
      </c>
      <c r="C275" s="162">
        <f>'[2]IV&amp;VI Combined'!$N$31</f>
        <v>0.1</v>
      </c>
      <c r="D275" s="163">
        <f>F275-VLOOKUP(B275,[1]Quota!$B$103:$BJ$143,15,FALSE)</f>
        <v>0</v>
      </c>
      <c r="E275" s="163">
        <f t="shared" si="120"/>
        <v>0</v>
      </c>
      <c r="F275" s="164">
        <f>VLOOKUP(B275,[1]Quota!$B$81:$BJ$92,15,FALSE)</f>
        <v>0.1</v>
      </c>
      <c r="G275" s="163">
        <f>'[1]Cumulative '!O223</f>
        <v>0</v>
      </c>
      <c r="H275" s="165">
        <f t="shared" si="119"/>
        <v>0</v>
      </c>
      <c r="I275" s="164">
        <f t="shared" si="121"/>
        <v>0.1</v>
      </c>
      <c r="J275" s="163">
        <f>VLOOKUP(B275,[1]weeks!$B$156:$BO$193,14,FALSE)-VLOOKUP(B275,[1]weeks!$B$206:$BO$243,14,FALSE)</f>
        <v>0</v>
      </c>
      <c r="K275" s="163">
        <f>VLOOKUP(B275,[1]weeks!$B$107:$BO$144,14,FALSE)-VLOOKUP(B275,[1]weeks!$B$156:$BO$193,14,FALSE)</f>
        <v>0</v>
      </c>
      <c r="L275" s="163">
        <f>VLOOKUP(B275,[1]weeks!$B$55:$BO$94,14,FALSE)-VLOOKUP(B275,[1]weeks!$B$107:$BO$144,14,FALSE)</f>
        <v>0</v>
      </c>
      <c r="M275" s="163">
        <f>VLOOKUP(B275,[1]weeks!$B$5:$BO$44,14,FALSE)-VLOOKUP(B275,[1]weeks!$B$55:$BO$94,14,FALSE)</f>
        <v>0</v>
      </c>
      <c r="N275" s="163">
        <f t="shared" si="122"/>
        <v>0</v>
      </c>
      <c r="O275" s="163">
        <f t="shared" si="123"/>
        <v>0</v>
      </c>
      <c r="P275" s="146" t="str">
        <f>IF(ISNUMBER(VLOOKUP(B275,[1]Closures!B:BI,15,FALSE)),TEXT(VLOOKUP(B275,[1]Closures!B:BI,15,FALSE),"ddmmm"),IF(C275&lt;=0,0,IF(I275&lt;=0,0,IF(AND(C275&gt;0,O275&lt;=0),"&gt;52",IF(I275/O275&gt;52,"&gt;52", MAX(0,I275/O275-2))))))</f>
        <v>&gt;52</v>
      </c>
      <c r="S275" s="130"/>
    </row>
    <row r="276" spans="1:19" ht="10.7" customHeight="1" x14ac:dyDescent="0.2">
      <c r="A276" s="122"/>
      <c r="B276" s="161" t="s">
        <v>135</v>
      </c>
      <c r="C276" s="162">
        <f>'[2]IV&amp;VI Combined'!$N$32</f>
        <v>0</v>
      </c>
      <c r="D276" s="163">
        <f>F276-VLOOKUP(B276,[1]Quota!$B$103:$BJ$143,15,FALSE)</f>
        <v>0</v>
      </c>
      <c r="E276" s="163">
        <f t="shared" si="120"/>
        <v>0</v>
      </c>
      <c r="F276" s="164">
        <f>VLOOKUP(B276,[1]Quota!$B$81:$BJ$92,15,FALSE)</f>
        <v>0</v>
      </c>
      <c r="G276" s="163">
        <f>'[1]Cumulative '!O224</f>
        <v>0</v>
      </c>
      <c r="H276" s="165" t="str">
        <f t="shared" si="119"/>
        <v>n/a</v>
      </c>
      <c r="I276" s="164">
        <f t="shared" si="121"/>
        <v>0</v>
      </c>
      <c r="J276" s="163">
        <f>VLOOKUP(B276,[1]weeks!$B$156:$BO$193,14,FALSE)-VLOOKUP(B276,[1]weeks!$B$206:$BO$243,14,FALSE)</f>
        <v>0</v>
      </c>
      <c r="K276" s="163">
        <f>VLOOKUP(B276,[1]weeks!$B$107:$BO$144,14,FALSE)-VLOOKUP(B276,[1]weeks!$B$156:$BO$193,14,FALSE)</f>
        <v>0</v>
      </c>
      <c r="L276" s="163">
        <f>VLOOKUP(B276,[1]weeks!$B$55:$BO$94,14,FALSE)-VLOOKUP(B276,[1]weeks!$B$107:$BO$144,14,FALSE)</f>
        <v>0</v>
      </c>
      <c r="M276" s="163">
        <f>VLOOKUP(B276,[1]weeks!$B$5:$BO$44,14,FALSE)-VLOOKUP(B276,[1]weeks!$B$55:$BO$94,14,FALSE)</f>
        <v>0</v>
      </c>
      <c r="N276" s="163" t="str">
        <f t="shared" si="122"/>
        <v>-</v>
      </c>
      <c r="O276" s="163">
        <f t="shared" si="123"/>
        <v>0</v>
      </c>
      <c r="P276" s="146">
        <f>IF(ISNUMBER(VLOOKUP(B276,[1]Closures!B:BI,15,FALSE)),TEXT(VLOOKUP(B276,[1]Closures!B:BI,15,FALSE),"ddmmm"),IF(C276&lt;=0,0,IF(I276&lt;=0,0,IF(AND(C276&gt;0,O276&lt;=0),"&gt;52",IF(I276/O276&gt;52,"&gt;52", MAX(0,I276/O276-2))))))</f>
        <v>0</v>
      </c>
      <c r="S276" s="130"/>
    </row>
    <row r="277" spans="1:19" ht="10.7" customHeight="1" x14ac:dyDescent="0.2">
      <c r="A277" s="122"/>
      <c r="B277" s="161" t="s">
        <v>136</v>
      </c>
      <c r="C277" s="162"/>
      <c r="D277" s="163">
        <f>F277-VLOOKUP(B277,[1]Quota!$B$32:$BJ$43,15,FALSE)</f>
        <v>0</v>
      </c>
      <c r="E277" s="163"/>
      <c r="F277" s="164">
        <f>VLOOKUP(B277,[1]Quota!$B$81:$BJ$92,15,FALSE)</f>
        <v>5</v>
      </c>
      <c r="G277" s="163">
        <v>0</v>
      </c>
      <c r="H277" s="165">
        <f t="shared" si="119"/>
        <v>0</v>
      </c>
      <c r="I277" s="164">
        <f t="shared" si="121"/>
        <v>5</v>
      </c>
      <c r="J277" s="163"/>
      <c r="K277" s="163"/>
      <c r="L277" s="163"/>
      <c r="M277" s="163"/>
      <c r="N277" s="163"/>
      <c r="O277" s="163"/>
      <c r="P277" s="146"/>
      <c r="S277" s="130"/>
    </row>
    <row r="278" spans="1:19" ht="10.7" customHeight="1" x14ac:dyDescent="0.2">
      <c r="A278" s="122"/>
      <c r="B278" s="168" t="s">
        <v>137</v>
      </c>
      <c r="C278" s="162">
        <f>SUM(C273:C276)</f>
        <v>14.2</v>
      </c>
      <c r="D278" s="163">
        <f>SUM(D273:D277)</f>
        <v>0</v>
      </c>
      <c r="E278" s="163">
        <f t="shared" si="120"/>
        <v>5</v>
      </c>
      <c r="F278" s="217">
        <f>SUM(F273:F277)</f>
        <v>19.2</v>
      </c>
      <c r="G278" s="163">
        <f>SUM(G273:G277)</f>
        <v>6.1028000000000002</v>
      </c>
      <c r="H278" s="165">
        <f t="shared" si="119"/>
        <v>31.785416666666666</v>
      </c>
      <c r="I278" s="217">
        <f>F278-G278</f>
        <v>13.097199999999999</v>
      </c>
      <c r="J278" s="163">
        <f t="shared" ref="J278:L278" si="124">SUM(J273:J276)</f>
        <v>2.5907</v>
      </c>
      <c r="K278" s="163">
        <f t="shared" si="124"/>
        <v>1.0400000000000631E-2</v>
      </c>
      <c r="L278" s="163">
        <f t="shared" si="124"/>
        <v>1.9615999999999998</v>
      </c>
      <c r="M278" s="163">
        <f>SUM(M273:M276)</f>
        <v>0</v>
      </c>
      <c r="N278" s="163">
        <f t="shared" si="122"/>
        <v>0</v>
      </c>
      <c r="O278" s="163">
        <f t="shared" si="123"/>
        <v>1.1406750000000001</v>
      </c>
      <c r="P278" s="146">
        <f>IF(ISNUMBER(VLOOKUP(B278,[1]Closures!B:BI,15,FALSE)),TEXT(VLOOKUP(B278,[1]Closures!B:BI,15,FALSE),"ddmmm"),IF(C278&lt;=0,0,IF(I278&lt;=0,0,IF(AND(C278&gt;0,O278&lt;=0),"&gt;52",IF(I278/O278&gt;52,"&gt;52", MAX(0,I278/O278-2))))))</f>
        <v>9.4819733929471575</v>
      </c>
      <c r="S278" s="130"/>
    </row>
    <row r="279" spans="1:19" ht="10.7" customHeight="1" x14ac:dyDescent="0.2">
      <c r="A279" s="122"/>
      <c r="B279" s="168"/>
      <c r="C279" s="162"/>
      <c r="D279" s="163"/>
      <c r="E279" s="163"/>
      <c r="F279" s="164"/>
      <c r="G279" s="163"/>
      <c r="H279" s="165"/>
      <c r="I279" s="164"/>
      <c r="J279" s="163"/>
      <c r="K279" s="163"/>
      <c r="L279" s="163"/>
      <c r="M279" s="163"/>
      <c r="N279" s="163" t="str">
        <f t="shared" si="122"/>
        <v>-</v>
      </c>
      <c r="O279" s="163"/>
      <c r="P279" s="146"/>
      <c r="S279" s="130"/>
    </row>
    <row r="280" spans="1:19" ht="10.7" customHeight="1" x14ac:dyDescent="0.2">
      <c r="A280" s="122"/>
      <c r="B280" s="174" t="s">
        <v>138</v>
      </c>
      <c r="C280" s="162">
        <f>'[2]IV&amp;VI Combined'!$N$36</f>
        <v>75.599999999999994</v>
      </c>
      <c r="D280" s="163">
        <f>F280-VLOOKUP(B280,[1]Quota!$B$103:$BJ$143,15,FALSE)</f>
        <v>0</v>
      </c>
      <c r="E280" s="163">
        <f t="shared" si="120"/>
        <v>48.400000000000006</v>
      </c>
      <c r="F280" s="164">
        <f>VLOOKUP(B280,[1]Quota!$B$81:$BJ$92,15,FALSE)</f>
        <v>124</v>
      </c>
      <c r="G280" s="163">
        <f>'[1]Cumulative '!O228-G284</f>
        <v>46.689400000000006</v>
      </c>
      <c r="H280" s="165">
        <f t="shared" si="119"/>
        <v>37.652741935483874</v>
      </c>
      <c r="I280" s="164">
        <f t="shared" ref="I280:I287" si="125">F280-G280</f>
        <v>77.310599999999994</v>
      </c>
      <c r="J280" s="163">
        <f>VLOOKUP(B280,[1]weeks!$B$156:$BO$193,14,FALSE)-VLOOKUP(B280,[1]weeks!$B$206:$BO$243,14,FALSE)</f>
        <v>3.6080000000000041</v>
      </c>
      <c r="K280" s="163">
        <f>VLOOKUP(B280,[1]weeks!$B$107:$BO$144,14,FALSE)-VLOOKUP(B280,[1]weeks!$B$156:$BO$193,14,FALSE)</f>
        <v>1.6242999999999981</v>
      </c>
      <c r="L280" s="163">
        <f>VLOOKUP(B280,[1]weeks!$B$55:$BO$94,14,FALSE)-VLOOKUP(B280,[1]weeks!$B$107:$BO$144,14,FALSE)</f>
        <v>5.9495000000000005</v>
      </c>
      <c r="M280" s="163">
        <f>VLOOKUP(B280,[1]weeks!$B$5:$BO$44,14,FALSE)-VLOOKUP(B280,[1]weeks!$B$55:$BO$94,14,FALSE)</f>
        <v>4.3860000000000028</v>
      </c>
      <c r="N280" s="163">
        <f t="shared" si="122"/>
        <v>3.5370967741935511</v>
      </c>
      <c r="O280" s="163">
        <f t="shared" si="123"/>
        <v>3.8919500000000014</v>
      </c>
      <c r="P280" s="146">
        <f>IF(ISNUMBER(VLOOKUP(B280,[1]Closures!B:BI,15,FALSE)),TEXT(VLOOKUP(B280,[1]Closures!B:BI,15,FALSE),"ddmmm"),IF(C280&lt;=0,0,IF(I280&lt;=0,0,IF(AND(C280&gt;0,O280&lt;=0),"&gt;52",IF(I280/O280&gt;52,"&gt;52", MAX(0,I280/O280-2))))))</f>
        <v>17.864232582638515</v>
      </c>
      <c r="S280" s="130"/>
    </row>
    <row r="281" spans="1:19" ht="10.7" customHeight="1" x14ac:dyDescent="0.2">
      <c r="A281" s="122"/>
      <c r="B281" s="174" t="s">
        <v>139</v>
      </c>
      <c r="C281" s="162">
        <f>'[2]IV&amp;VI Combined'!$N$37</f>
        <v>0.4</v>
      </c>
      <c r="D281" s="163">
        <f>F281-VLOOKUP(B281,[1]Quota!$B$103:$BJ$143,15,FALSE)</f>
        <v>0</v>
      </c>
      <c r="E281" s="163">
        <f t="shared" si="120"/>
        <v>-0.4</v>
      </c>
      <c r="F281" s="164">
        <f>VLOOKUP(B281,[1]Quota!$B$81:$BJ$92,15,FALSE)</f>
        <v>0</v>
      </c>
      <c r="G281" s="163">
        <f>'[1]Cumulative '!O229</f>
        <v>0</v>
      </c>
      <c r="H281" s="165" t="str">
        <f t="shared" si="119"/>
        <v>n/a</v>
      </c>
      <c r="I281" s="164">
        <f t="shared" si="125"/>
        <v>0</v>
      </c>
      <c r="J281" s="163">
        <f>VLOOKUP(B281,[1]weeks!$B$156:$BO$193,14,FALSE)-VLOOKUP(B281,[1]weeks!$B$206:$BO$243,14,FALSE)</f>
        <v>0</v>
      </c>
      <c r="K281" s="163">
        <f>VLOOKUP(B281,[1]weeks!$B$107:$BO$144,14,FALSE)-VLOOKUP(B281,[1]weeks!$B$156:$BO$193,14,FALSE)</f>
        <v>0</v>
      </c>
      <c r="L281" s="163">
        <f>VLOOKUP(B281,[1]weeks!$B$55:$BO$94,14,FALSE)-VLOOKUP(B281,[1]weeks!$B$107:$BO$144,14,FALSE)</f>
        <v>0</v>
      </c>
      <c r="M281" s="163">
        <f>VLOOKUP(B281,[1]weeks!$B$5:$BO$44,14,FALSE)-VLOOKUP(B281,[1]weeks!$B$55:$BO$94,14,FALSE)</f>
        <v>0</v>
      </c>
      <c r="N281" s="163" t="str">
        <f t="shared" si="122"/>
        <v>-</v>
      </c>
      <c r="O281" s="163">
        <f t="shared" si="123"/>
        <v>0</v>
      </c>
      <c r="P281" s="146">
        <f>IF(ISNUMBER(VLOOKUP(B281,[1]Closures!B:BI,15,FALSE)),TEXT(VLOOKUP(B281,[1]Closures!B:BI,15,FALSE),"ddmmm"),IF(C281&lt;=0,0,IF(I281&lt;=0,0,IF(AND(C281&gt;0,O281&lt;=0),"&gt;52",IF(I281/O281&gt;52,"&gt;52", MAX(0,I281/O281-2))))))</f>
        <v>0</v>
      </c>
      <c r="S281" s="130"/>
    </row>
    <row r="282" spans="1:19" ht="10.7" customHeight="1" x14ac:dyDescent="0.2">
      <c r="A282" s="122"/>
      <c r="B282" s="174" t="s">
        <v>140</v>
      </c>
      <c r="C282" s="162">
        <f>'[2]IV&amp;VI Combined'!$N$38</f>
        <v>1.5</v>
      </c>
      <c r="D282" s="163">
        <f>F282-VLOOKUP(B282,[1]Quota!$B$103:$BJ$143,15,FALSE)</f>
        <v>0</v>
      </c>
      <c r="E282" s="163">
        <f t="shared" si="120"/>
        <v>0</v>
      </c>
      <c r="F282" s="164">
        <f>VLOOKUP(B282,[1]Quota!$B$81:$BJ$92,15,FALSE)</f>
        <v>1.5</v>
      </c>
      <c r="G282" s="163">
        <f>'[1]Cumulative '!O230</f>
        <v>0.623</v>
      </c>
      <c r="H282" s="165">
        <f t="shared" si="119"/>
        <v>41.533333333333331</v>
      </c>
      <c r="I282" s="164">
        <f t="shared" si="125"/>
        <v>0.877</v>
      </c>
      <c r="J282" s="163">
        <f>VLOOKUP(B282,[1]weeks!$B$156:$BO$193,14,FALSE)-VLOOKUP(B282,[1]weeks!$B$206:$BO$243,14,FALSE)</f>
        <v>0</v>
      </c>
      <c r="K282" s="163">
        <f>VLOOKUP(B282,[1]weeks!$B$107:$BO$144,14,FALSE)-VLOOKUP(B282,[1]weeks!$B$156:$BO$193,14,FALSE)</f>
        <v>5.6000000000000008E-2</v>
      </c>
      <c r="L282" s="163">
        <f>VLOOKUP(B282,[1]weeks!$B$55:$BO$94,14,FALSE)-VLOOKUP(B282,[1]weeks!$B$107:$BO$144,14,FALSE)</f>
        <v>5.5999999999999994E-2</v>
      </c>
      <c r="M282" s="163">
        <f>VLOOKUP(B282,[1]weeks!$B$5:$BO$44,14,FALSE)-VLOOKUP(B282,[1]weeks!$B$55:$BO$94,14,FALSE)</f>
        <v>0.435</v>
      </c>
      <c r="N282" s="163">
        <f t="shared" si="122"/>
        <v>28.999999999999996</v>
      </c>
      <c r="O282" s="163">
        <f t="shared" si="123"/>
        <v>0.13675000000000001</v>
      </c>
      <c r="P282" s="146">
        <f>IF(ISNUMBER(VLOOKUP(B282,[1]Closures!B:BI,15,FALSE)),TEXT(VLOOKUP(B282,[1]Closures!B:BI,15,FALSE),"ddmmm"),IF(C282&lt;=0,0,IF(I282&lt;=0,0,IF(AND(C282&gt;0,O282&lt;=0),"&gt;52",IF(I282/O282&gt;52,"&gt;52", MAX(0,I282/O282-2))))))</f>
        <v>4.4131627056672755</v>
      </c>
      <c r="S282" s="130"/>
    </row>
    <row r="283" spans="1:19" ht="10.7" customHeight="1" x14ac:dyDescent="0.2">
      <c r="A283" s="122"/>
      <c r="B283" s="174" t="s">
        <v>141</v>
      </c>
      <c r="C283" s="162">
        <f>'[2]IV&amp;VI Combined'!$N$39</f>
        <v>0.2</v>
      </c>
      <c r="D283" s="163">
        <f>F283-VLOOKUP(B283,[1]Quota!$B$103:$BJ$143,15,FALSE)</f>
        <v>0</v>
      </c>
      <c r="E283" s="163">
        <f t="shared" si="120"/>
        <v>0</v>
      </c>
      <c r="F283" s="164">
        <f>VLOOKUP(B283,[1]Quota!$B$81:$BJ$92,15,FALSE)</f>
        <v>0.2</v>
      </c>
      <c r="G283" s="163">
        <f>'[1]Cumulative '!O231</f>
        <v>0</v>
      </c>
      <c r="H283" s="165">
        <f>IF(AND(F283&lt;=0),"n/a",IF(F283=0,0,100*G283/F283))</f>
        <v>0</v>
      </c>
      <c r="I283" s="164">
        <f t="shared" si="125"/>
        <v>0.2</v>
      </c>
      <c r="J283" s="163">
        <f>VLOOKUP(B283,[1]weeks!$B$156:$BO$193,14,FALSE)-VLOOKUP(B283,[1]weeks!$B$206:$BO$243,14,FALSE)</f>
        <v>0</v>
      </c>
      <c r="K283" s="163">
        <f>VLOOKUP(B283,[1]weeks!$B$107:$BO$144,14,FALSE)-VLOOKUP(B283,[1]weeks!$B$156:$BO$193,14,FALSE)</f>
        <v>0</v>
      </c>
      <c r="L283" s="163">
        <f>VLOOKUP(B283,[1]weeks!$B$55:$BO$94,14,FALSE)-VLOOKUP(B283,[1]weeks!$B$107:$BO$144,14,FALSE)</f>
        <v>0</v>
      </c>
      <c r="M283" s="163">
        <f>VLOOKUP(B283,[1]weeks!$B$5:$BO$44,14,FALSE)-VLOOKUP(B283,[1]weeks!$B$55:$BO$94,14,FALSE)</f>
        <v>0</v>
      </c>
      <c r="N283" s="163">
        <f t="shared" si="122"/>
        <v>0</v>
      </c>
      <c r="O283" s="163">
        <f t="shared" si="123"/>
        <v>0</v>
      </c>
      <c r="P283" s="146" t="str">
        <f>IF(ISNUMBER(VLOOKUP(B283,[1]Closures!B:BI,15,FALSE)),TEXT(VLOOKUP(B283,[1]Closures!B:BI,15,FALSE),"ddmmm"),IF(C283&lt;=0,0,IF(I283&lt;=0,0,IF(AND(C283&gt;0,O283&lt;=0),"&gt;52",IF(I283/O283&gt;52,"&gt;52", MAX(0,I283/O283-2))))))</f>
        <v>&gt;52</v>
      </c>
      <c r="S283" s="130"/>
    </row>
    <row r="284" spans="1:19" ht="10.7" customHeight="1" x14ac:dyDescent="0.2">
      <c r="A284" s="122"/>
      <c r="B284" s="174" t="s">
        <v>142</v>
      </c>
      <c r="C284" s="162"/>
      <c r="D284" s="163">
        <f>F284-VLOOKUP(B284,[1]Quota!$B$32:$BJ$43,15,FALSE)</f>
        <v>0</v>
      </c>
      <c r="E284" s="163"/>
      <c r="F284" s="164">
        <f>VLOOKUP(B284,[1]Quota!$B$81:$BJ$92,15,FALSE)</f>
        <v>5.2</v>
      </c>
      <c r="G284" s="163">
        <v>2.8</v>
      </c>
      <c r="H284" s="165">
        <f t="shared" ref="H284" si="126">IF(AND(F284&lt;=0),"n/a",IF(F284=0,0,100*G284/F284))</f>
        <v>53.846153846153847</v>
      </c>
      <c r="I284" s="164">
        <f t="shared" si="125"/>
        <v>2.4000000000000004</v>
      </c>
      <c r="J284" s="163"/>
      <c r="K284" s="163"/>
      <c r="L284" s="163"/>
      <c r="M284" s="163"/>
      <c r="N284" s="163"/>
      <c r="O284" s="163"/>
      <c r="P284" s="146"/>
      <c r="S284" s="130"/>
    </row>
    <row r="285" spans="1:19" ht="10.7" customHeight="1" x14ac:dyDescent="0.2">
      <c r="A285" s="122"/>
      <c r="B285" s="168" t="s">
        <v>143</v>
      </c>
      <c r="C285" s="162">
        <f>SUM(C280:C284)</f>
        <v>77.7</v>
      </c>
      <c r="D285" s="163">
        <f>SUM(D280:D284)</f>
        <v>0</v>
      </c>
      <c r="E285" s="163">
        <f t="shared" si="120"/>
        <v>53.2</v>
      </c>
      <c r="F285" s="164">
        <f>SUM(F280:F284)</f>
        <v>130.9</v>
      </c>
      <c r="G285" s="163">
        <f>SUM(G280:G284)</f>
        <v>50.112400000000001</v>
      </c>
      <c r="H285" s="165">
        <f t="shared" si="119"/>
        <v>38.282964094728797</v>
      </c>
      <c r="I285" s="164">
        <f t="shared" si="125"/>
        <v>80.787599999999998</v>
      </c>
      <c r="J285" s="163">
        <f t="shared" ref="J285:L285" si="127">SUM(J280:J283)</f>
        <v>3.6080000000000041</v>
      </c>
      <c r="K285" s="163">
        <f t="shared" si="127"/>
        <v>1.6802999999999981</v>
      </c>
      <c r="L285" s="163">
        <f t="shared" si="127"/>
        <v>6.0055000000000005</v>
      </c>
      <c r="M285" s="163">
        <f>SUM(M280:M283)</f>
        <v>4.8210000000000024</v>
      </c>
      <c r="N285" s="163">
        <f t="shared" si="122"/>
        <v>3.6829640947288023</v>
      </c>
      <c r="O285" s="163">
        <f>SUM(J285:M285)/4</f>
        <v>4.0287000000000015</v>
      </c>
      <c r="P285" s="146">
        <f>IF(ISNUMBER(VLOOKUP(B285,[1]Closures!B:BI,15,FALSE)),TEXT(VLOOKUP(B285,[1]Closures!B:BI,15,FALSE),"ddmmm"),IF(C285&lt;=0,0,IF(I285&lt;=0,0,IF(AND(C285&gt;0,O285&lt;=0),"&gt;52",IF(I285/O285&gt;52,"&gt;52", MAX(0,I285/O285-2))))))</f>
        <v>18.053019584481337</v>
      </c>
      <c r="S285" s="130"/>
    </row>
    <row r="286" spans="1:19" ht="10.7" customHeight="1" x14ac:dyDescent="0.2">
      <c r="A286" s="122"/>
      <c r="B286" s="168"/>
      <c r="C286" s="162"/>
      <c r="D286" s="163"/>
      <c r="E286" s="163"/>
      <c r="F286" s="164"/>
      <c r="G286" s="163"/>
      <c r="H286" s="165"/>
      <c r="I286" s="164"/>
      <c r="J286" s="163"/>
      <c r="K286" s="163"/>
      <c r="L286" s="163"/>
      <c r="M286" s="163"/>
      <c r="N286" s="163"/>
      <c r="O286" s="163"/>
      <c r="P286" s="146"/>
      <c r="S286" s="130"/>
    </row>
    <row r="287" spans="1:19" ht="10.7" customHeight="1" x14ac:dyDescent="0.2">
      <c r="A287" s="122"/>
      <c r="B287" s="175" t="s">
        <v>112</v>
      </c>
      <c r="C287" s="176">
        <f>C285+C278</f>
        <v>91.9</v>
      </c>
      <c r="D287" s="180">
        <f>D285+D278</f>
        <v>0</v>
      </c>
      <c r="E287" s="180">
        <f t="shared" si="120"/>
        <v>58.199999999999989</v>
      </c>
      <c r="F287" s="189">
        <f>F285+F278</f>
        <v>150.1</v>
      </c>
      <c r="G287" s="180">
        <f>G285+G278</f>
        <v>56.215200000000003</v>
      </c>
      <c r="H287" s="179">
        <f t="shared" si="119"/>
        <v>37.451832111925384</v>
      </c>
      <c r="I287" s="218">
        <f t="shared" si="125"/>
        <v>93.884799999999984</v>
      </c>
      <c r="J287" s="180">
        <f t="shared" ref="J287:L287" si="128">J278+J285</f>
        <v>6.1987000000000041</v>
      </c>
      <c r="K287" s="180">
        <f t="shared" si="128"/>
        <v>1.6906999999999988</v>
      </c>
      <c r="L287" s="180">
        <f t="shared" si="128"/>
        <v>7.9671000000000003</v>
      </c>
      <c r="M287" s="180">
        <f>M278+M285</f>
        <v>4.8210000000000024</v>
      </c>
      <c r="N287" s="180">
        <f t="shared" si="122"/>
        <v>3.2118587608261175</v>
      </c>
      <c r="O287" s="180">
        <f>SUM(J287:M287)/4</f>
        <v>5.1693750000000014</v>
      </c>
      <c r="P287" s="153">
        <f>IF(ISNUMBER(VLOOKUP(B287,[1]Closures!B:BI,15,FALSE)),TEXT(VLOOKUP(B287,[1]Closures!B:BI,15,FALSE),"ddmmm"),IF(C287&lt;=0,0,IF(I287&lt;=0,0,IF(AND(C287&gt;0,O287&lt;=0),"&gt;52",IF(I287/O287&gt;52,"&gt;52", MAX(0,I287/O287-2))))))</f>
        <v>16.161731350501746</v>
      </c>
      <c r="S287" s="130"/>
    </row>
    <row r="288" spans="1:19" ht="10.7" customHeight="1" x14ac:dyDescent="0.2">
      <c r="A288" s="122"/>
      <c r="B288" s="181"/>
      <c r="C288" s="173"/>
      <c r="D288" s="163"/>
      <c r="E288" s="163"/>
      <c r="F288" s="164"/>
      <c r="G288" s="163"/>
      <c r="H288" s="2"/>
      <c r="I288" s="164"/>
      <c r="J288" s="163"/>
      <c r="K288" s="163"/>
      <c r="L288" s="163"/>
      <c r="M288" s="163"/>
      <c r="N288" s="163"/>
      <c r="O288" s="163"/>
      <c r="P288" s="182"/>
      <c r="S288" s="130"/>
    </row>
    <row r="289" spans="1:19" ht="10.7" hidden="1" customHeight="1" x14ac:dyDescent="0.2">
      <c r="A289" s="122"/>
      <c r="B289" s="181"/>
      <c r="C289" s="181"/>
      <c r="D289" s="183"/>
      <c r="E289" s="183"/>
      <c r="F289" s="184"/>
      <c r="G289" s="183"/>
      <c r="H289" s="163"/>
      <c r="I289" s="184"/>
      <c r="J289" s="185"/>
      <c r="K289" s="185"/>
      <c r="L289" s="185"/>
      <c r="M289" s="185"/>
      <c r="N289" s="173"/>
      <c r="O289" s="183"/>
      <c r="P289" s="182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tr">
        <f>C5</f>
        <v>Initial Quota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f>[1]weeks!$B$154</f>
        <v>43166</v>
      </c>
      <c r="K292" s="151">
        <f>[1]weeks!$B$105</f>
        <v>43173</v>
      </c>
      <c r="L292" s="151">
        <f>[1]weeks!$B$55</f>
        <v>43180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6"/>
      <c r="C294" s="193" t="s">
        <v>122</v>
      </c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4"/>
      <c r="P294" s="145"/>
      <c r="S294" s="130"/>
    </row>
    <row r="295" spans="1:19" ht="10.7" hidden="1" customHeight="1" x14ac:dyDescent="0.2">
      <c r="A295" s="122"/>
      <c r="B295" s="161" t="s">
        <v>132</v>
      </c>
      <c r="C295" s="162">
        <f>'[2]IV&amp;VI Combined'!$O$29</f>
        <v>0</v>
      </c>
      <c r="D295" s="163">
        <f>F295-VLOOKUP(B295,[1]Quota!$B$103:$BJ$143,16,FALSE)</f>
        <v>0</v>
      </c>
      <c r="E295" s="163">
        <f>F295-C295</f>
        <v>0</v>
      </c>
      <c r="F295" s="164">
        <f>VLOOKUP(B295,[1]Quota!$B$81:$BJ$92,16,FALSE)</f>
        <v>0</v>
      </c>
      <c r="G295" s="163">
        <f>'[1]Cumulative '!Q221+'[1]Cumulative '!R221</f>
        <v>0</v>
      </c>
      <c r="H295" s="165" t="str">
        <f t="shared" ref="H295:H309" si="129">IF(AND(F295&lt;=0),"n/a",IF(F295=0,0,100*G295/F295))</f>
        <v>n/a</v>
      </c>
      <c r="I295" s="164">
        <f>F295-G295</f>
        <v>0</v>
      </c>
      <c r="J295" s="163">
        <f>VLOOKUP(B295,[1]weeks!$B$156:$BO$193,16,FALSE)+VLOOKUP(B295,[1]weeks!$B$156:$BO$193,17,FALSE)-VLOOKUP(B295,[1]weeks!$B$206:$BO$243,16,FALSE)-VLOOKUP(B295,[1]weeks!$B$206:$BO$243,17,FALSE)</f>
        <v>0</v>
      </c>
      <c r="K295" s="163">
        <f>VLOOKUP(B295,[1]weeks!$B$107:$BO$144,16,FALSE)+VLOOKUP(B295,[1]weeks!$B$107:$BO$144,17,FALSE)-VLOOKUP(B295,[1]weeks!$B$156:$BO$193,16,FALSE)-VLOOKUP(B295,[1]weeks!$B$156:$BO$193,17,FALSE)</f>
        <v>0</v>
      </c>
      <c r="L295" s="163">
        <f>VLOOKUP(B295,[1]weeks!$B$55:$BO$94,16,FALSE)+VLOOKUP(B295,[1]weeks!$B$55:$BO$94,17,FALSE)-VLOOKUP(B295,[1]weeks!$B$107:$BO$144,16,FALSE)-VLOOKUP(B295,[1]weeks!$B$107:$BO$144,17,FALSE)</f>
        <v>0</v>
      </c>
      <c r="M295" s="163">
        <f>VLOOKUP(B295,[1]weeks!$B$5:$BO$44,16,FALSE)+VLOOKUP(B295,[1]weeks!$B$5:$BO$44,17,FALSE)-VLOOKUP(B295,[1]weeks!$B$55:$BO$94,16,FALSE)-VLOOKUP(B295,[1]weeks!$B$55:$BO$94,17,FALSE)</f>
        <v>0</v>
      </c>
      <c r="N295" s="163" t="str">
        <f>IF(F295&gt;0,M295/F295*100,"-")</f>
        <v>-</v>
      </c>
      <c r="O295" s="163">
        <f>SUM(J295:M295)/4</f>
        <v>0</v>
      </c>
      <c r="P295" s="146">
        <f>IF(ISNUMBER(VLOOKUP(B295,[1]Closures!B:BI,16,FALSE)),TEXT(VLOOKUP(B295,[1]Closures!B:BI,16,FALSE),"ddmmm"),IF(C295&lt;=0,0,IF(I295&lt;=0,0,IF(AND(C295&gt;0,O295&lt;=0),"&gt;52",IF(I295/O295&gt;52,"&gt;52", MAX(0,I295/O295-2))))))</f>
        <v>0</v>
      </c>
      <c r="S295" s="130"/>
    </row>
    <row r="296" spans="1:19" ht="10.7" hidden="1" customHeight="1" x14ac:dyDescent="0.2">
      <c r="A296" s="122"/>
      <c r="B296" s="161" t="s">
        <v>133</v>
      </c>
      <c r="C296" s="162">
        <f>'[2]IV&amp;VI Combined'!$O$30</f>
        <v>0</v>
      </c>
      <c r="D296" s="163">
        <f>F296-VLOOKUP(B296,[1]Quota!$B$103:$BJ$143,16,FALSE)</f>
        <v>0</v>
      </c>
      <c r="E296" s="163">
        <f t="shared" ref="E296:E309" si="130">F296-C296</f>
        <v>0</v>
      </c>
      <c r="F296" s="164">
        <f>VLOOKUP(B296,[1]Quota!$B$81:$BJ$92,16,FALSE)</f>
        <v>0</v>
      </c>
      <c r="G296" s="163">
        <f>'[1]Cumulative '!Q222+'[1]Cumulative '!R222</f>
        <v>0</v>
      </c>
      <c r="H296" s="165" t="str">
        <f t="shared" si="129"/>
        <v>n/a</v>
      </c>
      <c r="I296" s="164">
        <f t="shared" ref="I296:I299" si="131">F296-G296</f>
        <v>0</v>
      </c>
      <c r="J296" s="163">
        <f>VLOOKUP(B296,[1]weeks!$B$156:$BO$193,16,FALSE)+VLOOKUP(B296,[1]weeks!$B$156:$BO$193,17,FALSE)-VLOOKUP(B296,[1]weeks!$B$206:$BO$243,16,FALSE)-VLOOKUP(B296,[1]weeks!$B$206:$BO$243,17,FALSE)</f>
        <v>0</v>
      </c>
      <c r="K296" s="163">
        <f>VLOOKUP(B296,[1]weeks!$B$107:$BO$144,16,FALSE)+VLOOKUP(B296,[1]weeks!$B$107:$BO$144,17,FALSE)-VLOOKUP(B296,[1]weeks!$B$156:$BO$193,16,FALSE)-VLOOKUP(B296,[1]weeks!$B$156:$BO$193,17,FALSE)</f>
        <v>0</v>
      </c>
      <c r="L296" s="163">
        <f>VLOOKUP(B296,[1]weeks!$B$55:$BO$94,16,FALSE)+VLOOKUP(B296,[1]weeks!$B$55:$BO$94,17,FALSE)-VLOOKUP(B296,[1]weeks!$B$107:$BO$144,16,FALSE)-VLOOKUP(B296,[1]weeks!$B$107:$BO$144,17,FALSE)</f>
        <v>0</v>
      </c>
      <c r="M296" s="163">
        <f>VLOOKUP(B296,[1]weeks!$B$5:$BO$44,16,FALSE)+VLOOKUP(B296,[1]weeks!$B$5:$BO$44,17,FALSE)-VLOOKUP(B296,[1]weeks!$B$55:$BO$94,16,FALSE)-VLOOKUP(B296,[1]weeks!$B$55:$BO$94,17,FALSE)</f>
        <v>0</v>
      </c>
      <c r="N296" s="163" t="str">
        <f t="shared" ref="N296:N309" si="132">IF(F296&gt;0,M296/F296*100,"-")</f>
        <v>-</v>
      </c>
      <c r="O296" s="163">
        <f t="shared" ref="O296:O305" si="133">SUM(J296:M296)/4</f>
        <v>0</v>
      </c>
      <c r="P296" s="146">
        <f>IF(ISNUMBER(VLOOKUP(B296,[1]Closures!B:BI,16,FALSE)),TEXT(VLOOKUP(B296,[1]Closures!B:BI,16,FALSE),"ddmmm"),IF(C296&lt;=0,0,IF(I296&lt;=0,0,IF(AND(C296&gt;0,O296&lt;=0),"&gt;52",IF(I296/O296&gt;52,"&gt;52", MAX(0,I296/O296-2))))))</f>
        <v>0</v>
      </c>
      <c r="S296" s="130"/>
    </row>
    <row r="297" spans="1:19" ht="10.7" hidden="1" customHeight="1" x14ac:dyDescent="0.2">
      <c r="A297" s="122"/>
      <c r="B297" s="161" t="s">
        <v>134</v>
      </c>
      <c r="C297" s="162">
        <f>'[2]IV&amp;VI Combined'!$O$31</f>
        <v>0</v>
      </c>
      <c r="D297" s="163">
        <f>F297-VLOOKUP(B297,[1]Quota!$B$103:$BJ$143,16,FALSE)</f>
        <v>0</v>
      </c>
      <c r="E297" s="163">
        <f t="shared" si="130"/>
        <v>0</v>
      </c>
      <c r="F297" s="164">
        <f>VLOOKUP(B297,[1]Quota!$B$81:$BJ$92,16,FALSE)</f>
        <v>0</v>
      </c>
      <c r="G297" s="163">
        <f>'[1]Cumulative '!Q223+'[1]Cumulative '!R223</f>
        <v>0</v>
      </c>
      <c r="H297" s="165" t="str">
        <f t="shared" si="129"/>
        <v>n/a</v>
      </c>
      <c r="I297" s="164">
        <f t="shared" si="131"/>
        <v>0</v>
      </c>
      <c r="J297" s="163">
        <f>VLOOKUP(B297,[1]weeks!$B$156:$BO$193,16,FALSE)+VLOOKUP(B297,[1]weeks!$B$156:$BO$193,17,FALSE)-VLOOKUP(B297,[1]weeks!$B$206:$BO$243,16,FALSE)-VLOOKUP(B297,[1]weeks!$B$206:$BO$243,17,FALSE)</f>
        <v>0</v>
      </c>
      <c r="K297" s="163">
        <f>VLOOKUP(B297,[1]weeks!$B$107:$BO$144,16,FALSE)+VLOOKUP(B297,[1]weeks!$B$107:$BO$144,17,FALSE)-VLOOKUP(B297,[1]weeks!$B$156:$BO$193,16,FALSE)-VLOOKUP(B297,[1]weeks!$B$156:$BO$193,17,FALSE)</f>
        <v>0</v>
      </c>
      <c r="L297" s="163">
        <f>VLOOKUP(B297,[1]weeks!$B$55:$BO$94,16,FALSE)+VLOOKUP(B297,[1]weeks!$B$55:$BO$94,17,FALSE)-VLOOKUP(B297,[1]weeks!$B$107:$BO$144,16,FALSE)-VLOOKUP(B297,[1]weeks!$B$107:$BO$144,17,FALSE)</f>
        <v>0</v>
      </c>
      <c r="M297" s="163">
        <f>VLOOKUP(B297,[1]weeks!$B$5:$BO$44,16,FALSE)+VLOOKUP(B297,[1]weeks!$B$5:$BO$44,17,FALSE)-VLOOKUP(B297,[1]weeks!$B$55:$BO$94,16,FALSE)-VLOOKUP(B297,[1]weeks!$B$55:$BO$94,17,FALSE)</f>
        <v>0</v>
      </c>
      <c r="N297" s="163" t="str">
        <f t="shared" si="132"/>
        <v>-</v>
      </c>
      <c r="O297" s="163">
        <f t="shared" si="133"/>
        <v>0</v>
      </c>
      <c r="P297" s="146">
        <f>IF(ISNUMBER(VLOOKUP(B297,[1]Closures!B:BI,16,FALSE)),TEXT(VLOOKUP(B297,[1]Closures!B:BI,16,FALSE),"ddmmm"),IF(C297&lt;=0,0,IF(I297&lt;=0,0,IF(AND(C297&gt;0,O297&lt;=0),"&gt;52",IF(I297/O297&gt;52,"&gt;52", MAX(0,I297/O297-2))))))</f>
        <v>0</v>
      </c>
      <c r="S297" s="130"/>
    </row>
    <row r="298" spans="1:19" ht="10.7" hidden="1" customHeight="1" x14ac:dyDescent="0.2">
      <c r="A298" s="122"/>
      <c r="B298" s="161" t="s">
        <v>135</v>
      </c>
      <c r="C298" s="162">
        <f>'[2]IV&amp;VI Combined'!$O$32</f>
        <v>0</v>
      </c>
      <c r="D298" s="163">
        <f>F298-VLOOKUP(B298,[1]Quota!$B$103:$BJ$143,16,FALSE)</f>
        <v>0</v>
      </c>
      <c r="E298" s="163">
        <f t="shared" si="130"/>
        <v>0</v>
      </c>
      <c r="F298" s="164">
        <f>VLOOKUP(B298,[1]Quota!$B$81:$BJ$92,16,FALSE)</f>
        <v>0</v>
      </c>
      <c r="G298" s="163">
        <f>'[1]Cumulative '!Q224+'[1]Cumulative '!R224</f>
        <v>0</v>
      </c>
      <c r="H298" s="165" t="str">
        <f t="shared" si="129"/>
        <v>n/a</v>
      </c>
      <c r="I298" s="164">
        <f t="shared" si="131"/>
        <v>0</v>
      </c>
      <c r="J298" s="163">
        <f>VLOOKUP(B298,[1]weeks!$B$156:$BO$193,16,FALSE)+VLOOKUP(B298,[1]weeks!$B$156:$BO$193,17,FALSE)-VLOOKUP(B298,[1]weeks!$B$206:$BO$243,16,FALSE)-VLOOKUP(B298,[1]weeks!$B$206:$BO$243,17,FALSE)</f>
        <v>0</v>
      </c>
      <c r="K298" s="163">
        <f>VLOOKUP(B298,[1]weeks!$B$107:$BO$144,16,FALSE)+VLOOKUP(B298,[1]weeks!$B$107:$BO$144,17,FALSE)-VLOOKUP(B298,[1]weeks!$B$156:$BO$193,16,FALSE)-VLOOKUP(B298,[1]weeks!$B$156:$BO$193,17,FALSE)</f>
        <v>0</v>
      </c>
      <c r="L298" s="163">
        <f>VLOOKUP(B298,[1]weeks!$B$55:$BO$94,16,FALSE)+VLOOKUP(B298,[1]weeks!$B$55:$BO$94,17,FALSE)-VLOOKUP(B298,[1]weeks!$B$107:$BO$144,16,FALSE)-VLOOKUP(B298,[1]weeks!$B$107:$BO$144,17,FALSE)</f>
        <v>0</v>
      </c>
      <c r="M298" s="163">
        <f>VLOOKUP(B298,[1]weeks!$B$5:$BO$44,16,FALSE)+VLOOKUP(B298,[1]weeks!$B$5:$BO$44,17,FALSE)-VLOOKUP(B298,[1]weeks!$B$55:$BO$94,16,FALSE)-VLOOKUP(B298,[1]weeks!$B$55:$BO$94,17,FALSE)</f>
        <v>0</v>
      </c>
      <c r="N298" s="163" t="str">
        <f t="shared" si="132"/>
        <v>-</v>
      </c>
      <c r="O298" s="163">
        <f t="shared" si="133"/>
        <v>0</v>
      </c>
      <c r="P298" s="146">
        <f>IF(ISNUMBER(VLOOKUP(B298,[1]Closures!B:BI,16,FALSE)),TEXT(VLOOKUP(B298,[1]Closures!B:BI,16,FALSE),"ddmmm"),IF(C298&lt;=0,0,IF(I298&lt;=0,0,IF(AND(C298&gt;0,O298&lt;=0),"&gt;52",IF(I298/O298&gt;52,"&gt;52", MAX(0,I298/O298-2))))))</f>
        <v>0</v>
      </c>
      <c r="S298" s="130"/>
    </row>
    <row r="299" spans="1:19" ht="10.7" hidden="1" customHeight="1" x14ac:dyDescent="0.2">
      <c r="A299" s="122"/>
      <c r="B299" s="161" t="s">
        <v>136</v>
      </c>
      <c r="C299" s="162"/>
      <c r="D299" s="163">
        <f>F299-VLOOKUP(B299,[1]Quota!$B$32:$BJ$43,16,FALSE)</f>
        <v>0</v>
      </c>
      <c r="E299" s="163"/>
      <c r="F299" s="164">
        <f>VLOOKUP(B299,[1]Quota!$B$81:$BJ$92,16,FALSE)</f>
        <v>0</v>
      </c>
      <c r="G299" s="163"/>
      <c r="H299" s="165" t="str">
        <f t="shared" si="129"/>
        <v>n/a</v>
      </c>
      <c r="I299" s="164">
        <f t="shared" si="131"/>
        <v>0</v>
      </c>
      <c r="J299" s="163"/>
      <c r="K299" s="163"/>
      <c r="L299" s="163"/>
      <c r="M299" s="163"/>
      <c r="N299" s="163"/>
      <c r="O299" s="163"/>
      <c r="P299" s="146"/>
      <c r="S299" s="130"/>
    </row>
    <row r="300" spans="1:19" ht="10.7" hidden="1" customHeight="1" x14ac:dyDescent="0.2">
      <c r="A300" s="122"/>
      <c r="B300" s="168" t="s">
        <v>137</v>
      </c>
      <c r="C300" s="162">
        <f>SUM(C295:C298)</f>
        <v>0</v>
      </c>
      <c r="D300" s="163">
        <f>SUM(D295:D299)</f>
        <v>0</v>
      </c>
      <c r="E300" s="163">
        <f t="shared" si="130"/>
        <v>0</v>
      </c>
      <c r="F300" s="217">
        <f t="shared" ref="F300" si="134">SUM(F295:F298)</f>
        <v>0</v>
      </c>
      <c r="G300" s="163">
        <f>SUM(G295:G298)</f>
        <v>0</v>
      </c>
      <c r="H300" s="165" t="str">
        <f t="shared" si="129"/>
        <v>n/a</v>
      </c>
      <c r="I300" s="217">
        <f t="shared" ref="I300:L300" si="135">SUM(I295:I298)</f>
        <v>0</v>
      </c>
      <c r="J300" s="163">
        <f t="shared" si="135"/>
        <v>0</v>
      </c>
      <c r="K300" s="163">
        <f t="shared" si="135"/>
        <v>0</v>
      </c>
      <c r="L300" s="163">
        <f t="shared" si="135"/>
        <v>0</v>
      </c>
      <c r="M300" s="163">
        <f>SUM(M295:M298)</f>
        <v>0</v>
      </c>
      <c r="N300" s="163" t="str">
        <f t="shared" si="132"/>
        <v>-</v>
      </c>
      <c r="O300" s="163">
        <f t="shared" si="133"/>
        <v>0</v>
      </c>
      <c r="P300" s="146">
        <f>IF(ISNUMBER(VLOOKUP(B300,[1]Closures!B:BI,16,FALSE)),TEXT(VLOOKUP(B300,[1]Closures!B:BI,16,FALSE),"ddmmm"),IF(C300&lt;=0,0,IF(I300&lt;=0,0,IF(AND(C300&gt;0,O300&lt;=0),"&gt;52",IF(I300/O300&gt;52,"&gt;52", MAX(0,I300/O300-2))))))</f>
        <v>0</v>
      </c>
      <c r="S300" s="130"/>
    </row>
    <row r="301" spans="1:19" ht="10.7" hidden="1" customHeight="1" x14ac:dyDescent="0.2">
      <c r="A301" s="122"/>
      <c r="B301" s="168"/>
      <c r="C301" s="162"/>
      <c r="D301" s="163"/>
      <c r="E301" s="163"/>
      <c r="F301" s="164"/>
      <c r="G301" s="163"/>
      <c r="H301" s="165"/>
      <c r="I301" s="164"/>
      <c r="J301" s="163"/>
      <c r="K301" s="163"/>
      <c r="L301" s="163"/>
      <c r="M301" s="163"/>
      <c r="N301" s="163" t="str">
        <f t="shared" si="132"/>
        <v>-</v>
      </c>
      <c r="O301" s="163"/>
      <c r="P301" s="146"/>
      <c r="S301" s="130"/>
    </row>
    <row r="302" spans="1:19" ht="10.7" hidden="1" customHeight="1" x14ac:dyDescent="0.2">
      <c r="A302" s="122"/>
      <c r="B302" s="174" t="s">
        <v>138</v>
      </c>
      <c r="C302" s="162">
        <f>'[2]IV&amp;VI Combined'!$O$36</f>
        <v>0</v>
      </c>
      <c r="D302" s="163">
        <f>F302-VLOOKUP(B302,[1]Quota!$B$103:$BJ$143,16,FALSE)</f>
        <v>0</v>
      </c>
      <c r="E302" s="163">
        <f t="shared" si="130"/>
        <v>0</v>
      </c>
      <c r="F302" s="164">
        <f>VLOOKUP(B302,[1]Quota!$B$81:$BJ$92,16,FALSE)</f>
        <v>0</v>
      </c>
      <c r="G302" s="163">
        <f>'[1]Cumulative '!Q228+'[1]Cumulative '!R228</f>
        <v>0</v>
      </c>
      <c r="H302" s="165" t="str">
        <f t="shared" si="129"/>
        <v>n/a</v>
      </c>
      <c r="I302" s="164">
        <f t="shared" ref="I302:I309" si="136">F302-G302</f>
        <v>0</v>
      </c>
      <c r="J302" s="163">
        <f>VLOOKUP(B302,[1]weeks!$B$156:$BO$193,16,FALSE)+VLOOKUP(B302,[1]weeks!$B$156:$BO$193,17,FALSE)-VLOOKUP(B302,[1]weeks!$B$206:$BO$243,16,FALSE)-VLOOKUP(B302,[1]weeks!$B$206:$BO$243,17,FALSE)</f>
        <v>0</v>
      </c>
      <c r="K302" s="163">
        <f>VLOOKUP(B302,[1]weeks!$B$107:$BO$144,16,FALSE)+VLOOKUP(B302,[1]weeks!$B$107:$BO$144,17,FALSE)-VLOOKUP(B302,[1]weeks!$B$156:$BO$193,16,FALSE)-VLOOKUP(B302,[1]weeks!$B$156:$BO$193,17,FALSE)</f>
        <v>0</v>
      </c>
      <c r="L302" s="163">
        <f>VLOOKUP(B302,[1]weeks!$B$55:$BO$94,16,FALSE)+VLOOKUP(B302,[1]weeks!$B$55:$BO$94,17,FALSE)-VLOOKUP(B302,[1]weeks!$B$107:$BO$144,16,FALSE)-VLOOKUP(B302,[1]weeks!$B$107:$BO$144,17,FALSE)</f>
        <v>0</v>
      </c>
      <c r="M302" s="163">
        <f>VLOOKUP(B302,[1]weeks!$B$5:$BO$44,16,FALSE)+VLOOKUP(B302,[1]weeks!$B$5:$BO$44,17,FALSE)-VLOOKUP(B302,[1]weeks!$B$55:$BO$94,16,FALSE)-VLOOKUP(B302,[1]weeks!$B$55:$BO$94,17,FALSE)</f>
        <v>0</v>
      </c>
      <c r="N302" s="163" t="str">
        <f t="shared" si="132"/>
        <v>-</v>
      </c>
      <c r="O302" s="163">
        <f t="shared" si="133"/>
        <v>0</v>
      </c>
      <c r="P302" s="146">
        <f>IF(ISNUMBER(VLOOKUP(B302,[1]Closures!B:BI,16,FALSE)),TEXT(VLOOKUP(B302,[1]Closures!B:BI,16,FALSE),"ddmmm"),IF(C302&lt;=0,0,IF(I302&lt;=0,0,IF(AND(C302&gt;0,O302&lt;=0),"&gt;52",IF(I302/O302&gt;52,"&gt;52", MAX(0,I302/O302-2))))))</f>
        <v>0</v>
      </c>
      <c r="S302" s="130"/>
    </row>
    <row r="303" spans="1:19" ht="10.7" hidden="1" customHeight="1" x14ac:dyDescent="0.2">
      <c r="A303" s="122"/>
      <c r="B303" s="174" t="s">
        <v>139</v>
      </c>
      <c r="C303" s="162">
        <f>'[2]IV&amp;VI Combined'!$O$37</f>
        <v>0</v>
      </c>
      <c r="D303" s="163">
        <f>F303-VLOOKUP(B303,[1]Quota!$B$103:$BJ$143,16,FALSE)</f>
        <v>0</v>
      </c>
      <c r="E303" s="163">
        <f t="shared" si="130"/>
        <v>0</v>
      </c>
      <c r="F303" s="164">
        <f>VLOOKUP(B303,[1]Quota!$B$81:$BJ$92,16,FALSE)</f>
        <v>0</v>
      </c>
      <c r="G303" s="163">
        <f>'[1]Cumulative '!Q229+'[1]Cumulative '!R229</f>
        <v>0</v>
      </c>
      <c r="H303" s="165" t="str">
        <f t="shared" si="129"/>
        <v>n/a</v>
      </c>
      <c r="I303" s="164">
        <f t="shared" si="136"/>
        <v>0</v>
      </c>
      <c r="J303" s="163">
        <f>VLOOKUP(B303,[1]weeks!$B$156:$BO$193,16,FALSE)+VLOOKUP(B303,[1]weeks!$B$156:$BO$193,17,FALSE)-VLOOKUP(B303,[1]weeks!$B$206:$BO$243,16,FALSE)-VLOOKUP(B303,[1]weeks!$B$206:$BO$243,17,FALSE)</f>
        <v>0</v>
      </c>
      <c r="K303" s="163">
        <f>VLOOKUP(B303,[1]weeks!$B$107:$BO$144,16,FALSE)+VLOOKUP(B303,[1]weeks!$B$107:$BO$144,17,FALSE)-VLOOKUP(B303,[1]weeks!$B$156:$BO$193,16,FALSE)-VLOOKUP(B303,[1]weeks!$B$156:$BO$193,17,FALSE)</f>
        <v>0</v>
      </c>
      <c r="L303" s="163">
        <f>VLOOKUP(B303,[1]weeks!$B$55:$BO$94,16,FALSE)+VLOOKUP(B303,[1]weeks!$B$55:$BO$94,17,FALSE)-VLOOKUP(B303,[1]weeks!$B$107:$BO$144,16,FALSE)-VLOOKUP(B303,[1]weeks!$B$107:$BO$144,17,FALSE)</f>
        <v>0</v>
      </c>
      <c r="M303" s="163">
        <f>VLOOKUP(B303,[1]weeks!$B$5:$BO$44,16,FALSE)+VLOOKUP(B303,[1]weeks!$B$5:$BO$44,17,FALSE)-VLOOKUP(B303,[1]weeks!$B$55:$BO$94,16,FALSE)-VLOOKUP(B303,[1]weeks!$B$55:$BO$94,17,FALSE)</f>
        <v>0</v>
      </c>
      <c r="N303" s="163" t="str">
        <f t="shared" si="132"/>
        <v>-</v>
      </c>
      <c r="O303" s="163">
        <f t="shared" si="133"/>
        <v>0</v>
      </c>
      <c r="P303" s="146">
        <f>IF(ISNUMBER(VLOOKUP(B303,[1]Closures!B:BI,16,FALSE)),TEXT(VLOOKUP(B303,[1]Closures!B:BI,16,FALSE),"ddmmm"),IF(C303&lt;=0,0,IF(I303&lt;=0,0,IF(AND(C303&gt;0,O303&lt;=0),"&gt;52",IF(I303/O303&gt;52,"&gt;52", MAX(0,I303/O303-2))))))</f>
        <v>0</v>
      </c>
      <c r="S303" s="130"/>
    </row>
    <row r="304" spans="1:19" ht="10.7" hidden="1" customHeight="1" x14ac:dyDescent="0.2">
      <c r="A304" s="122"/>
      <c r="B304" s="174" t="s">
        <v>140</v>
      </c>
      <c r="C304" s="162">
        <f>'[2]IV&amp;VI Combined'!$O$38</f>
        <v>0</v>
      </c>
      <c r="D304" s="163">
        <f>F304-VLOOKUP(B304,[1]Quota!$B$103:$BJ$143,16,FALSE)</f>
        <v>0</v>
      </c>
      <c r="E304" s="163">
        <f t="shared" si="130"/>
        <v>0</v>
      </c>
      <c r="F304" s="164">
        <f>VLOOKUP(B304,[1]Quota!$B$81:$BJ$92,16,FALSE)</f>
        <v>0</v>
      </c>
      <c r="G304" s="163">
        <f>'[1]Cumulative '!Q230+'[1]Cumulative '!R230</f>
        <v>0</v>
      </c>
      <c r="H304" s="165" t="str">
        <f t="shared" si="129"/>
        <v>n/a</v>
      </c>
      <c r="I304" s="164">
        <f t="shared" si="136"/>
        <v>0</v>
      </c>
      <c r="J304" s="163">
        <f>VLOOKUP(B304,[1]weeks!$B$156:$BO$193,16,FALSE)+VLOOKUP(B304,[1]weeks!$B$156:$BO$193,17,FALSE)-VLOOKUP(B304,[1]weeks!$B$206:$BO$243,16,FALSE)-VLOOKUP(B304,[1]weeks!$B$206:$BO$243,17,FALSE)</f>
        <v>0</v>
      </c>
      <c r="K304" s="163">
        <f>VLOOKUP(B304,[1]weeks!$B$107:$BO$144,16,FALSE)+VLOOKUP(B304,[1]weeks!$B$107:$BO$144,17,FALSE)-VLOOKUP(B304,[1]weeks!$B$156:$BO$193,16,FALSE)-VLOOKUP(B304,[1]weeks!$B$156:$BO$193,17,FALSE)</f>
        <v>0</v>
      </c>
      <c r="L304" s="163">
        <f>VLOOKUP(B304,[1]weeks!$B$55:$BO$94,16,FALSE)+VLOOKUP(B304,[1]weeks!$B$55:$BO$94,17,FALSE)-VLOOKUP(B304,[1]weeks!$B$107:$BO$144,16,FALSE)-VLOOKUP(B304,[1]weeks!$B$107:$BO$144,17,FALSE)</f>
        <v>0</v>
      </c>
      <c r="M304" s="163">
        <f>VLOOKUP(B304,[1]weeks!$B$5:$BO$44,16,FALSE)+VLOOKUP(B304,[1]weeks!$B$5:$BO$44,17,FALSE)-VLOOKUP(B304,[1]weeks!$B$55:$BO$94,16,FALSE)-VLOOKUP(B304,[1]weeks!$B$55:$BO$94,17,FALSE)</f>
        <v>0</v>
      </c>
      <c r="N304" s="163" t="str">
        <f t="shared" si="132"/>
        <v>-</v>
      </c>
      <c r="O304" s="163">
        <f t="shared" si="133"/>
        <v>0</v>
      </c>
      <c r="P304" s="146">
        <f>IF(ISNUMBER(VLOOKUP(B304,[1]Closures!B:BI,16,FALSE)),TEXT(VLOOKUP(B304,[1]Closures!B:BI,16,FALSE),"ddmmm"),IF(C304&lt;=0,0,IF(I304&lt;=0,0,IF(AND(C304&gt;0,O304&lt;=0),"&gt;52",IF(I304/O304&gt;52,"&gt;52", MAX(0,I304/O304-2))))))</f>
        <v>0</v>
      </c>
      <c r="S304" s="130"/>
    </row>
    <row r="305" spans="1:19" ht="10.7" hidden="1" customHeight="1" x14ac:dyDescent="0.2">
      <c r="A305" s="122"/>
      <c r="B305" s="174" t="s">
        <v>141</v>
      </c>
      <c r="C305" s="162">
        <f>'[2]IV&amp;VI Combined'!$O$39</f>
        <v>0</v>
      </c>
      <c r="D305" s="163">
        <f>F305-VLOOKUP(B305,[1]Quota!$B$103:$BJ$143,16,FALSE)</f>
        <v>0</v>
      </c>
      <c r="E305" s="163">
        <f t="shared" si="130"/>
        <v>0</v>
      </c>
      <c r="F305" s="164">
        <f>VLOOKUP(B305,[1]Quota!$B$81:$BJ$92,16,FALSE)</f>
        <v>0</v>
      </c>
      <c r="G305" s="163">
        <f>'[1]Cumulative '!Q231+'[1]Cumulative '!R231</f>
        <v>0</v>
      </c>
      <c r="H305" s="165" t="str">
        <f>IF(AND(F305&lt;=0),"n/a",IF(F305=0,0,100*G305/F305))</f>
        <v>n/a</v>
      </c>
      <c r="I305" s="164">
        <f t="shared" si="136"/>
        <v>0</v>
      </c>
      <c r="J305" s="163">
        <f>VLOOKUP(B305,[1]weeks!$B$156:$BO$193,16,FALSE)+VLOOKUP(B305,[1]weeks!$B$156:$BO$193,17,FALSE)-VLOOKUP(B305,[1]weeks!$B$206:$BO$243,16,FALSE)-VLOOKUP(B305,[1]weeks!$B$206:$BO$243,17,FALSE)</f>
        <v>0</v>
      </c>
      <c r="K305" s="163">
        <f>VLOOKUP(B305,[1]weeks!$B$107:$BO$144,16,FALSE)+VLOOKUP(B305,[1]weeks!$B$107:$BO$144,17,FALSE)-VLOOKUP(B305,[1]weeks!$B$156:$BO$193,16,FALSE)-VLOOKUP(B305,[1]weeks!$B$156:$BO$193,17,FALSE)</f>
        <v>0</v>
      </c>
      <c r="L305" s="163">
        <f>VLOOKUP(B305,[1]weeks!$B$55:$BO$94,16,FALSE)+VLOOKUP(B305,[1]weeks!$B$55:$BO$94,17,FALSE)-VLOOKUP(B305,[1]weeks!$B$107:$BO$144,16,FALSE)-VLOOKUP(B305,[1]weeks!$B$107:$BO$144,17,FALSE)</f>
        <v>0</v>
      </c>
      <c r="M305" s="163">
        <f>VLOOKUP(B305,[1]weeks!$B$5:$BO$44,16,FALSE)+VLOOKUP(B305,[1]weeks!$B$5:$BO$44,17,FALSE)-VLOOKUP(B305,[1]weeks!$B$55:$BO$94,16,FALSE)-VLOOKUP(B305,[1]weeks!$B$55:$BO$94,17,FALSE)</f>
        <v>0</v>
      </c>
      <c r="N305" s="163" t="str">
        <f t="shared" si="132"/>
        <v>-</v>
      </c>
      <c r="O305" s="163">
        <f t="shared" si="133"/>
        <v>0</v>
      </c>
      <c r="P305" s="146">
        <f>IF(ISNUMBER(VLOOKUP(B305,[1]Closures!B:BI,16,FALSE)),TEXT(VLOOKUP(B305,[1]Closures!B:BI,16,FALSE),"ddmmm"),IF(C305&lt;=0,0,IF(I305&lt;=0,0,IF(AND(C305&gt;0,O305&lt;=0),"&gt;52",IF(I305/O305&gt;52,"&gt;52", MAX(0,I305/O305-2))))))</f>
        <v>0</v>
      </c>
      <c r="S305" s="130"/>
    </row>
    <row r="306" spans="1:19" ht="10.7" hidden="1" customHeight="1" x14ac:dyDescent="0.2">
      <c r="A306" s="122"/>
      <c r="B306" s="174" t="s">
        <v>142</v>
      </c>
      <c r="C306" s="162"/>
      <c r="D306" s="163">
        <f>F306-VLOOKUP(B306,[1]Quota!$B$32:$BJ$43,16,FALSE)</f>
        <v>0</v>
      </c>
      <c r="E306" s="163"/>
      <c r="F306" s="164">
        <f>VLOOKUP(B306,[1]Quota!$B$81:$BJ$92,16,FALSE)</f>
        <v>0</v>
      </c>
      <c r="G306" s="163">
        <v>0</v>
      </c>
      <c r="H306" s="165" t="str">
        <f>IF(AND(F306&lt;=0),"n/a",IF(F306=0,0,100*G306/F306))</f>
        <v>n/a</v>
      </c>
      <c r="I306" s="164">
        <f>F306-G306</f>
        <v>0</v>
      </c>
      <c r="J306" s="163"/>
      <c r="K306" s="163"/>
      <c r="L306" s="163"/>
      <c r="M306" s="163"/>
      <c r="N306" s="163"/>
      <c r="O306" s="163"/>
      <c r="P306" s="146"/>
      <c r="S306" s="130"/>
    </row>
    <row r="307" spans="1:19" ht="10.7" hidden="1" customHeight="1" x14ac:dyDescent="0.2">
      <c r="A307" s="122"/>
      <c r="B307" s="168" t="s">
        <v>143</v>
      </c>
      <c r="C307" s="162">
        <f>SUM(C302:C306)</f>
        <v>0</v>
      </c>
      <c r="D307" s="163">
        <f>SUM(D302:D306)</f>
        <v>0</v>
      </c>
      <c r="E307" s="163">
        <f t="shared" si="130"/>
        <v>0</v>
      </c>
      <c r="F307" s="164">
        <f>SUM(F302:F305)</f>
        <v>0</v>
      </c>
      <c r="G307" s="163">
        <f>SUM(G302:G305)</f>
        <v>0</v>
      </c>
      <c r="H307" s="165" t="str">
        <f t="shared" si="129"/>
        <v>n/a</v>
      </c>
      <c r="I307" s="164">
        <f t="shared" si="136"/>
        <v>0</v>
      </c>
      <c r="J307" s="163">
        <f t="shared" ref="J307:L307" si="137">SUM(J302:J305)</f>
        <v>0</v>
      </c>
      <c r="K307" s="163">
        <f t="shared" si="137"/>
        <v>0</v>
      </c>
      <c r="L307" s="163">
        <f t="shared" si="137"/>
        <v>0</v>
      </c>
      <c r="M307" s="163">
        <f>SUM(M302:M305)</f>
        <v>0</v>
      </c>
      <c r="N307" s="163" t="str">
        <f t="shared" si="132"/>
        <v>-</v>
      </c>
      <c r="O307" s="163">
        <f>SUM(J307:M307)/4</f>
        <v>0</v>
      </c>
      <c r="P307" s="146">
        <f>IF(ISNUMBER(VLOOKUP(B307,[1]Closures!B:BI,16,FALSE)),TEXT(VLOOKUP(B307,[1]Closures!B:BI,16,FALSE),"ddmmm"),IF(C307&lt;=0,0,IF(I307&lt;=0,0,IF(AND(C307&gt;0,O307&lt;=0),"&gt;52",IF(I307/O307&gt;52,"&gt;52", MAX(0,I307/O307-2))))))</f>
        <v>0</v>
      </c>
      <c r="S307" s="130"/>
    </row>
    <row r="308" spans="1:19" ht="10.7" hidden="1" customHeight="1" x14ac:dyDescent="0.2">
      <c r="A308" s="122"/>
      <c r="B308" s="168"/>
      <c r="C308" s="162"/>
      <c r="D308" s="163"/>
      <c r="E308" s="163"/>
      <c r="F308" s="164"/>
      <c r="G308" s="163"/>
      <c r="H308" s="165"/>
      <c r="I308" s="164"/>
      <c r="J308" s="163"/>
      <c r="K308" s="163"/>
      <c r="L308" s="163"/>
      <c r="M308" s="163"/>
      <c r="N308" s="163"/>
      <c r="O308" s="163"/>
      <c r="P308" s="146"/>
      <c r="S308" s="130"/>
    </row>
    <row r="309" spans="1:19" ht="10.7" hidden="1" customHeight="1" x14ac:dyDescent="0.2">
      <c r="A309" s="122"/>
      <c r="B309" s="175" t="s">
        <v>112</v>
      </c>
      <c r="C309" s="176">
        <f>C307+C300</f>
        <v>0</v>
      </c>
      <c r="D309" s="180">
        <f>D307+D300</f>
        <v>0</v>
      </c>
      <c r="E309" s="180">
        <f t="shared" si="130"/>
        <v>0</v>
      </c>
      <c r="F309" s="189">
        <f>F307+F300</f>
        <v>0</v>
      </c>
      <c r="G309" s="180">
        <f>G307+G300</f>
        <v>0</v>
      </c>
      <c r="H309" s="179" t="str">
        <f t="shared" si="129"/>
        <v>n/a</v>
      </c>
      <c r="I309" s="218">
        <f t="shared" si="136"/>
        <v>0</v>
      </c>
      <c r="J309" s="180">
        <f t="shared" ref="J309:L309" si="138">J300+J307</f>
        <v>0</v>
      </c>
      <c r="K309" s="180">
        <f t="shared" si="138"/>
        <v>0</v>
      </c>
      <c r="L309" s="180">
        <f t="shared" si="138"/>
        <v>0</v>
      </c>
      <c r="M309" s="180">
        <f>M300+M307</f>
        <v>0</v>
      </c>
      <c r="N309" s="180" t="str">
        <f t="shared" si="132"/>
        <v>-</v>
      </c>
      <c r="O309" s="180">
        <f>SUM(J309:M309)/4</f>
        <v>0</v>
      </c>
      <c r="P309" s="153">
        <f>IF(ISNUMBER(VLOOKUP(B309,[1]Closures!B:BI,16,FALSE)),TEXT(VLOOKUP(B309,[1]Closures!B:BI,16,FALSE),"ddmmm"),IF(C309&lt;=0,0,IF(I309&lt;=0,0,IF(AND(C309&gt;0,O309&lt;=0),"&gt;52",IF(I309/O309&gt;52,"&gt;52", MAX(0,I309/O309-2))))))</f>
        <v>0</v>
      </c>
      <c r="S309" s="130"/>
    </row>
    <row r="310" spans="1:19" ht="10.7" hidden="1" customHeight="1" x14ac:dyDescent="0.2">
      <c r="A310" s="122"/>
      <c r="B310" s="212"/>
      <c r="C310" s="173"/>
      <c r="D310" s="163"/>
      <c r="E310" s="163"/>
      <c r="F310" s="164"/>
      <c r="G310" s="163"/>
      <c r="H310" s="165"/>
      <c r="I310" s="164"/>
      <c r="J310" s="163"/>
      <c r="K310" s="163"/>
      <c r="L310" s="163"/>
      <c r="M310" s="163"/>
      <c r="N310" s="163"/>
      <c r="O310" s="163"/>
      <c r="P310" s="182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tr">
        <f>C5</f>
        <v>Initial Quota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f>[1]weeks!$B$154</f>
        <v>43166</v>
      </c>
      <c r="K314" s="151">
        <f>[1]weeks!$B$105</f>
        <v>43173</v>
      </c>
      <c r="L314" s="151">
        <f>[1]weeks!$B$55</f>
        <v>43180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6"/>
      <c r="C316" s="199" t="s">
        <v>123</v>
      </c>
      <c r="D316" s="199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200"/>
      <c r="P316" s="145"/>
      <c r="S316" s="130"/>
    </row>
    <row r="317" spans="1:19" ht="10.7" customHeight="1" x14ac:dyDescent="0.2">
      <c r="A317" s="122"/>
      <c r="B317" s="161" t="s">
        <v>132</v>
      </c>
      <c r="C317" s="162">
        <f>'[2]IV&amp;VI Combined'!$P$29</f>
        <v>0.6</v>
      </c>
      <c r="D317" s="163">
        <f>F317-VLOOKUP(B317,[1]Quota!$B$103:$BJ$143,17,FALSE)</f>
        <v>0</v>
      </c>
      <c r="E317" s="163">
        <f>F317-C317</f>
        <v>0</v>
      </c>
      <c r="F317" s="164">
        <f>VLOOKUP(B317,[1]Quota!$B$81:$BJ$92,17,FALSE)</f>
        <v>0.6</v>
      </c>
      <c r="G317" s="163">
        <f>'[1]Cumulative '!T221+'[1]Cumulative '!U221</f>
        <v>0.2329</v>
      </c>
      <c r="H317" s="165">
        <f t="shared" ref="H317:H331" si="139">IF(AND(F317&lt;=0),"n/a",IF(F317=0,0,100*G317/F317))</f>
        <v>38.81666666666667</v>
      </c>
      <c r="I317" s="164">
        <f>F317-G317</f>
        <v>0.36709999999999998</v>
      </c>
      <c r="J317" s="163">
        <f>VLOOKUP(B317,[1]weeks!$B$156:$BO$193,19,FALSE)+VLOOKUP(B317,[1]weeks!$B$156:$BO$193,20,FALSE)-VLOOKUP(B317,[1]weeks!$B$206:$BO$243,19,FALSE)-VLOOKUP(B317,[1]weeks!$B$206:$BO$243,20,FALSE)</f>
        <v>1.8999999999999989E-2</v>
      </c>
      <c r="K317" s="163">
        <f>VLOOKUP(B317,[1]weeks!$B$107:$BO$144,19,FALSE)+VLOOKUP(B317,[1]weeks!$B$107:$BO$144,20,FALSE)-VLOOKUP(B317,[1]weeks!$B$156:$BO$193,19,FALSE)-VLOOKUP(B317,[1]weeks!$B$156:$BO$193,20,FALSE)</f>
        <v>3.1700000000000006E-2</v>
      </c>
      <c r="L317" s="163">
        <f>VLOOKUP(B317,[1]weeks!$B$55:$BO$94,19,FALSE)+VLOOKUP(B317,[1]weeks!$B$55:$BO$94,20,FALSE)-VLOOKUP(B317,[1]weeks!$B$107:$BO$144,19,FALSE)-VLOOKUP(B317,[1]weeks!$B$107:$BO$144,20,FALSE)</f>
        <v>4.5999999999999982E-3</v>
      </c>
      <c r="M317" s="163">
        <f>VLOOKUP(B317,[1]weeks!$B$5:$BO$44,19,FALSE)+VLOOKUP(B317,[1]weeks!$B$5:$BO$44,20,FALSE)-VLOOKUP(B317,[1]weeks!$B$55:$BO$94,19,FALSE)-VLOOKUP(B317,[1]weeks!$B$55:$BO$94,20,FALSE)</f>
        <v>3.5300000000000005E-2</v>
      </c>
      <c r="N317" s="163">
        <f>IF(F317&gt;0,M317/F317*100,"-")</f>
        <v>5.8833333333333337</v>
      </c>
      <c r="O317" s="163">
        <f t="shared" ref="O317:O327" si="140">SUM(J317:M317)/4</f>
        <v>2.265E-2</v>
      </c>
      <c r="P317" s="146">
        <f>IF(ISNUMBER(VLOOKUP(B317,[1]Closures!B:BI,17,FALSE)),TEXT(VLOOKUP(B317,[1]Closures!B:BI,17,FALSE),"ddmmm"),IF(C317&lt;=0,0,IF(I317&lt;=0,0,IF(AND(C317&gt;0,O317&lt;=0),"&gt;52",IF(I317/O317&gt;52,"&gt;52", MAX(0,I317/O317-2))))))</f>
        <v>14.207505518763796</v>
      </c>
      <c r="S317" s="130"/>
    </row>
    <row r="318" spans="1:19" ht="10.7" customHeight="1" x14ac:dyDescent="0.2">
      <c r="A318" s="122"/>
      <c r="B318" s="161" t="s">
        <v>133</v>
      </c>
      <c r="C318" s="162">
        <f>'[2]IV&amp;VI Combined'!$P$30</f>
        <v>0.3</v>
      </c>
      <c r="D318" s="163">
        <f>F318-VLOOKUP(B318,[1]Quota!$B$103:$BJ$143,17,FALSE)</f>
        <v>0</v>
      </c>
      <c r="E318" s="163">
        <f t="shared" ref="E318:E331" si="141">F318-C318</f>
        <v>-0.3</v>
      </c>
      <c r="F318" s="164">
        <f>VLOOKUP(B318,[1]Quota!$B$81:$BJ$92,17,FALSE)</f>
        <v>0</v>
      </c>
      <c r="G318" s="163">
        <f>'[1]Cumulative '!T222+'[1]Cumulative '!U222</f>
        <v>0</v>
      </c>
      <c r="H318" s="165" t="str">
        <f t="shared" si="139"/>
        <v>n/a</v>
      </c>
      <c r="I318" s="164">
        <f t="shared" ref="I318:I321" si="142">F318-G318</f>
        <v>0</v>
      </c>
      <c r="J318" s="163">
        <f>VLOOKUP(B318,[1]weeks!$B$156:$BO$193,19,FALSE)+VLOOKUP(B318,[1]weeks!$B$156:$BO$193,20,FALSE)-VLOOKUP(B318,[1]weeks!$B$206:$BO$243,19,FALSE)-VLOOKUP(B318,[1]weeks!$B$206:$BO$243,20,FALSE)</f>
        <v>0</v>
      </c>
      <c r="K318" s="163">
        <f>VLOOKUP(B318,[1]weeks!$B$107:$BO$144,19,FALSE)+VLOOKUP(B318,[1]weeks!$B$107:$BO$144,20,FALSE)-VLOOKUP(B318,[1]weeks!$B$156:$BO$193,19,FALSE)-VLOOKUP(B318,[1]weeks!$B$156:$BO$193,20,FALSE)</f>
        <v>0</v>
      </c>
      <c r="L318" s="163">
        <f>VLOOKUP(B318,[1]weeks!$B$55:$BO$94,19,FALSE)+VLOOKUP(B318,[1]weeks!$B$55:$BO$94,20,FALSE)-VLOOKUP(B318,[1]weeks!$B$107:$BO$144,19,FALSE)-VLOOKUP(B318,[1]weeks!$B$107:$BO$144,20,FALSE)</f>
        <v>0</v>
      </c>
      <c r="M318" s="163">
        <f>VLOOKUP(B318,[1]weeks!$B$5:$BO$44,19,FALSE)+VLOOKUP(B318,[1]weeks!$B$5:$BO$44,20,FALSE)-VLOOKUP(B318,[1]weeks!$B$55:$BO$94,19,FALSE)-VLOOKUP(B318,[1]weeks!$B$55:$BO$94,20,FALSE)</f>
        <v>0</v>
      </c>
      <c r="N318" s="163" t="str">
        <f t="shared" ref="N318:N331" si="143">IF(F318&gt;0,M318/F318*100,"-")</f>
        <v>-</v>
      </c>
      <c r="O318" s="163">
        <f t="shared" si="140"/>
        <v>0</v>
      </c>
      <c r="P318" s="146">
        <f>IF(ISNUMBER(VLOOKUP(B318,[1]Closures!B:BI,17,FALSE)),TEXT(VLOOKUP(B318,[1]Closures!B:BI,17,FALSE),"ddmmm"),IF(C318&lt;=0,0,IF(I318&lt;=0,0,IF(AND(C318&gt;0,O318&lt;=0),"&gt;52",IF(I318/O318&gt;52,"&gt;52", MAX(0,I318/O318-2))))))</f>
        <v>0</v>
      </c>
      <c r="S318" s="130"/>
    </row>
    <row r="319" spans="1:19" ht="10.7" customHeight="1" x14ac:dyDescent="0.2">
      <c r="A319" s="122"/>
      <c r="B319" s="161" t="s">
        <v>134</v>
      </c>
      <c r="C319" s="162">
        <f>'[2]IV&amp;VI Combined'!$P$31</f>
        <v>0</v>
      </c>
      <c r="D319" s="163">
        <f>F319-VLOOKUP(B319,[1]Quota!$B$103:$BJ$143,17,FALSE)</f>
        <v>0</v>
      </c>
      <c r="E319" s="163">
        <f t="shared" si="141"/>
        <v>0</v>
      </c>
      <c r="F319" s="164">
        <f>VLOOKUP(B319,[1]Quota!$B$81:$BJ$92,17,FALSE)</f>
        <v>0</v>
      </c>
      <c r="G319" s="163">
        <f>'[1]Cumulative '!T223+'[1]Cumulative '!U223</f>
        <v>0</v>
      </c>
      <c r="H319" s="165" t="str">
        <f t="shared" si="139"/>
        <v>n/a</v>
      </c>
      <c r="I319" s="164">
        <f t="shared" si="142"/>
        <v>0</v>
      </c>
      <c r="J319" s="163">
        <f>VLOOKUP(B319,[1]weeks!$B$156:$BO$193,19,FALSE)+VLOOKUP(B319,[1]weeks!$B$156:$BO$193,20,FALSE)-VLOOKUP(B319,[1]weeks!$B$206:$BO$243,19,FALSE)-VLOOKUP(B319,[1]weeks!$B$206:$BO$243,20,FALSE)</f>
        <v>0</v>
      </c>
      <c r="K319" s="163">
        <f>VLOOKUP(B319,[1]weeks!$B$107:$BO$144,19,FALSE)+VLOOKUP(B319,[1]weeks!$B$107:$BO$144,20,FALSE)-VLOOKUP(B319,[1]weeks!$B$156:$BO$193,19,FALSE)-VLOOKUP(B319,[1]weeks!$B$156:$BO$193,20,FALSE)</f>
        <v>0</v>
      </c>
      <c r="L319" s="163">
        <f>VLOOKUP(B319,[1]weeks!$B$55:$BO$94,19,FALSE)+VLOOKUP(B319,[1]weeks!$B$55:$BO$94,20,FALSE)-VLOOKUP(B319,[1]weeks!$B$107:$BO$144,19,FALSE)-VLOOKUP(B319,[1]weeks!$B$107:$BO$144,20,FALSE)</f>
        <v>0</v>
      </c>
      <c r="M319" s="163">
        <f>VLOOKUP(B319,[1]weeks!$B$5:$BO$44,19,FALSE)+VLOOKUP(B319,[1]weeks!$B$5:$BO$44,20,FALSE)-VLOOKUP(B319,[1]weeks!$B$55:$BO$94,19,FALSE)-VLOOKUP(B319,[1]weeks!$B$55:$BO$94,20,FALSE)</f>
        <v>0</v>
      </c>
      <c r="N319" s="163" t="str">
        <f t="shared" si="143"/>
        <v>-</v>
      </c>
      <c r="O319" s="163">
        <f t="shared" si="140"/>
        <v>0</v>
      </c>
      <c r="P319" s="146">
        <f>IF(ISNUMBER(VLOOKUP(B319,[1]Closures!B:BI,17,FALSE)),TEXT(VLOOKUP(B319,[1]Closures!B:BI,17,FALSE),"ddmmm"),IF(C319&lt;=0,0,IF(I319&lt;=0,0,IF(AND(C319&gt;0,O319&lt;=0),"&gt;52",IF(I319/O319&gt;52,"&gt;52", MAX(0,I319/O319-2))))))</f>
        <v>0</v>
      </c>
      <c r="S319" s="130"/>
    </row>
    <row r="320" spans="1:19" ht="10.7" customHeight="1" x14ac:dyDescent="0.2">
      <c r="A320" s="122"/>
      <c r="B320" s="161" t="s">
        <v>135</v>
      </c>
      <c r="C320" s="162">
        <f>'[2]IV&amp;VI Combined'!$P$32</f>
        <v>0</v>
      </c>
      <c r="D320" s="163">
        <f>F320-VLOOKUP(B320,[1]Quota!$B$103:$BJ$143,17,FALSE)</f>
        <v>0</v>
      </c>
      <c r="E320" s="163">
        <f t="shared" si="141"/>
        <v>0</v>
      </c>
      <c r="F320" s="164">
        <f>VLOOKUP(B320,[1]Quota!$B$81:$BJ$92,17,FALSE)</f>
        <v>0</v>
      </c>
      <c r="G320" s="163">
        <f>'[1]Cumulative '!T224+'[1]Cumulative '!U224</f>
        <v>0</v>
      </c>
      <c r="H320" s="165" t="str">
        <f t="shared" si="139"/>
        <v>n/a</v>
      </c>
      <c r="I320" s="164">
        <f t="shared" si="142"/>
        <v>0</v>
      </c>
      <c r="J320" s="163">
        <f>VLOOKUP(B320,[1]weeks!$B$156:$BO$193,19,FALSE)+VLOOKUP(B320,[1]weeks!$B$156:$BO$193,20,FALSE)-VLOOKUP(B320,[1]weeks!$B$206:$BO$243,19,FALSE)-VLOOKUP(B320,[1]weeks!$B$206:$BO$243,20,FALSE)</f>
        <v>0</v>
      </c>
      <c r="K320" s="163">
        <f>VLOOKUP(B320,[1]weeks!$B$107:$BO$144,19,FALSE)+VLOOKUP(B320,[1]weeks!$B$107:$BO$144,20,FALSE)-VLOOKUP(B320,[1]weeks!$B$156:$BO$193,19,FALSE)-VLOOKUP(B320,[1]weeks!$B$156:$BO$193,20,FALSE)</f>
        <v>0</v>
      </c>
      <c r="L320" s="163">
        <f>VLOOKUP(B320,[1]weeks!$B$55:$BO$94,19,FALSE)+VLOOKUP(B320,[1]weeks!$B$55:$BO$94,20,FALSE)-VLOOKUP(B320,[1]weeks!$B$107:$BO$144,19,FALSE)-VLOOKUP(B320,[1]weeks!$B$107:$BO$144,20,FALSE)</f>
        <v>0</v>
      </c>
      <c r="M320" s="163">
        <f>VLOOKUP(B320,[1]weeks!$B$5:$BO$44,19,FALSE)+VLOOKUP(B320,[1]weeks!$B$5:$BO$44,20,FALSE)-VLOOKUP(B320,[1]weeks!$B$55:$BO$94,19,FALSE)-VLOOKUP(B320,[1]weeks!$B$55:$BO$94,20,FALSE)</f>
        <v>0</v>
      </c>
      <c r="N320" s="163" t="str">
        <f t="shared" si="143"/>
        <v>-</v>
      </c>
      <c r="O320" s="163">
        <f t="shared" si="140"/>
        <v>0</v>
      </c>
      <c r="P320" s="146">
        <f>IF(ISNUMBER(VLOOKUP(B320,[1]Closures!B:BI,17,FALSE)),TEXT(VLOOKUP(B320,[1]Closures!B:BI,17,FALSE),"ddmmm"),IF(C320&lt;=0,0,IF(I320&lt;=0,0,IF(AND(C320&gt;0,O320&lt;=0),"&gt;52",IF(I320/O320&gt;52,"&gt;52", MAX(0,I320/O320-2))))))</f>
        <v>0</v>
      </c>
      <c r="S320" s="130"/>
    </row>
    <row r="321" spans="1:19" ht="10.7" customHeight="1" x14ac:dyDescent="0.2">
      <c r="A321" s="122"/>
      <c r="B321" s="161" t="s">
        <v>136</v>
      </c>
      <c r="C321" s="162"/>
      <c r="D321" s="163">
        <f>F321-VLOOKUP(B321,[1]Quota!$B$32:$BJ$43,17,FALSE)</f>
        <v>0</v>
      </c>
      <c r="E321" s="163"/>
      <c r="F321" s="164">
        <f>VLOOKUP(B321,[1]Quota!$B$81:$BJ$92,17,FALSE)</f>
        <v>0</v>
      </c>
      <c r="G321" s="163"/>
      <c r="H321" s="165" t="str">
        <f t="shared" si="139"/>
        <v>n/a</v>
      </c>
      <c r="I321" s="164">
        <f t="shared" si="142"/>
        <v>0</v>
      </c>
      <c r="J321" s="163"/>
      <c r="K321" s="163"/>
      <c r="L321" s="163"/>
      <c r="M321" s="163"/>
      <c r="N321" s="163"/>
      <c r="O321" s="163"/>
      <c r="P321" s="146"/>
      <c r="S321" s="130"/>
    </row>
    <row r="322" spans="1:19" ht="10.7" customHeight="1" x14ac:dyDescent="0.2">
      <c r="A322" s="122"/>
      <c r="B322" s="168" t="s">
        <v>137</v>
      </c>
      <c r="C322" s="162">
        <f>SUM(C317:C320)</f>
        <v>0.89999999999999991</v>
      </c>
      <c r="D322" s="163">
        <f>SUM(D317:D321)</f>
        <v>0</v>
      </c>
      <c r="E322" s="163">
        <f t="shared" si="141"/>
        <v>-0.29999999999999993</v>
      </c>
      <c r="F322" s="217">
        <f t="shared" ref="F322" si="144">SUM(F317:F320)</f>
        <v>0.6</v>
      </c>
      <c r="G322" s="163">
        <f>SUM(G317:G320)</f>
        <v>0.2329</v>
      </c>
      <c r="H322" s="165">
        <f t="shared" si="139"/>
        <v>38.81666666666667</v>
      </c>
      <c r="I322" s="217">
        <f t="shared" ref="I322:L322" si="145">SUM(I317:I320)</f>
        <v>0.36709999999999998</v>
      </c>
      <c r="J322" s="163">
        <f t="shared" si="145"/>
        <v>1.8999999999999989E-2</v>
      </c>
      <c r="K322" s="163">
        <f t="shared" si="145"/>
        <v>3.1700000000000006E-2</v>
      </c>
      <c r="L322" s="163">
        <f t="shared" si="145"/>
        <v>4.5999999999999982E-3</v>
      </c>
      <c r="M322" s="163">
        <f>SUM(M317:M320)</f>
        <v>3.5300000000000005E-2</v>
      </c>
      <c r="N322" s="163">
        <f t="shared" si="143"/>
        <v>5.8833333333333337</v>
      </c>
      <c r="O322" s="163">
        <f t="shared" si="140"/>
        <v>2.265E-2</v>
      </c>
      <c r="P322" s="146">
        <f>IF(ISNUMBER(VLOOKUP(B322,[1]Closures!B:BI,17,FALSE)),TEXT(VLOOKUP(B322,[1]Closures!B:BI,17,FALSE),"ddmmm"),IF(C322&lt;=0,0,IF(I322&lt;=0,0,IF(AND(C322&gt;0,O322&lt;=0),"&gt;52",IF(I322/O322&gt;52,"&gt;52", MAX(0,I322/O322-2))))))</f>
        <v>14.207505518763796</v>
      </c>
      <c r="S322" s="130"/>
    </row>
    <row r="323" spans="1:19" ht="10.7" customHeight="1" x14ac:dyDescent="0.2">
      <c r="A323" s="122"/>
      <c r="B323" s="168"/>
      <c r="C323" s="162"/>
      <c r="D323" s="163"/>
      <c r="E323" s="163"/>
      <c r="F323" s="164"/>
      <c r="G323" s="163"/>
      <c r="H323" s="165"/>
      <c r="I323" s="164"/>
      <c r="J323" s="163"/>
      <c r="K323" s="163"/>
      <c r="L323" s="163"/>
      <c r="M323" s="163"/>
      <c r="N323" s="163" t="str">
        <f t="shared" si="143"/>
        <v>-</v>
      </c>
      <c r="O323" s="163"/>
      <c r="P323" s="146"/>
      <c r="S323" s="130"/>
    </row>
    <row r="324" spans="1:19" ht="10.7" customHeight="1" x14ac:dyDescent="0.2">
      <c r="A324" s="122"/>
      <c r="B324" s="174" t="s">
        <v>138</v>
      </c>
      <c r="C324" s="162">
        <f>'[2]IV&amp;VI Combined'!$P$36</f>
        <v>18.3</v>
      </c>
      <c r="D324" s="163">
        <f>F324-VLOOKUP(B324,[1]Quota!$B$103:$BJ$143,17,FALSE)</f>
        <v>0</v>
      </c>
      <c r="E324" s="163">
        <f t="shared" si="141"/>
        <v>23.3</v>
      </c>
      <c r="F324" s="164">
        <f>VLOOKUP(B324,[1]Quota!$B$81:$BJ$92,17,FALSE)</f>
        <v>41.6</v>
      </c>
      <c r="G324" s="163">
        <f>'[1]Cumulative '!T228+'[1]Cumulative '!U228</f>
        <v>1.3547</v>
      </c>
      <c r="H324" s="165">
        <f t="shared" si="139"/>
        <v>3.2564903846153843</v>
      </c>
      <c r="I324" s="164">
        <f t="shared" ref="I324:I331" si="146">F324-G324</f>
        <v>40.2453</v>
      </c>
      <c r="J324" s="163">
        <f>VLOOKUP(B324,[1]weeks!$B$156:$BO$193,19,FALSE)+VLOOKUP(B324,[1]weeks!$B$156:$BO$193,20,FALSE)-VLOOKUP(B324,[1]weeks!$B$206:$BO$243,19,FALSE)-VLOOKUP(B324,[1]weeks!$B$206:$BO$243,20,FALSE)</f>
        <v>2.6700000000000057E-2</v>
      </c>
      <c r="K324" s="163">
        <f>VLOOKUP(B324,[1]weeks!$B$107:$BO$144,19,FALSE)+VLOOKUP(B324,[1]weeks!$B$107:$BO$144,20,FALSE)-VLOOKUP(B324,[1]weeks!$B$156:$BO$193,19,FALSE)-VLOOKUP(B324,[1]weeks!$B$156:$BO$193,20,FALSE)</f>
        <v>1.8000000000000793E-3</v>
      </c>
      <c r="L324" s="163">
        <f>VLOOKUP(B324,[1]weeks!$B$55:$BO$94,19,FALSE)+VLOOKUP(B324,[1]weeks!$B$55:$BO$94,20,FALSE)-VLOOKUP(B324,[1]weeks!$B$107:$BO$144,19,FALSE)-VLOOKUP(B324,[1]weeks!$B$107:$BO$144,20,FALSE)</f>
        <v>0.41499999999999987</v>
      </c>
      <c r="M324" s="163">
        <f>VLOOKUP(B324,[1]weeks!$B$5:$BO$44,19,FALSE)+VLOOKUP(B324,[1]weeks!$B$5:$BO$44,20,FALSE)-VLOOKUP(B324,[1]weeks!$B$55:$BO$94,19,FALSE)-VLOOKUP(B324,[1]weeks!$B$55:$BO$94,20,FALSE)</f>
        <v>6.5700000000000092E-2</v>
      </c>
      <c r="N324" s="163">
        <f t="shared" si="143"/>
        <v>0.15793269230769252</v>
      </c>
      <c r="O324" s="163">
        <f t="shared" si="140"/>
        <v>0.12730000000000002</v>
      </c>
      <c r="P324" s="146" t="str">
        <f>IF(ISNUMBER(VLOOKUP(B324,[1]Closures!B:BI,17,FALSE)),TEXT(VLOOKUP(B324,[1]Closures!B:BI,17,FALSE),"ddmmm"),IF(C324&lt;=0,0,IF(I324&lt;=0,0,IF(AND(C324&gt;0,O324&lt;=0),"&gt;52",IF(I324/O324&gt;52,"&gt;52", MAX(0,I324/O324-2))))))</f>
        <v>&gt;52</v>
      </c>
      <c r="S324" s="130"/>
    </row>
    <row r="325" spans="1:19" ht="10.7" customHeight="1" x14ac:dyDescent="0.2">
      <c r="A325" s="122"/>
      <c r="B325" s="174" t="s">
        <v>139</v>
      </c>
      <c r="C325" s="162">
        <f>'[2]IV&amp;VI Combined'!$P$37</f>
        <v>0</v>
      </c>
      <c r="D325" s="163">
        <f>F325-VLOOKUP(B325,[1]Quota!$B$103:$BJ$143,17,FALSE)</f>
        <v>0</v>
      </c>
      <c r="E325" s="163">
        <f t="shared" si="141"/>
        <v>0</v>
      </c>
      <c r="F325" s="164">
        <f>VLOOKUP(B325,[1]Quota!$B$81:$BJ$92,17,FALSE)</f>
        <v>0</v>
      </c>
      <c r="G325" s="163">
        <f>'[1]Cumulative '!T229+'[1]Cumulative '!U229</f>
        <v>0</v>
      </c>
      <c r="H325" s="165" t="str">
        <f t="shared" si="139"/>
        <v>n/a</v>
      </c>
      <c r="I325" s="164">
        <f t="shared" si="146"/>
        <v>0</v>
      </c>
      <c r="J325" s="163">
        <f>VLOOKUP(B325,[1]weeks!$B$156:$BO$193,19,FALSE)+VLOOKUP(B325,[1]weeks!$B$156:$BO$193,20,FALSE)-VLOOKUP(B325,[1]weeks!$B$206:$BO$243,19,FALSE)-VLOOKUP(B325,[1]weeks!$B$206:$BO$243,20,FALSE)</f>
        <v>0</v>
      </c>
      <c r="K325" s="163">
        <f>VLOOKUP(B325,[1]weeks!$B$107:$BO$144,19,FALSE)+VLOOKUP(B325,[1]weeks!$B$107:$BO$144,20,FALSE)-VLOOKUP(B325,[1]weeks!$B$156:$BO$193,19,FALSE)-VLOOKUP(B325,[1]weeks!$B$156:$BO$193,20,FALSE)</f>
        <v>0</v>
      </c>
      <c r="L325" s="163">
        <f>VLOOKUP(B325,[1]weeks!$B$55:$BO$94,19,FALSE)+VLOOKUP(B325,[1]weeks!$B$55:$BO$94,20,FALSE)-VLOOKUP(B325,[1]weeks!$B$107:$BO$144,19,FALSE)-VLOOKUP(B325,[1]weeks!$B$107:$BO$144,20,FALSE)</f>
        <v>0</v>
      </c>
      <c r="M325" s="163">
        <f>VLOOKUP(B325,[1]weeks!$B$5:$BO$44,19,FALSE)+VLOOKUP(B325,[1]weeks!$B$5:$BO$44,20,FALSE)-VLOOKUP(B325,[1]weeks!$B$55:$BO$94,19,FALSE)-VLOOKUP(B325,[1]weeks!$B$55:$BO$94,20,FALSE)</f>
        <v>0</v>
      </c>
      <c r="N325" s="163" t="str">
        <f t="shared" si="143"/>
        <v>-</v>
      </c>
      <c r="O325" s="163">
        <f t="shared" si="140"/>
        <v>0</v>
      </c>
      <c r="P325" s="146">
        <f>IF(ISNUMBER(VLOOKUP(B325,[1]Closures!B:BI,17,FALSE)),TEXT(VLOOKUP(B325,[1]Closures!B:BI,17,FALSE),"ddmmm"),IF(C325&lt;=0,0,IF(I325&lt;=0,0,IF(AND(C325&gt;0,O325&lt;=0),"&gt;52",IF(I325/O325&gt;52,"&gt;52", MAX(0,I325/O325-2))))))</f>
        <v>0</v>
      </c>
      <c r="S325" s="130"/>
    </row>
    <row r="326" spans="1:19" ht="10.7" customHeight="1" x14ac:dyDescent="0.2">
      <c r="A326" s="122"/>
      <c r="B326" s="174" t="s">
        <v>140</v>
      </c>
      <c r="C326" s="162">
        <f>'[2]IV&amp;VI Combined'!$P$38</f>
        <v>0.1</v>
      </c>
      <c r="D326" s="163">
        <f>F326-VLOOKUP(B326,[1]Quota!$B$103:$BJ$143,17,FALSE)</f>
        <v>0</v>
      </c>
      <c r="E326" s="163">
        <f t="shared" si="141"/>
        <v>0</v>
      </c>
      <c r="F326" s="164">
        <f>VLOOKUP(B326,[1]Quota!$B$81:$BJ$92,17,FALSE)</f>
        <v>0.1</v>
      </c>
      <c r="G326" s="163">
        <f>'[1]Cumulative '!T230+'[1]Cumulative '!U230</f>
        <v>0</v>
      </c>
      <c r="H326" s="165">
        <f t="shared" si="139"/>
        <v>0</v>
      </c>
      <c r="I326" s="164">
        <f t="shared" si="146"/>
        <v>0.1</v>
      </c>
      <c r="J326" s="163">
        <f>VLOOKUP(B326,[1]weeks!$B$156:$BO$193,19,FALSE)+VLOOKUP(B326,[1]weeks!$B$156:$BO$193,20,FALSE)-VLOOKUP(B326,[1]weeks!$B$206:$BO$243,19,FALSE)-VLOOKUP(B326,[1]weeks!$B$206:$BO$243,20,FALSE)</f>
        <v>0</v>
      </c>
      <c r="K326" s="163">
        <f>VLOOKUP(B326,[1]weeks!$B$107:$BO$144,19,FALSE)+VLOOKUP(B326,[1]weeks!$B$107:$BO$144,20,FALSE)-VLOOKUP(B326,[1]weeks!$B$156:$BO$193,19,FALSE)-VLOOKUP(B326,[1]weeks!$B$156:$BO$193,20,FALSE)</f>
        <v>0</v>
      </c>
      <c r="L326" s="163">
        <f>VLOOKUP(B326,[1]weeks!$B$55:$BO$94,19,FALSE)+VLOOKUP(B326,[1]weeks!$B$55:$BO$94,20,FALSE)-VLOOKUP(B326,[1]weeks!$B$107:$BO$144,19,FALSE)-VLOOKUP(B326,[1]weeks!$B$107:$BO$144,20,FALSE)</f>
        <v>0</v>
      </c>
      <c r="M326" s="163">
        <f>VLOOKUP(B326,[1]weeks!$B$5:$BO$44,19,FALSE)+VLOOKUP(B326,[1]weeks!$B$5:$BO$44,20,FALSE)-VLOOKUP(B326,[1]weeks!$B$55:$BO$94,19,FALSE)-VLOOKUP(B326,[1]weeks!$B$55:$BO$94,20,FALSE)</f>
        <v>0</v>
      </c>
      <c r="N326" s="163">
        <f t="shared" si="143"/>
        <v>0</v>
      </c>
      <c r="O326" s="163">
        <f t="shared" si="140"/>
        <v>0</v>
      </c>
      <c r="P326" s="146" t="str">
        <f>IF(ISNUMBER(VLOOKUP(B326,[1]Closures!B:BI,17,FALSE)),TEXT(VLOOKUP(B326,[1]Closures!B:BI,17,FALSE),"ddmmm"),IF(C326&lt;=0,0,IF(I326&lt;=0,0,IF(AND(C326&gt;0,O326&lt;=0),"&gt;52",IF(I326/O326&gt;52,"&gt;52", MAX(0,I326/O326-2))))))</f>
        <v>&gt;52</v>
      </c>
      <c r="S326" s="130"/>
    </row>
    <row r="327" spans="1:19" ht="10.7" customHeight="1" x14ac:dyDescent="0.2">
      <c r="A327" s="122"/>
      <c r="B327" s="174" t="s">
        <v>141</v>
      </c>
      <c r="C327" s="162">
        <f>'[2]IV&amp;VI Combined'!$P$39</f>
        <v>0</v>
      </c>
      <c r="D327" s="163">
        <f>F327-VLOOKUP(B327,[1]Quota!$B$103:$BJ$143,17,FALSE)</f>
        <v>0</v>
      </c>
      <c r="E327" s="163">
        <f t="shared" si="141"/>
        <v>0</v>
      </c>
      <c r="F327" s="164">
        <f>VLOOKUP(B327,[1]Quota!$B$81:$BJ$92,17,FALSE)</f>
        <v>0</v>
      </c>
      <c r="G327" s="163">
        <f>'[1]Cumulative '!T231+'[1]Cumulative '!U231</f>
        <v>0</v>
      </c>
      <c r="H327" s="165" t="str">
        <f>IF(AND(F327&lt;=0),"n/a",IF(F327=0,0,100*G327/F327))</f>
        <v>n/a</v>
      </c>
      <c r="I327" s="164">
        <f t="shared" si="146"/>
        <v>0</v>
      </c>
      <c r="J327" s="163">
        <f>VLOOKUP(B327,[1]weeks!$B$156:$BO$193,19,FALSE)+VLOOKUP(B327,[1]weeks!$B$156:$BO$193,20,FALSE)-VLOOKUP(B327,[1]weeks!$B$206:$BO$243,19,FALSE)-VLOOKUP(B327,[1]weeks!$B$206:$BO$243,20,FALSE)</f>
        <v>0</v>
      </c>
      <c r="K327" s="163">
        <f>VLOOKUP(B327,[1]weeks!$B$107:$BO$144,19,FALSE)+VLOOKUP(B327,[1]weeks!$B$107:$BO$144,20,FALSE)-VLOOKUP(B327,[1]weeks!$B$156:$BO$193,19,FALSE)-VLOOKUP(B327,[1]weeks!$B$156:$BO$193,20,FALSE)</f>
        <v>0</v>
      </c>
      <c r="L327" s="163">
        <f>VLOOKUP(B327,[1]weeks!$B$55:$BO$94,19,FALSE)+VLOOKUP(B327,[1]weeks!$B$55:$BO$94,20,FALSE)-VLOOKUP(B327,[1]weeks!$B$107:$BO$144,19,FALSE)-VLOOKUP(B327,[1]weeks!$B$107:$BO$144,20,FALSE)</f>
        <v>0</v>
      </c>
      <c r="M327" s="163">
        <f>VLOOKUP(B327,[1]weeks!$B$5:$BO$44,19,FALSE)+VLOOKUP(B327,[1]weeks!$B$5:$BO$44,20,FALSE)-VLOOKUP(B327,[1]weeks!$B$55:$BO$94,19,FALSE)-VLOOKUP(B327,[1]weeks!$B$55:$BO$94,20,FALSE)</f>
        <v>0</v>
      </c>
      <c r="N327" s="163" t="str">
        <f t="shared" si="143"/>
        <v>-</v>
      </c>
      <c r="O327" s="163">
        <f t="shared" si="140"/>
        <v>0</v>
      </c>
      <c r="P327" s="146">
        <f>IF(ISNUMBER(VLOOKUP(B327,[1]Closures!B:BI,17,FALSE)),TEXT(VLOOKUP(B327,[1]Closures!B:BI,17,FALSE),"ddmmm"),IF(C327&lt;=0,0,IF(I327&lt;=0,0,IF(AND(C327&gt;0,O327&lt;=0),"&gt;52",IF(I327/O327&gt;52,"&gt;52", MAX(0,I327/O327-2))))))</f>
        <v>0</v>
      </c>
      <c r="S327" s="130"/>
    </row>
    <row r="328" spans="1:19" ht="10.7" customHeight="1" x14ac:dyDescent="0.2">
      <c r="A328" s="122"/>
      <c r="B328" s="174" t="s">
        <v>142</v>
      </c>
      <c r="C328" s="162"/>
      <c r="D328" s="163">
        <f>F328-VLOOKUP(B328,[1]Quota!$B$32:$BJ$43,17,FALSE)</f>
        <v>0</v>
      </c>
      <c r="E328" s="163"/>
      <c r="F328" s="164">
        <f>VLOOKUP(B328,[1]Quota!$B$81:$BJ$92,17,FALSE)</f>
        <v>0</v>
      </c>
      <c r="G328" s="163">
        <f>'[1]Cumulative '!T232+'[1]Cumulative '!U232</f>
        <v>0</v>
      </c>
      <c r="H328" s="165" t="str">
        <f>IF(AND(F328&lt;=0),"n/a",IF(F328=0,0,100*G328/F328))</f>
        <v>n/a</v>
      </c>
      <c r="I328" s="164">
        <f>F328-G328</f>
        <v>0</v>
      </c>
      <c r="J328" s="163"/>
      <c r="K328" s="163"/>
      <c r="L328" s="163"/>
      <c r="M328" s="163"/>
      <c r="N328" s="163"/>
      <c r="O328" s="163"/>
      <c r="P328" s="146"/>
      <c r="S328" s="130"/>
    </row>
    <row r="329" spans="1:19" ht="10.7" customHeight="1" x14ac:dyDescent="0.2">
      <c r="A329" s="122"/>
      <c r="B329" s="168" t="s">
        <v>143</v>
      </c>
      <c r="C329" s="162">
        <f>SUM(C324:C328)</f>
        <v>18.400000000000002</v>
      </c>
      <c r="D329" s="163">
        <f>SUM(D324:D328)</f>
        <v>0</v>
      </c>
      <c r="E329" s="163">
        <f t="shared" si="141"/>
        <v>23.3</v>
      </c>
      <c r="F329" s="164">
        <f>SUM(F324:F327)</f>
        <v>41.7</v>
      </c>
      <c r="G329" s="163">
        <f>SUM(G324:G327)</f>
        <v>1.3547</v>
      </c>
      <c r="H329" s="165">
        <f t="shared" si="139"/>
        <v>3.2486810551558749</v>
      </c>
      <c r="I329" s="164">
        <f t="shared" si="146"/>
        <v>40.345300000000002</v>
      </c>
      <c r="J329" s="163">
        <f t="shared" ref="J329:L329" si="147">SUM(J324:J327)</f>
        <v>2.6700000000000057E-2</v>
      </c>
      <c r="K329" s="163">
        <f t="shared" si="147"/>
        <v>1.8000000000000793E-3</v>
      </c>
      <c r="L329" s="163">
        <f t="shared" si="147"/>
        <v>0.41499999999999987</v>
      </c>
      <c r="M329" s="163">
        <f>SUM(M324:M327)</f>
        <v>6.5700000000000092E-2</v>
      </c>
      <c r="N329" s="163">
        <f t="shared" si="143"/>
        <v>0.15755395683453258</v>
      </c>
      <c r="O329" s="163">
        <f>SUM(J329:M329)/4</f>
        <v>0.12730000000000002</v>
      </c>
      <c r="P329" s="146" t="str">
        <f>IF(ISNUMBER(VLOOKUP(B329,[1]Closures!B:BI,17,FALSE)),TEXT(VLOOKUP(B329,[1]Closures!B:BI,17,FALSE),"ddmmm"),IF(C329&lt;=0,0,IF(I329&lt;=0,0,IF(AND(C329&gt;0,O329&lt;=0),"&gt;52",IF(I329/O329&gt;52,"&gt;52", MAX(0,I329/O329-2))))))</f>
        <v>&gt;52</v>
      </c>
      <c r="S329" s="130"/>
    </row>
    <row r="330" spans="1:19" ht="10.7" customHeight="1" x14ac:dyDescent="0.2">
      <c r="A330" s="122"/>
      <c r="B330" s="168"/>
      <c r="C330" s="162"/>
      <c r="D330" s="163"/>
      <c r="E330" s="163"/>
      <c r="F330" s="164"/>
      <c r="G330" s="163"/>
      <c r="H330" s="165"/>
      <c r="I330" s="164"/>
      <c r="J330" s="163"/>
      <c r="K330" s="163"/>
      <c r="L330" s="163"/>
      <c r="M330" s="163"/>
      <c r="N330" s="163"/>
      <c r="O330" s="163"/>
      <c r="P330" s="146"/>
      <c r="S330" s="130"/>
    </row>
    <row r="331" spans="1:19" ht="10.7" customHeight="1" x14ac:dyDescent="0.2">
      <c r="A331" s="122"/>
      <c r="B331" s="175" t="s">
        <v>112</v>
      </c>
      <c r="C331" s="176">
        <f>C329+C322</f>
        <v>19.3</v>
      </c>
      <c r="D331" s="180">
        <f>D329+D322</f>
        <v>0</v>
      </c>
      <c r="E331" s="180">
        <f t="shared" si="141"/>
        <v>23.000000000000004</v>
      </c>
      <c r="F331" s="189">
        <f>F329+F322</f>
        <v>42.300000000000004</v>
      </c>
      <c r="G331" s="180">
        <f>G329+G322</f>
        <v>1.5876000000000001</v>
      </c>
      <c r="H331" s="179">
        <f t="shared" si="139"/>
        <v>3.753191489361702</v>
      </c>
      <c r="I331" s="218">
        <f t="shared" si="146"/>
        <v>40.712400000000002</v>
      </c>
      <c r="J331" s="180">
        <f t="shared" ref="J331:L331" si="148">J322+J329</f>
        <v>4.5700000000000046E-2</v>
      </c>
      <c r="K331" s="180">
        <f t="shared" si="148"/>
        <v>3.3500000000000085E-2</v>
      </c>
      <c r="L331" s="180">
        <f t="shared" si="148"/>
        <v>0.41959999999999986</v>
      </c>
      <c r="M331" s="180">
        <f>M322+M329</f>
        <v>0.10100000000000009</v>
      </c>
      <c r="N331" s="180">
        <f t="shared" si="143"/>
        <v>0.2387706855791964</v>
      </c>
      <c r="O331" s="180">
        <f>SUM(J331:M331)/4</f>
        <v>0.14995000000000003</v>
      </c>
      <c r="P331" s="153" t="str">
        <f>IF(ISNUMBER(VLOOKUP(B331,[1]Closures!B:BI,17,FALSE)),TEXT(VLOOKUP(B331,[1]Closures!B:BI,17,FALSE),"ddmmm"),IF(C331&lt;=0,0,IF(I331&lt;=0,0,IF(AND(C331&gt;0,O331&lt;=0),"&gt;52",IF(I331/O331&gt;52,"&gt;52", MAX(0,I331/O331-2))))))</f>
        <v>&gt;52</v>
      </c>
      <c r="S331" s="130"/>
    </row>
    <row r="332" spans="1:19" ht="10.7" customHeight="1" x14ac:dyDescent="0.2">
      <c r="A332" s="122"/>
      <c r="B332" s="181"/>
      <c r="C332" s="181"/>
      <c r="D332" s="163"/>
      <c r="E332" s="163"/>
      <c r="F332" s="164"/>
      <c r="G332" s="163"/>
      <c r="H332" s="2"/>
      <c r="I332" s="164"/>
      <c r="J332" s="163"/>
      <c r="K332" s="163"/>
      <c r="L332" s="163"/>
      <c r="M332" s="163"/>
      <c r="N332" s="163"/>
      <c r="O332" s="163"/>
      <c r="P332" s="182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tr">
        <f>C5</f>
        <v>Initial Quota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f>[1]weeks!$B$154</f>
        <v>43166</v>
      </c>
      <c r="K336" s="151">
        <f>[1]weeks!$B$105</f>
        <v>43173</v>
      </c>
      <c r="L336" s="151">
        <f>[1]weeks!$B$55</f>
        <v>43180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6"/>
      <c r="C338" s="193" t="s">
        <v>146</v>
      </c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4"/>
      <c r="P338" s="145"/>
      <c r="S338" s="130"/>
    </row>
    <row r="339" spans="1:19" ht="10.7" customHeight="1" x14ac:dyDescent="0.2">
      <c r="A339" s="122"/>
      <c r="B339" s="161" t="s">
        <v>132</v>
      </c>
      <c r="C339" s="162">
        <f>'[2]IV&amp;VI Combined'!$Q$29</f>
        <v>14.8</v>
      </c>
      <c r="D339" s="163">
        <f>F339-VLOOKUP(B339,[1]Quota!$B$103:$BJ$143,19,FALSE)</f>
        <v>0</v>
      </c>
      <c r="E339" s="163">
        <f>F339-C339</f>
        <v>0</v>
      </c>
      <c r="F339" s="164">
        <f>VLOOKUP(B339,[1]Quota!$B$81:$BJ$92,19,FALSE)</f>
        <v>14.8</v>
      </c>
      <c r="G339" s="163">
        <f>'[1]Cumulative '!W221</f>
        <v>0</v>
      </c>
      <c r="H339" s="165">
        <f t="shared" ref="H339:H353" si="149">IF(AND(F339&lt;=0),"n/a",IF(F339=0,0,100*G339/F339))</f>
        <v>0</v>
      </c>
      <c r="I339" s="164">
        <f>F339-G339</f>
        <v>14.8</v>
      </c>
      <c r="J339" s="163">
        <f>VLOOKUP(B339,[1]weeks!$B$156:$BO$193,22,FALSE)-VLOOKUP(B339,[1]weeks!$B$206:$BO$243,22,FALSE)</f>
        <v>0</v>
      </c>
      <c r="K339" s="163">
        <f>VLOOKUP(B339,[1]weeks!$B$107:$BO$144,22,FALSE)-VLOOKUP(B339,[1]weeks!$B$156:$BO$193,22,FALSE)</f>
        <v>0</v>
      </c>
      <c r="L339" s="163">
        <f>VLOOKUP(B339,[1]weeks!$B$55:$BO$94,22,FALSE)-VLOOKUP(B339,[1]weeks!$B$107:$BO$144,22,FALSE)</f>
        <v>0</v>
      </c>
      <c r="M339" s="163">
        <f>VLOOKUP(B339,[1]weeks!$B$5:$BO$44,22,FALSE)-VLOOKUP(B339,[1]weeks!$B$55:$BO$94,22,FALSE)</f>
        <v>0</v>
      </c>
      <c r="N339" s="163">
        <f>IF(F339&gt;0,M339/F339*100,"-")</f>
        <v>0</v>
      </c>
      <c r="O339" s="163">
        <f>SUM(J339:M339)/4</f>
        <v>0</v>
      </c>
      <c r="P339" s="146" t="str">
        <f>IF(ISNUMBER(VLOOKUP(B339,[1]Closures!B:BI,19,FALSE)),TEXT(VLOOKUP(B339,[1]Closures!B:BI,19,FALSE),"ddmmm"),IF(C339&lt;=0,0,IF(I339&lt;=0,0,IF(AND(C339&gt;0,O339&lt;=0),"&gt;52",IF(I339/O339&gt;52,"&gt;52", MAX(0,I339/O339-2))))))</f>
        <v>01Jan</v>
      </c>
      <c r="S339" s="130"/>
    </row>
    <row r="340" spans="1:19" ht="10.7" customHeight="1" x14ac:dyDescent="0.2">
      <c r="A340" s="122"/>
      <c r="B340" s="161" t="s">
        <v>133</v>
      </c>
      <c r="C340" s="162">
        <f>'[2]IV&amp;VI Combined'!$Q$30</f>
        <v>0</v>
      </c>
      <c r="D340" s="163">
        <f>F340-VLOOKUP(B340,[1]Quota!$B$103:$BJ$143,19,FALSE)</f>
        <v>0</v>
      </c>
      <c r="E340" s="163">
        <f t="shared" ref="E340:E353" si="150">F340-C340</f>
        <v>0</v>
      </c>
      <c r="F340" s="164">
        <f>VLOOKUP(B340,[1]Quota!$B$81:$BJ$92,19,FALSE)</f>
        <v>0</v>
      </c>
      <c r="G340" s="163">
        <f>'[1]Cumulative '!W222</f>
        <v>0</v>
      </c>
      <c r="H340" s="165" t="str">
        <f t="shared" si="149"/>
        <v>n/a</v>
      </c>
      <c r="I340" s="164">
        <f t="shared" ref="I340:I342" si="151">F340-G340</f>
        <v>0</v>
      </c>
      <c r="J340" s="163">
        <f>VLOOKUP(B340,[1]weeks!$B$156:$BO$193,22,FALSE)-VLOOKUP(B340,[1]weeks!$B$206:$BO$243,22,FALSE)</f>
        <v>0</v>
      </c>
      <c r="K340" s="163">
        <f>VLOOKUP(B340,[1]weeks!$B$107:$BO$144,22,FALSE)-VLOOKUP(B340,[1]weeks!$B$156:$BO$193,22,FALSE)</f>
        <v>0</v>
      </c>
      <c r="L340" s="163">
        <f>VLOOKUP(B340,[1]weeks!$B$55:$BO$94,22,FALSE)-VLOOKUP(B340,[1]weeks!$B$107:$BO$144,22,FALSE)</f>
        <v>0</v>
      </c>
      <c r="M340" s="163">
        <f>VLOOKUP(B340,[1]weeks!$B$5:$BO$44,22,FALSE)-VLOOKUP(B340,[1]weeks!$B$55:$BO$94,22,FALSE)</f>
        <v>0</v>
      </c>
      <c r="N340" s="163" t="str">
        <f t="shared" ref="N340:N353" si="152">IF(F340&gt;0,M340/F340*100,"-")</f>
        <v>-</v>
      </c>
      <c r="O340" s="163">
        <f t="shared" ref="O340:O349" si="153">SUM(J340:M340)/4</f>
        <v>0</v>
      </c>
      <c r="P340" s="146" t="str">
        <f>IF(ISNUMBER(VLOOKUP(B340,[1]Closures!B:BI,19,FALSE)),TEXT(VLOOKUP(B340,[1]Closures!B:BI,19,FALSE),"ddmmm"),IF(C340&lt;=0,0,IF(I340&lt;=0,0,IF(AND(C340&gt;0,O340&lt;=0),"&gt;52",IF(I340/O340&gt;52,"&gt;52", MAX(0,I340/O340-2))))))</f>
        <v>01Jan</v>
      </c>
      <c r="S340" s="130"/>
    </row>
    <row r="341" spans="1:19" ht="10.7" customHeight="1" x14ac:dyDescent="0.2">
      <c r="A341" s="122"/>
      <c r="B341" s="161" t="s">
        <v>134</v>
      </c>
      <c r="C341" s="162">
        <f>'[2]IV&amp;VI Combined'!$Q$31</f>
        <v>0</v>
      </c>
      <c r="D341" s="163">
        <f>F341-VLOOKUP(B341,[1]Quota!$B$103:$BJ$143,19,FALSE)</f>
        <v>0</v>
      </c>
      <c r="E341" s="163">
        <f t="shared" si="150"/>
        <v>0</v>
      </c>
      <c r="F341" s="164">
        <f>VLOOKUP(B341,[1]Quota!$B$81:$BJ$92,19,FALSE)</f>
        <v>0</v>
      </c>
      <c r="G341" s="163">
        <f>'[1]Cumulative '!W223</f>
        <v>0</v>
      </c>
      <c r="H341" s="165" t="str">
        <f t="shared" si="149"/>
        <v>n/a</v>
      </c>
      <c r="I341" s="164">
        <f t="shared" si="151"/>
        <v>0</v>
      </c>
      <c r="J341" s="163">
        <f>VLOOKUP(B341,[1]weeks!$B$156:$BO$193,22,FALSE)-VLOOKUP(B341,[1]weeks!$B$206:$BO$243,22,FALSE)</f>
        <v>0</v>
      </c>
      <c r="K341" s="163">
        <f>VLOOKUP(B341,[1]weeks!$B$107:$BO$144,22,FALSE)-VLOOKUP(B341,[1]weeks!$B$156:$BO$193,22,FALSE)</f>
        <v>0</v>
      </c>
      <c r="L341" s="163">
        <f>VLOOKUP(B341,[1]weeks!$B$55:$BO$94,22,FALSE)-VLOOKUP(B341,[1]weeks!$B$107:$BO$144,22,FALSE)</f>
        <v>0</v>
      </c>
      <c r="M341" s="163">
        <f>VLOOKUP(B341,[1]weeks!$B$5:$BO$44,22,FALSE)-VLOOKUP(B341,[1]weeks!$B$55:$BO$94,22,FALSE)</f>
        <v>0</v>
      </c>
      <c r="N341" s="163" t="str">
        <f t="shared" si="152"/>
        <v>-</v>
      </c>
      <c r="O341" s="163">
        <f t="shared" si="153"/>
        <v>0</v>
      </c>
      <c r="P341" s="146" t="str">
        <f>IF(ISNUMBER(VLOOKUP(B341,[1]Closures!B:BI,19,FALSE)),TEXT(VLOOKUP(B341,[1]Closures!B:BI,19,FALSE),"ddmmm"),IF(C341&lt;=0,0,IF(I341&lt;=0,0,IF(AND(C341&gt;0,O341&lt;=0),"&gt;52",IF(I341/O341&gt;52,"&gt;52", MAX(0,I341/O341-2))))))</f>
        <v>01Jan</v>
      </c>
      <c r="S341" s="130"/>
    </row>
    <row r="342" spans="1:19" ht="10.7" customHeight="1" x14ac:dyDescent="0.2">
      <c r="A342" s="122"/>
      <c r="B342" s="161" t="s">
        <v>135</v>
      </c>
      <c r="C342" s="162">
        <f>'[2]IV&amp;VI Combined'!$Q$32</f>
        <v>0</v>
      </c>
      <c r="D342" s="163">
        <f>F342-VLOOKUP(B342,[1]Quota!$B$103:$BJ$143,19,FALSE)</f>
        <v>0</v>
      </c>
      <c r="E342" s="163">
        <f t="shared" si="150"/>
        <v>0</v>
      </c>
      <c r="F342" s="164">
        <f>VLOOKUP(B342,[1]Quota!$B$81:$BJ$92,19,FALSE)</f>
        <v>0</v>
      </c>
      <c r="G342" s="163">
        <f>'[1]Cumulative '!W224</f>
        <v>0</v>
      </c>
      <c r="H342" s="165" t="str">
        <f t="shared" si="149"/>
        <v>n/a</v>
      </c>
      <c r="I342" s="164">
        <f t="shared" si="151"/>
        <v>0</v>
      </c>
      <c r="J342" s="163">
        <f>VLOOKUP(B342,[1]weeks!$B$156:$BO$193,22,FALSE)-VLOOKUP(B342,[1]weeks!$B$206:$BO$243,22,FALSE)</f>
        <v>0</v>
      </c>
      <c r="K342" s="163">
        <f>VLOOKUP(B342,[1]weeks!$B$107:$BO$144,22,FALSE)-VLOOKUP(B342,[1]weeks!$B$156:$BO$193,22,FALSE)</f>
        <v>0</v>
      </c>
      <c r="L342" s="163">
        <f>VLOOKUP(B342,[1]weeks!$B$55:$BO$94,22,FALSE)-VLOOKUP(B342,[1]weeks!$B$107:$BO$144,22,FALSE)</f>
        <v>0</v>
      </c>
      <c r="M342" s="163">
        <f>VLOOKUP(B342,[1]weeks!$B$5:$BO$44,22,FALSE)-VLOOKUP(B342,[1]weeks!$B$55:$BO$94,22,FALSE)</f>
        <v>0</v>
      </c>
      <c r="N342" s="163" t="str">
        <f t="shared" si="152"/>
        <v>-</v>
      </c>
      <c r="O342" s="163">
        <f t="shared" si="153"/>
        <v>0</v>
      </c>
      <c r="P342" s="146" t="str">
        <f>IF(ISNUMBER(VLOOKUP(B342,[1]Closures!B:BI,19,FALSE)),TEXT(VLOOKUP(B342,[1]Closures!B:BI,19,FALSE),"ddmmm"),IF(C342&lt;=0,0,IF(I342&lt;=0,0,IF(AND(C342&gt;0,O342&lt;=0),"&gt;52",IF(I342/O342&gt;52,"&gt;52", MAX(0,I342/O342-2))))))</f>
        <v>01Jan</v>
      </c>
      <c r="S342" s="130"/>
    </row>
    <row r="343" spans="1:19" ht="10.7" customHeight="1" x14ac:dyDescent="0.2">
      <c r="A343" s="122"/>
      <c r="B343" s="161" t="s">
        <v>136</v>
      </c>
      <c r="C343" s="162"/>
      <c r="D343" s="163">
        <f>F343-VLOOKUP(B343,[1]Quota!$B$32:$BJ$43,19,FALSE)</f>
        <v>0</v>
      </c>
      <c r="E343" s="163"/>
      <c r="F343" s="164"/>
      <c r="G343" s="163"/>
      <c r="H343" s="165"/>
      <c r="I343" s="164"/>
      <c r="J343" s="163"/>
      <c r="K343" s="163"/>
      <c r="L343" s="163"/>
      <c r="M343" s="163"/>
      <c r="N343" s="163"/>
      <c r="O343" s="163"/>
      <c r="P343" s="146"/>
      <c r="S343" s="130"/>
    </row>
    <row r="344" spans="1:19" ht="10.7" customHeight="1" x14ac:dyDescent="0.2">
      <c r="A344" s="122"/>
      <c r="B344" s="168" t="s">
        <v>137</v>
      </c>
      <c r="C344" s="162">
        <f>SUM(C339:C342)</f>
        <v>14.8</v>
      </c>
      <c r="D344" s="163">
        <f>SUM(D339:D343)</f>
        <v>0</v>
      </c>
      <c r="E344" s="163">
        <f t="shared" si="150"/>
        <v>0</v>
      </c>
      <c r="F344" s="217">
        <f t="shared" ref="F344" si="154">SUM(F339:F342)</f>
        <v>14.8</v>
      </c>
      <c r="G344" s="163">
        <f>SUM(G339:G342)</f>
        <v>0</v>
      </c>
      <c r="H344" s="165">
        <f t="shared" si="149"/>
        <v>0</v>
      </c>
      <c r="I344" s="217">
        <f t="shared" ref="I344:L344" si="155">SUM(I339:I342)</f>
        <v>14.8</v>
      </c>
      <c r="J344" s="163">
        <f t="shared" si="155"/>
        <v>0</v>
      </c>
      <c r="K344" s="163">
        <f t="shared" si="155"/>
        <v>0</v>
      </c>
      <c r="L344" s="163">
        <f t="shared" si="155"/>
        <v>0</v>
      </c>
      <c r="M344" s="163">
        <f>SUM(M339:M342)</f>
        <v>0</v>
      </c>
      <c r="N344" s="163">
        <f t="shared" si="152"/>
        <v>0</v>
      </c>
      <c r="O344" s="163">
        <f t="shared" si="153"/>
        <v>0</v>
      </c>
      <c r="P344" s="146" t="str">
        <f>IF(ISNUMBER(VLOOKUP(B344,[1]Closures!B:BI,19,FALSE)),TEXT(VLOOKUP(B344,[1]Closures!B:BI,19,FALSE),"ddmmm"),IF(C344&lt;=0,0,IF(I344&lt;=0,0,IF(AND(C344&gt;0,O344&lt;=0),"&gt;52",IF(I344/O344&gt;52,"&gt;52", MAX(0,I344/O344-2))))))</f>
        <v>&gt;52</v>
      </c>
      <c r="S344" s="130"/>
    </row>
    <row r="345" spans="1:19" ht="10.7" customHeight="1" x14ac:dyDescent="0.2">
      <c r="A345" s="122"/>
      <c r="B345" s="168"/>
      <c r="C345" s="162"/>
      <c r="D345" s="163"/>
      <c r="E345" s="163"/>
      <c r="F345" s="164"/>
      <c r="G345" s="163"/>
      <c r="H345" s="165"/>
      <c r="I345" s="164"/>
      <c r="J345" s="163"/>
      <c r="K345" s="163"/>
      <c r="L345" s="163"/>
      <c r="M345" s="163"/>
      <c r="N345" s="163" t="str">
        <f t="shared" si="152"/>
        <v>-</v>
      </c>
      <c r="O345" s="163"/>
      <c r="P345" s="146"/>
      <c r="S345" s="130"/>
    </row>
    <row r="346" spans="1:19" ht="10.7" customHeight="1" x14ac:dyDescent="0.2">
      <c r="A346" s="122"/>
      <c r="B346" s="174" t="s">
        <v>138</v>
      </c>
      <c r="C346" s="162">
        <f>'[2]IV&amp;VI Combined'!$Q$36</f>
        <v>0</v>
      </c>
      <c r="D346" s="163">
        <f>F346-VLOOKUP(B346,[1]Quota!$B$32:$BJ$43,19,FALSE)</f>
        <v>0</v>
      </c>
      <c r="E346" s="163">
        <f t="shared" si="150"/>
        <v>0</v>
      </c>
      <c r="F346" s="164">
        <f>VLOOKUP(B346,[1]Quota!$B$81:$BJ$92,19,FALSE)</f>
        <v>0</v>
      </c>
      <c r="G346" s="163">
        <f>'[1]Cumulative '!W228</f>
        <v>0</v>
      </c>
      <c r="H346" s="165" t="str">
        <f t="shared" si="149"/>
        <v>n/a</v>
      </c>
      <c r="I346" s="164">
        <f t="shared" ref="I346:I353" si="156">F346-G346</f>
        <v>0</v>
      </c>
      <c r="J346" s="163">
        <f>VLOOKUP(B346,[1]weeks!$B$156:$BO$193,22,FALSE)-VLOOKUP(B346,[1]weeks!$B$206:$BO$243,22,FALSE)</f>
        <v>0</v>
      </c>
      <c r="K346" s="163">
        <f>VLOOKUP(B346,[1]weeks!$B$107:$BO$144,22,FALSE)-VLOOKUP(B346,[1]weeks!$B$156:$BO$193,22,FALSE)</f>
        <v>0</v>
      </c>
      <c r="L346" s="163">
        <f>VLOOKUP(B346,[1]weeks!$B$55:$BO$94,22,FALSE)-VLOOKUP(B346,[1]weeks!$B$107:$BO$144,22,FALSE)</f>
        <v>0</v>
      </c>
      <c r="M346" s="163">
        <f>VLOOKUP(B346,[1]weeks!$B$5:$BO$44,22,FALSE)-VLOOKUP(B346,[1]weeks!$B$55:$BO$94,22,FALSE)</f>
        <v>0</v>
      </c>
      <c r="N346" s="163" t="str">
        <f t="shared" si="152"/>
        <v>-</v>
      </c>
      <c r="O346" s="163">
        <f t="shared" si="153"/>
        <v>0</v>
      </c>
      <c r="P346" s="146" t="str">
        <f>IF(ISNUMBER(VLOOKUP(B346,[1]Closures!B:BI,19,FALSE)),TEXT(VLOOKUP(B346,[1]Closures!B:BI,19,FALSE),"ddmmm"),IF(C346&lt;=0,0,IF(I346&lt;=0,0,IF(AND(C346&gt;0,O346&lt;=0),"&gt;52",IF(I346/O346&gt;52,"&gt;52", MAX(0,I346/O346-2))))))</f>
        <v>01Jan</v>
      </c>
      <c r="S346" s="130"/>
    </row>
    <row r="347" spans="1:19" ht="10.7" customHeight="1" x14ac:dyDescent="0.2">
      <c r="A347" s="122"/>
      <c r="B347" s="174" t="s">
        <v>139</v>
      </c>
      <c r="C347" s="162">
        <f>'[2]IV&amp;VI Combined'!$Q$37</f>
        <v>0</v>
      </c>
      <c r="D347" s="163">
        <f>F347-VLOOKUP(B347,[1]Quota!$B$32:$BJ$43,19,FALSE)</f>
        <v>0</v>
      </c>
      <c r="E347" s="163">
        <f t="shared" si="150"/>
        <v>0</v>
      </c>
      <c r="F347" s="164">
        <f>VLOOKUP(B347,[1]Quota!$B$81:$BJ$92,19,FALSE)</f>
        <v>0</v>
      </c>
      <c r="G347" s="163">
        <f>'[1]Cumulative '!W229</f>
        <v>0</v>
      </c>
      <c r="H347" s="165" t="str">
        <f t="shared" si="149"/>
        <v>n/a</v>
      </c>
      <c r="I347" s="164">
        <f t="shared" si="156"/>
        <v>0</v>
      </c>
      <c r="J347" s="163">
        <f>VLOOKUP(B347,[1]weeks!$B$156:$BO$193,22,FALSE)-VLOOKUP(B347,[1]weeks!$B$206:$BO$243,22,FALSE)</f>
        <v>0</v>
      </c>
      <c r="K347" s="163">
        <f>VLOOKUP(B347,[1]weeks!$B$107:$BO$144,22,FALSE)-VLOOKUP(B347,[1]weeks!$B$156:$BO$193,22,FALSE)</f>
        <v>0</v>
      </c>
      <c r="L347" s="163">
        <f>VLOOKUP(B347,[1]weeks!$B$55:$BO$94,22,FALSE)-VLOOKUP(B347,[1]weeks!$B$107:$BO$144,22,FALSE)</f>
        <v>0</v>
      </c>
      <c r="M347" s="163">
        <f>VLOOKUP(B347,[1]weeks!$B$5:$BO$44,22,FALSE)-VLOOKUP(B347,[1]weeks!$B$55:$BO$94,22,FALSE)</f>
        <v>0</v>
      </c>
      <c r="N347" s="163" t="str">
        <f t="shared" si="152"/>
        <v>-</v>
      </c>
      <c r="O347" s="163">
        <f t="shared" si="153"/>
        <v>0</v>
      </c>
      <c r="P347" s="146" t="str">
        <f>IF(ISNUMBER(VLOOKUP(B347,[1]Closures!B:BI,19,FALSE)),TEXT(VLOOKUP(B347,[1]Closures!B:BI,19,FALSE),"ddmmm"),IF(C347&lt;=0,0,IF(I347&lt;=0,0,IF(AND(C347&gt;0,O347&lt;=0),"&gt;52",IF(I347/O347&gt;52,"&gt;52", MAX(0,I347/O347-2))))))</f>
        <v>01Jan</v>
      </c>
      <c r="S347" s="130"/>
    </row>
    <row r="348" spans="1:19" ht="10.7" customHeight="1" x14ac:dyDescent="0.2">
      <c r="A348" s="122"/>
      <c r="B348" s="174" t="s">
        <v>140</v>
      </c>
      <c r="C348" s="162">
        <f>'[2]IV&amp;VI Combined'!$Q$38</f>
        <v>-0.4</v>
      </c>
      <c r="D348" s="163">
        <f>F348-VLOOKUP(B348,[1]Quota!$B$32:$BJ$43,19,FALSE)</f>
        <v>0</v>
      </c>
      <c r="E348" s="163">
        <f t="shared" si="150"/>
        <v>0</v>
      </c>
      <c r="F348" s="164">
        <f>VLOOKUP(B348,[1]Quota!$B$81:$BJ$92,19,FALSE)</f>
        <v>-0.4</v>
      </c>
      <c r="G348" s="163">
        <f>'[1]Cumulative '!W230</f>
        <v>0</v>
      </c>
      <c r="H348" s="165" t="str">
        <f t="shared" si="149"/>
        <v>n/a</v>
      </c>
      <c r="I348" s="164">
        <f t="shared" si="156"/>
        <v>-0.4</v>
      </c>
      <c r="J348" s="163">
        <f>VLOOKUP(B348,[1]weeks!$B$156:$BO$193,22,FALSE)-VLOOKUP(B348,[1]weeks!$B$206:$BO$243,22,FALSE)</f>
        <v>0</v>
      </c>
      <c r="K348" s="163">
        <f>VLOOKUP(B348,[1]weeks!$B$107:$BO$144,22,FALSE)-VLOOKUP(B348,[1]weeks!$B$156:$BO$193,22,FALSE)</f>
        <v>0</v>
      </c>
      <c r="L348" s="163">
        <f>VLOOKUP(B348,[1]weeks!$B$55:$BO$94,22,FALSE)-VLOOKUP(B348,[1]weeks!$B$107:$BO$144,22,FALSE)</f>
        <v>0</v>
      </c>
      <c r="M348" s="163">
        <f>VLOOKUP(B348,[1]weeks!$B$5:$BO$44,22,FALSE)-VLOOKUP(B348,[1]weeks!$B$55:$BO$94,22,FALSE)</f>
        <v>0</v>
      </c>
      <c r="N348" s="163" t="str">
        <f t="shared" si="152"/>
        <v>-</v>
      </c>
      <c r="O348" s="163">
        <f t="shared" si="153"/>
        <v>0</v>
      </c>
      <c r="P348" s="146" t="str">
        <f>IF(ISNUMBER(VLOOKUP(B348,[1]Closures!B:BI,19,FALSE)),TEXT(VLOOKUP(B348,[1]Closures!B:BI,19,FALSE),"ddmmm"),IF(C348&lt;=0,0,IF(I348&lt;=0,0,IF(AND(C348&gt;0,O348&lt;=0),"&gt;52",IF(I348/O348&gt;52,"&gt;52", MAX(0,I348/O348-2))))))</f>
        <v>01Jan</v>
      </c>
      <c r="S348" s="130"/>
    </row>
    <row r="349" spans="1:19" ht="10.7" customHeight="1" x14ac:dyDescent="0.2">
      <c r="A349" s="122"/>
      <c r="B349" s="174" t="s">
        <v>141</v>
      </c>
      <c r="C349" s="162">
        <f>'[2]IV&amp;VI Combined'!$Q$39</f>
        <v>0</v>
      </c>
      <c r="D349" s="163">
        <f>F349-VLOOKUP(B349,[1]Quota!$B$32:$BJ$43,19,FALSE)</f>
        <v>0</v>
      </c>
      <c r="E349" s="163">
        <f t="shared" si="150"/>
        <v>0</v>
      </c>
      <c r="F349" s="164">
        <f>VLOOKUP(B349,[1]Quota!$B$81:$BJ$92,19,FALSE)</f>
        <v>0</v>
      </c>
      <c r="G349" s="163">
        <f>'[1]Cumulative '!W231</f>
        <v>0</v>
      </c>
      <c r="H349" s="165" t="str">
        <f>IF(AND(F349&lt;=0),"n/a",IF(F349=0,0,100*G349/F349))</f>
        <v>n/a</v>
      </c>
      <c r="I349" s="164">
        <f t="shared" si="156"/>
        <v>0</v>
      </c>
      <c r="J349" s="163">
        <f>VLOOKUP(B349,[1]weeks!$B$156:$BO$193,22,FALSE)-VLOOKUP(B349,[1]weeks!$B$206:$BO$243,22,FALSE)</f>
        <v>0</v>
      </c>
      <c r="K349" s="163">
        <f>VLOOKUP(B349,[1]weeks!$B$107:$BO$144,22,FALSE)-VLOOKUP(B349,[1]weeks!$B$156:$BO$193,22,FALSE)</f>
        <v>0</v>
      </c>
      <c r="L349" s="163">
        <f>VLOOKUP(B349,[1]weeks!$B$55:$BO$94,22,FALSE)-VLOOKUP(B349,[1]weeks!$B$107:$BO$144,22,FALSE)</f>
        <v>0</v>
      </c>
      <c r="M349" s="163">
        <f>VLOOKUP(B349,[1]weeks!$B$5:$BO$44,22,FALSE)-VLOOKUP(B349,[1]weeks!$B$55:$BO$94,22,FALSE)</f>
        <v>0</v>
      </c>
      <c r="N349" s="163" t="str">
        <f t="shared" si="152"/>
        <v>-</v>
      </c>
      <c r="O349" s="163">
        <f t="shared" si="153"/>
        <v>0</v>
      </c>
      <c r="P349" s="146" t="str">
        <f>IF(ISNUMBER(VLOOKUP(B349,[1]Closures!B:BI,19,FALSE)),TEXT(VLOOKUP(B349,[1]Closures!B:BI,19,FALSE),"ddmmm"),IF(C349&lt;=0,0,IF(I349&lt;=0,0,IF(AND(C349&gt;0,O349&lt;=0),"&gt;52",IF(I349/O349&gt;52,"&gt;52", MAX(0,I349/O349-2))))))</f>
        <v>01Jan</v>
      </c>
      <c r="S349" s="130"/>
    </row>
    <row r="350" spans="1:19" ht="10.7" customHeight="1" x14ac:dyDescent="0.2">
      <c r="A350" s="122"/>
      <c r="B350" s="174" t="s">
        <v>142</v>
      </c>
      <c r="C350" s="162"/>
      <c r="D350" s="163">
        <f>F350-VLOOKUP(B350,[1]Quota!$B$32:$BJ$43,19,FALSE)</f>
        <v>0</v>
      </c>
      <c r="E350" s="163"/>
      <c r="F350" s="164"/>
      <c r="G350" s="163"/>
      <c r="H350" s="165"/>
      <c r="I350" s="164"/>
      <c r="J350" s="163"/>
      <c r="K350" s="163"/>
      <c r="L350" s="163"/>
      <c r="M350" s="163"/>
      <c r="N350" s="163"/>
      <c r="O350" s="163"/>
      <c r="P350" s="146"/>
      <c r="S350" s="130"/>
    </row>
    <row r="351" spans="1:19" ht="10.7" customHeight="1" x14ac:dyDescent="0.2">
      <c r="A351" s="122"/>
      <c r="B351" s="168" t="s">
        <v>143</v>
      </c>
      <c r="C351" s="162">
        <f>SUM(C346:C350)</f>
        <v>-0.4</v>
      </c>
      <c r="D351" s="163">
        <f>SUM(D346:D350)</f>
        <v>0</v>
      </c>
      <c r="E351" s="163">
        <f t="shared" si="150"/>
        <v>0</v>
      </c>
      <c r="F351" s="164">
        <f>SUM(F346:F350)</f>
        <v>-0.4</v>
      </c>
      <c r="G351" s="163">
        <f>SUM(G346:G350)</f>
        <v>0</v>
      </c>
      <c r="H351" s="165" t="str">
        <f t="shared" si="149"/>
        <v>n/a</v>
      </c>
      <c r="I351" s="164">
        <f t="shared" si="156"/>
        <v>-0.4</v>
      </c>
      <c r="J351" s="163">
        <f t="shared" ref="J351:L351" si="157">SUM(J346:J349)</f>
        <v>0</v>
      </c>
      <c r="K351" s="163">
        <f t="shared" si="157"/>
        <v>0</v>
      </c>
      <c r="L351" s="163">
        <f t="shared" si="157"/>
        <v>0</v>
      </c>
      <c r="M351" s="163">
        <f>SUM(M346:M349)</f>
        <v>0</v>
      </c>
      <c r="N351" s="163" t="str">
        <f t="shared" si="152"/>
        <v>-</v>
      </c>
      <c r="O351" s="163">
        <f>SUM(J351:M351)/4</f>
        <v>0</v>
      </c>
      <c r="P351" s="146">
        <f>IF(ISNUMBER(VLOOKUP(B351,[1]Closures!B:BI,19,FALSE)),TEXT(VLOOKUP(B351,[1]Closures!B:BI,19,FALSE),"ddmmm"),IF(C351&lt;=0,0,IF(I351&lt;=0,0,IF(AND(C351&gt;0,O351&lt;=0),"&gt;52",IF(I351/O351&gt;52,"&gt;52", MAX(0,I351/O351-2))))))</f>
        <v>0</v>
      </c>
      <c r="S351" s="130"/>
    </row>
    <row r="352" spans="1:19" ht="10.7" customHeight="1" x14ac:dyDescent="0.2">
      <c r="A352" s="122"/>
      <c r="B352" s="168"/>
      <c r="C352" s="162"/>
      <c r="D352" s="163"/>
      <c r="E352" s="163"/>
      <c r="F352" s="164"/>
      <c r="G352" s="163"/>
      <c r="H352" s="165"/>
      <c r="I352" s="164"/>
      <c r="J352" s="163"/>
      <c r="K352" s="163"/>
      <c r="L352" s="163"/>
      <c r="M352" s="163"/>
      <c r="N352" s="163"/>
      <c r="O352" s="163"/>
      <c r="P352" s="146"/>
      <c r="S352" s="130"/>
    </row>
    <row r="353" spans="1:19" ht="10.7" customHeight="1" x14ac:dyDescent="0.2">
      <c r="A353" s="122"/>
      <c r="B353" s="175" t="s">
        <v>112</v>
      </c>
      <c r="C353" s="176">
        <f>C351+C344</f>
        <v>14.4</v>
      </c>
      <c r="D353" s="180">
        <f>D351+D344</f>
        <v>0</v>
      </c>
      <c r="E353" s="180">
        <f t="shared" si="150"/>
        <v>0</v>
      </c>
      <c r="F353" s="189">
        <f>F351+F344</f>
        <v>14.4</v>
      </c>
      <c r="G353" s="180">
        <f>G351+G344</f>
        <v>0</v>
      </c>
      <c r="H353" s="179">
        <f t="shared" si="149"/>
        <v>0</v>
      </c>
      <c r="I353" s="218">
        <f t="shared" si="156"/>
        <v>14.4</v>
      </c>
      <c r="J353" s="180">
        <f t="shared" ref="J353:L353" si="158">J344+J351</f>
        <v>0</v>
      </c>
      <c r="K353" s="180">
        <f t="shared" si="158"/>
        <v>0</v>
      </c>
      <c r="L353" s="180">
        <f t="shared" si="158"/>
        <v>0</v>
      </c>
      <c r="M353" s="180">
        <f>M344+M351</f>
        <v>0</v>
      </c>
      <c r="N353" s="180">
        <f t="shared" si="152"/>
        <v>0</v>
      </c>
      <c r="O353" s="180">
        <f>SUM(J353:M353)/4</f>
        <v>0</v>
      </c>
      <c r="P353" s="153" t="str">
        <f>IF(ISNUMBER(VLOOKUP(B353,[1]Closures!B:BI,19,FALSE)),TEXT(VLOOKUP(B353,[1]Closures!B:BI,19,FALSE),"ddmmm"),IF(C353&lt;=0,0,IF(I353&lt;=0,0,IF(AND(C353&gt;0,O353&lt;=0),"&gt;52",IF(I353/O353&gt;52,"&gt;52", MAX(0,I353/O353-2))))))</f>
        <v>&gt;52</v>
      </c>
      <c r="S353" s="130"/>
    </row>
    <row r="354" spans="1:19" ht="10.7" customHeight="1" x14ac:dyDescent="0.2">
      <c r="A354" s="122"/>
      <c r="B354" s="212"/>
      <c r="C354" s="173"/>
      <c r="D354" s="163"/>
      <c r="E354" s="163"/>
      <c r="F354" s="164"/>
      <c r="G354" s="163"/>
      <c r="H354" s="165"/>
      <c r="I354" s="164"/>
      <c r="J354" s="163"/>
      <c r="K354" s="163"/>
      <c r="L354" s="163"/>
      <c r="M354" s="163"/>
      <c r="N354" s="163"/>
      <c r="O354" s="163"/>
      <c r="P354" s="182"/>
      <c r="S354" s="130"/>
    </row>
    <row r="355" spans="1:19" ht="10.7" customHeight="1" x14ac:dyDescent="0.2">
      <c r="A355" s="122"/>
      <c r="B355" s="131"/>
      <c r="C355" s="181"/>
      <c r="D355" s="183"/>
      <c r="E355" s="183"/>
      <c r="F355" s="184"/>
      <c r="G355" s="183"/>
      <c r="H355" s="163"/>
      <c r="I355" s="184"/>
      <c r="J355" s="185"/>
      <c r="K355" s="185"/>
      <c r="L355" s="185"/>
      <c r="M355" s="185"/>
      <c r="N355" s="173"/>
      <c r="O355" s="183"/>
      <c r="P355" s="182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202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tr">
        <f>C5</f>
        <v>Initial Quota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203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203" t="s">
        <v>74</v>
      </c>
      <c r="I358" s="147" t="s">
        <v>75</v>
      </c>
      <c r="J358" s="151">
        <f>[1]weeks!$B$154</f>
        <v>43166</v>
      </c>
      <c r="K358" s="151">
        <f>[1]weeks!$B$105</f>
        <v>43173</v>
      </c>
      <c r="L358" s="151">
        <f>[1]weeks!$B$55</f>
        <v>43180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204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6"/>
      <c r="C360" s="193" t="s">
        <v>124</v>
      </c>
      <c r="D360" s="193"/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4"/>
      <c r="P360" s="145"/>
      <c r="S360" s="130"/>
    </row>
    <row r="361" spans="1:19" ht="10.7" customHeight="1" x14ac:dyDescent="0.2">
      <c r="A361" s="122"/>
      <c r="B361" s="161" t="s">
        <v>132</v>
      </c>
      <c r="C361" s="162">
        <f>'[2]IV&amp;VI Combined'!$R$29</f>
        <v>0</v>
      </c>
      <c r="D361" s="163">
        <f>F361-VLOOKUP(B361,[1]Quota!$B$32:$BJ$43,20,FALSE)</f>
        <v>0</v>
      </c>
      <c r="E361" s="163">
        <f>F361-C361</f>
        <v>0</v>
      </c>
      <c r="F361" s="164">
        <f>VLOOKUP(B361,[1]Quota!$B$81:$BJ$92,20,FALSE)</f>
        <v>0</v>
      </c>
      <c r="G361" s="163">
        <f>'[1]Cumulative '!Y221</f>
        <v>0</v>
      </c>
      <c r="H361" s="165" t="str">
        <f t="shared" ref="H361:H375" si="159">IF(AND(F361&lt;=0),"n/a",IF(F361=0,0,100*G361/F361))</f>
        <v>n/a</v>
      </c>
      <c r="I361" s="164">
        <f>F361-G361</f>
        <v>0</v>
      </c>
      <c r="J361" s="163">
        <f>VLOOKUP(B361,[1]weeks!$B$156:$BO$193,23,FALSE)-VLOOKUP(B361,[1]weeks!$B$206:$BO$243,23,FALSE)</f>
        <v>0</v>
      </c>
      <c r="K361" s="163">
        <f>VLOOKUP(B361,[1]weeks!$B$107:$BO$144,23,FALSE)-VLOOKUP(B361,[1]weeks!$B$156:$BO$193,23,FALSE)</f>
        <v>0</v>
      </c>
      <c r="L361" s="163">
        <f>VLOOKUP(B361,[1]weeks!$B$55:$BO$94,23,FALSE)-VLOOKUP(B361,[1]weeks!$B$107:$BO$144,23,FALSE)</f>
        <v>0</v>
      </c>
      <c r="M361" s="163">
        <f>VLOOKUP(B361,[1]weeks!$B$5:$BO$44,23,FALSE)-VLOOKUP(B361,[1]weeks!$B$55:$BO$94,23,FALSE)</f>
        <v>0</v>
      </c>
      <c r="N361" s="163" t="str">
        <f>IF(F361&gt;0,M361/F361*100,"-")</f>
        <v>-</v>
      </c>
      <c r="O361" s="163">
        <f>SUM(J361:M361)/4</f>
        <v>0</v>
      </c>
      <c r="P361" s="146" t="str">
        <f>IF(ISNUMBER(VLOOKUP(B361,[1]Closures!B:BI,20,FALSE)),TEXT(VLOOKUP(B361,[1]Closures!B:BI,20,FALSE),"ddmmm"),IF(C361&lt;=0,0,IF(I361&lt;=0,0,IF(AND(C361&gt;0,O361&lt;=0),"&gt;52",IF(I361/O361&gt;52,"&gt;52", MAX(0,I361/O361-2))))))</f>
        <v>01Jan</v>
      </c>
      <c r="S361" s="130"/>
    </row>
    <row r="362" spans="1:19" ht="10.7" customHeight="1" x14ac:dyDescent="0.2">
      <c r="A362" s="122"/>
      <c r="B362" s="161" t="s">
        <v>133</v>
      </c>
      <c r="C362" s="162">
        <f>'[2]IV&amp;VI Combined'!$R$30</f>
        <v>0</v>
      </c>
      <c r="D362" s="163">
        <f>F362-VLOOKUP(B362,[1]Quota!$B$32:$BJ$43,20,FALSE)</f>
        <v>0</v>
      </c>
      <c r="E362" s="163">
        <f t="shared" ref="E362:E375" si="160">F362-C362</f>
        <v>0</v>
      </c>
      <c r="F362" s="164">
        <f>VLOOKUP(B362,[1]Quota!$B$81:$BJ$92,20,FALSE)</f>
        <v>0</v>
      </c>
      <c r="G362" s="163">
        <f>'[1]Cumulative '!Y222</f>
        <v>0</v>
      </c>
      <c r="H362" s="165" t="str">
        <f t="shared" si="159"/>
        <v>n/a</v>
      </c>
      <c r="I362" s="164">
        <f t="shared" ref="I362:I365" si="161">F362-G362</f>
        <v>0</v>
      </c>
      <c r="J362" s="163">
        <f>VLOOKUP(B362,[1]weeks!$B$156:$BO$193,23,FALSE)-VLOOKUP(B362,[1]weeks!$B$206:$BO$243,23,FALSE)</f>
        <v>0</v>
      </c>
      <c r="K362" s="163">
        <f>VLOOKUP(B362,[1]weeks!$B$107:$BO$144,23,FALSE)-VLOOKUP(B362,[1]weeks!$B$156:$BO$193,23,FALSE)</f>
        <v>0</v>
      </c>
      <c r="L362" s="163">
        <f>VLOOKUP(B362,[1]weeks!$B$55:$BO$94,23,FALSE)-VLOOKUP(B362,[1]weeks!$B$107:$BO$144,23,FALSE)</f>
        <v>0</v>
      </c>
      <c r="M362" s="163">
        <f>VLOOKUP(B362,[1]weeks!$B$5:$BO$44,23,FALSE)-VLOOKUP(B362,[1]weeks!$B$55:$BO$94,23,FALSE)</f>
        <v>0</v>
      </c>
      <c r="N362" s="163" t="str">
        <f t="shared" ref="N362:N375" si="162">IF(F362&gt;0,M362/F362*100,"-")</f>
        <v>-</v>
      </c>
      <c r="O362" s="163">
        <f>SUM(J362:M362)/4</f>
        <v>0</v>
      </c>
      <c r="P362" s="146" t="str">
        <f>IF(ISNUMBER(VLOOKUP(B362,[1]Closures!B:BI,20,FALSE)),TEXT(VLOOKUP(B362,[1]Closures!B:BI,20,FALSE),"ddmmm"),IF(C362&lt;=0,0,IF(I362&lt;=0,0,IF(AND(C362&gt;0,O362&lt;=0),"&gt;52",IF(I362/O362&gt;52,"&gt;52", MAX(0,I362/O362-2))))))</f>
        <v>01Jan</v>
      </c>
      <c r="S362" s="130"/>
    </row>
    <row r="363" spans="1:19" ht="10.7" customHeight="1" x14ac:dyDescent="0.2">
      <c r="A363" s="122"/>
      <c r="B363" s="161" t="s">
        <v>134</v>
      </c>
      <c r="C363" s="162">
        <f>'[2]IV&amp;VI Combined'!$R$31</f>
        <v>0</v>
      </c>
      <c r="D363" s="163">
        <f>F363-VLOOKUP(B363,[1]Quota!$B$32:$BJ$43,20,FALSE)</f>
        <v>0</v>
      </c>
      <c r="E363" s="163">
        <f t="shared" si="160"/>
        <v>0</v>
      </c>
      <c r="F363" s="164">
        <f>VLOOKUP(B363,[1]Quota!$B$81:$BJ$92,20,FALSE)</f>
        <v>0</v>
      </c>
      <c r="G363" s="163">
        <f>'[1]Cumulative '!Y223</f>
        <v>0</v>
      </c>
      <c r="H363" s="165" t="str">
        <f t="shared" si="159"/>
        <v>n/a</v>
      </c>
      <c r="I363" s="164">
        <f t="shared" si="161"/>
        <v>0</v>
      </c>
      <c r="J363" s="163">
        <f>VLOOKUP(B363,[1]weeks!$B$156:$BO$193,23,FALSE)-VLOOKUP(B363,[1]weeks!$B$206:$BO$243,23,FALSE)</f>
        <v>0</v>
      </c>
      <c r="K363" s="163">
        <f>VLOOKUP(B363,[1]weeks!$B$107:$BO$144,23,FALSE)-VLOOKUP(B363,[1]weeks!$B$156:$BO$193,23,FALSE)</f>
        <v>0</v>
      </c>
      <c r="L363" s="163">
        <f>VLOOKUP(B363,[1]weeks!$B$55:$BO$94,23,FALSE)-VLOOKUP(B363,[1]weeks!$B$107:$BO$144,23,FALSE)</f>
        <v>0</v>
      </c>
      <c r="M363" s="163">
        <f>VLOOKUP(B363,[1]weeks!$B$5:$BO$44,23,FALSE)-VLOOKUP(B363,[1]weeks!$B$55:$BO$94,23,FALSE)</f>
        <v>0</v>
      </c>
      <c r="N363" s="163" t="str">
        <f t="shared" si="162"/>
        <v>-</v>
      </c>
      <c r="O363" s="163">
        <f>SUM(J363:M363)/4</f>
        <v>0</v>
      </c>
      <c r="P363" s="146" t="str">
        <f>IF(ISNUMBER(VLOOKUP(B363,[1]Closures!B:BI,20,FALSE)),TEXT(VLOOKUP(B363,[1]Closures!B:BI,20,FALSE),"ddmmm"),IF(C363&lt;=0,0,IF(I363&lt;=0,0,IF(AND(C363&gt;0,O363&lt;=0),"&gt;52",IF(I363/O363&gt;52,"&gt;52", MAX(0,I363/O363-2))))))</f>
        <v>01Jan</v>
      </c>
      <c r="S363" s="130"/>
    </row>
    <row r="364" spans="1:19" ht="10.7" customHeight="1" x14ac:dyDescent="0.2">
      <c r="A364" s="122"/>
      <c r="B364" s="161" t="s">
        <v>135</v>
      </c>
      <c r="C364" s="162">
        <f>'[2]IV&amp;VI Combined'!$R$32</f>
        <v>0</v>
      </c>
      <c r="D364" s="163">
        <f>F364-VLOOKUP(B364,[1]Quota!$B$32:$BJ$43,20,FALSE)</f>
        <v>0</v>
      </c>
      <c r="E364" s="163">
        <f t="shared" si="160"/>
        <v>0</v>
      </c>
      <c r="F364" s="164">
        <f>VLOOKUP(B364,[1]Quota!$B$81:$BJ$92,20,FALSE)</f>
        <v>0</v>
      </c>
      <c r="G364" s="163">
        <f>'[1]Cumulative '!Y224</f>
        <v>0</v>
      </c>
      <c r="H364" s="165" t="str">
        <f t="shared" si="159"/>
        <v>n/a</v>
      </c>
      <c r="I364" s="164">
        <f t="shared" si="161"/>
        <v>0</v>
      </c>
      <c r="J364" s="163">
        <f>VLOOKUP(B364,[1]weeks!$B$156:$BO$193,23,FALSE)-VLOOKUP(B364,[1]weeks!$B$206:$BO$243,23,FALSE)</f>
        <v>0</v>
      </c>
      <c r="K364" s="163">
        <f>VLOOKUP(B364,[1]weeks!$B$107:$BO$144,23,FALSE)-VLOOKUP(B364,[1]weeks!$B$156:$BO$193,23,FALSE)</f>
        <v>0</v>
      </c>
      <c r="L364" s="163">
        <f>VLOOKUP(B364,[1]weeks!$B$55:$BO$94,23,FALSE)-VLOOKUP(B364,[1]weeks!$B$107:$BO$144,23,FALSE)</f>
        <v>0</v>
      </c>
      <c r="M364" s="163">
        <f>VLOOKUP(B364,[1]weeks!$B$5:$BO$44,23,FALSE)-VLOOKUP(B364,[1]weeks!$B$55:$BO$94,23,FALSE)</f>
        <v>0</v>
      </c>
      <c r="N364" s="163" t="str">
        <f t="shared" si="162"/>
        <v>-</v>
      </c>
      <c r="O364" s="163">
        <f>SUM(J364:M364)/4</f>
        <v>0</v>
      </c>
      <c r="P364" s="146" t="str">
        <f>IF(ISNUMBER(VLOOKUP(B364,[1]Closures!B:BI,20,FALSE)),TEXT(VLOOKUP(B364,[1]Closures!B:BI,20,FALSE),"ddmmm"),IF(C364&lt;=0,0,IF(I364&lt;=0,0,IF(AND(C364&gt;0,O364&lt;=0),"&gt;52",IF(I364/O364&gt;52,"&gt;52", MAX(0,I364/O364-2))))))</f>
        <v>01Jan</v>
      </c>
      <c r="S364" s="130"/>
    </row>
    <row r="365" spans="1:19" ht="10.7" customHeight="1" x14ac:dyDescent="0.2">
      <c r="A365" s="122"/>
      <c r="B365" s="161" t="s">
        <v>136</v>
      </c>
      <c r="C365" s="162"/>
      <c r="D365" s="163">
        <f>F365-VLOOKUP(B365,[1]Quota!$B$32:$BJ$43,20,FALSE)</f>
        <v>0</v>
      </c>
      <c r="E365" s="163"/>
      <c r="F365" s="164">
        <f>VLOOKUP(B365,[1]Quota!$B$81:$BJ$92,20,FALSE)</f>
        <v>0</v>
      </c>
      <c r="G365" s="163"/>
      <c r="H365" s="165" t="str">
        <f t="shared" si="159"/>
        <v>n/a</v>
      </c>
      <c r="I365" s="164">
        <f t="shared" si="161"/>
        <v>0</v>
      </c>
      <c r="J365" s="163"/>
      <c r="K365" s="163"/>
      <c r="L365" s="163"/>
      <c r="M365" s="163"/>
      <c r="N365" s="163"/>
      <c r="O365" s="163"/>
      <c r="P365" s="146"/>
      <c r="S365" s="130"/>
    </row>
    <row r="366" spans="1:19" ht="10.7" customHeight="1" x14ac:dyDescent="0.2">
      <c r="A366" s="122"/>
      <c r="B366" s="168" t="s">
        <v>137</v>
      </c>
      <c r="C366" s="162">
        <f>SUM(C361:C364)</f>
        <v>0</v>
      </c>
      <c r="D366" s="163">
        <f>SUM(D361:D365)</f>
        <v>0</v>
      </c>
      <c r="E366" s="163">
        <f t="shared" si="160"/>
        <v>0</v>
      </c>
      <c r="F366" s="217">
        <f t="shared" ref="F366" si="163">SUM(F361:F364)</f>
        <v>0</v>
      </c>
      <c r="G366" s="163">
        <f>SUM(G361:G364)</f>
        <v>0</v>
      </c>
      <c r="H366" s="165" t="str">
        <f t="shared" si="159"/>
        <v>n/a</v>
      </c>
      <c r="I366" s="217">
        <f t="shared" ref="I366:L366" si="164">SUM(I361:I364)</f>
        <v>0</v>
      </c>
      <c r="J366" s="163">
        <f t="shared" si="164"/>
        <v>0</v>
      </c>
      <c r="K366" s="163">
        <f t="shared" si="164"/>
        <v>0</v>
      </c>
      <c r="L366" s="163">
        <f t="shared" si="164"/>
        <v>0</v>
      </c>
      <c r="M366" s="163">
        <f>SUM(M361:M364)</f>
        <v>0</v>
      </c>
      <c r="N366" s="163" t="str">
        <f t="shared" si="162"/>
        <v>-</v>
      </c>
      <c r="O366" s="163">
        <f>SUM(J366:M366)/4</f>
        <v>0</v>
      </c>
      <c r="P366" s="146">
        <f>IF(ISNUMBER(VLOOKUP(B366,[1]Closures!B:BI,20,FALSE)),TEXT(VLOOKUP(B366,[1]Closures!B:BI,20,FALSE),"ddmmm"),IF(C366&lt;=0,0,IF(I366&lt;=0,0,IF(AND(C366&gt;0,O366&lt;=0),"&gt;52",IF(I366/O366&gt;52,"&gt;52", MAX(0,I366/O366-2))))))</f>
        <v>0</v>
      </c>
      <c r="S366" s="130"/>
    </row>
    <row r="367" spans="1:19" ht="10.7" customHeight="1" x14ac:dyDescent="0.2">
      <c r="A367" s="122"/>
      <c r="B367" s="168"/>
      <c r="C367" s="162"/>
      <c r="D367" s="163"/>
      <c r="E367" s="163"/>
      <c r="F367" s="164"/>
      <c r="G367" s="163"/>
      <c r="H367" s="165"/>
      <c r="I367" s="164"/>
      <c r="J367" s="163"/>
      <c r="K367" s="163"/>
      <c r="L367" s="163"/>
      <c r="M367" s="163"/>
      <c r="N367" s="163" t="str">
        <f t="shared" si="162"/>
        <v>-</v>
      </c>
      <c r="O367" s="163"/>
      <c r="P367" s="146"/>
      <c r="S367" s="130"/>
    </row>
    <row r="368" spans="1:19" ht="10.7" customHeight="1" x14ac:dyDescent="0.2">
      <c r="A368" s="122"/>
      <c r="B368" s="174" t="s">
        <v>138</v>
      </c>
      <c r="C368" s="162">
        <f>'[2]IV&amp;VI Combined'!$R$36</f>
        <v>0</v>
      </c>
      <c r="D368" s="163">
        <f>F368-VLOOKUP(B368,[1]Quota!$B$32:$BJ$43,20,FALSE)</f>
        <v>0</v>
      </c>
      <c r="E368" s="163">
        <f t="shared" si="160"/>
        <v>0</v>
      </c>
      <c r="F368" s="164">
        <f>VLOOKUP(B368,[1]Quota!$B$81:$BJ$92,20,FALSE)</f>
        <v>0</v>
      </c>
      <c r="G368" s="163">
        <f>'[1]Cumulative '!Y228</f>
        <v>0</v>
      </c>
      <c r="H368" s="165" t="str">
        <f t="shared" si="159"/>
        <v>n/a</v>
      </c>
      <c r="I368" s="164">
        <f t="shared" ref="I368:I375" si="165">F368-G368</f>
        <v>0</v>
      </c>
      <c r="J368" s="163">
        <f>VLOOKUP(B368,[1]weeks!$B$156:$BO$193,23,FALSE)-VLOOKUP(B368,[1]weeks!$B$206:$BO$243,23,FALSE)</f>
        <v>0</v>
      </c>
      <c r="K368" s="163">
        <f>VLOOKUP(B368,[1]weeks!$B$107:$BO$144,23,FALSE)-VLOOKUP(B368,[1]weeks!$B$156:$BO$193,23,FALSE)</f>
        <v>0</v>
      </c>
      <c r="L368" s="163">
        <f>VLOOKUP(B368,[1]weeks!$B$55:$BO$94,23,FALSE)-VLOOKUP(B368,[1]weeks!$B$107:$BO$144,23,FALSE)</f>
        <v>0</v>
      </c>
      <c r="M368" s="163">
        <f>VLOOKUP(B368,[1]weeks!$B$5:$BO$44,23,FALSE)-VLOOKUP(B368,[1]weeks!$B$55:$BO$94,23,FALSE)</f>
        <v>0</v>
      </c>
      <c r="N368" s="163" t="str">
        <f t="shared" si="162"/>
        <v>-</v>
      </c>
      <c r="O368" s="163">
        <f>SUM(J368:M368)/4</f>
        <v>0</v>
      </c>
      <c r="P368" s="146">
        <f>IF(ISNUMBER(VLOOKUP(B368,[1]Closures!B:BI,20,FALSE)),TEXT(VLOOKUP(B368,[1]Closures!B:BI,20,FALSE),"ddmmm"),IF(C368&lt;=0,0,IF(I368&lt;=0,0,IF(AND(C368&gt;0,O368&lt;=0),"&gt;52",IF(I368/O368&gt;52,"&gt;52", MAX(0,I368/O368-2))))))</f>
        <v>0</v>
      </c>
      <c r="S368" s="130"/>
    </row>
    <row r="369" spans="1:19" ht="10.7" customHeight="1" x14ac:dyDescent="0.2">
      <c r="A369" s="122"/>
      <c r="B369" s="174" t="s">
        <v>139</v>
      </c>
      <c r="C369" s="162">
        <f>'[2]IV&amp;VI Combined'!$R$37</f>
        <v>0</v>
      </c>
      <c r="D369" s="163">
        <f>F369-VLOOKUP(B369,[1]Quota!$B$32:$BJ$43,20,FALSE)</f>
        <v>0</v>
      </c>
      <c r="E369" s="163">
        <f t="shared" si="160"/>
        <v>0</v>
      </c>
      <c r="F369" s="164">
        <f>VLOOKUP(B369,[1]Quota!$B$81:$BJ$92,20,FALSE)</f>
        <v>0</v>
      </c>
      <c r="G369" s="163">
        <f>'[1]Cumulative '!Y229</f>
        <v>0</v>
      </c>
      <c r="H369" s="165" t="str">
        <f t="shared" si="159"/>
        <v>n/a</v>
      </c>
      <c r="I369" s="164">
        <f t="shared" si="165"/>
        <v>0</v>
      </c>
      <c r="J369" s="163">
        <f>VLOOKUP(B369,[1]weeks!$B$156:$BO$193,23,FALSE)-VLOOKUP(B369,[1]weeks!$B$206:$BO$243,23,FALSE)</f>
        <v>0</v>
      </c>
      <c r="K369" s="163">
        <f>VLOOKUP(B369,[1]weeks!$B$107:$BO$144,23,FALSE)-VLOOKUP(B369,[1]weeks!$B$156:$BO$193,23,FALSE)</f>
        <v>0</v>
      </c>
      <c r="L369" s="163">
        <f>VLOOKUP(B369,[1]weeks!$B$55:$BO$94,23,FALSE)-VLOOKUP(B369,[1]weeks!$B$107:$BO$144,23,FALSE)</f>
        <v>0</v>
      </c>
      <c r="M369" s="163">
        <f>VLOOKUP(B369,[1]weeks!$B$5:$BO$44,23,FALSE)-VLOOKUP(B369,[1]weeks!$B$55:$BO$94,23,FALSE)</f>
        <v>0</v>
      </c>
      <c r="N369" s="163" t="str">
        <f t="shared" si="162"/>
        <v>-</v>
      </c>
      <c r="O369" s="163">
        <f t="shared" ref="O369:O371" si="166">SUM(J369:M369)/4</f>
        <v>0</v>
      </c>
      <c r="P369" s="146">
        <f>IF(ISNUMBER(VLOOKUP(B369,[1]Closures!B:BI,20,FALSE)),TEXT(VLOOKUP(B369,[1]Closures!B:BI,20,FALSE),"ddmmm"),IF(C369&lt;=0,0,IF(I369&lt;=0,0,IF(AND(C369&gt;0,O369&lt;=0),"&gt;52",IF(I369/O369&gt;52,"&gt;52", MAX(0,I369/O369-2))))))</f>
        <v>0</v>
      </c>
      <c r="S369" s="130"/>
    </row>
    <row r="370" spans="1:19" ht="10.7" customHeight="1" x14ac:dyDescent="0.2">
      <c r="A370" s="122"/>
      <c r="B370" s="174" t="s">
        <v>140</v>
      </c>
      <c r="C370" s="162">
        <f>'[2]IV&amp;VI Combined'!$R$38</f>
        <v>0</v>
      </c>
      <c r="D370" s="163">
        <f>F370-VLOOKUP(B370,[1]Quota!$B$32:$BJ$43,20,FALSE)</f>
        <v>0</v>
      </c>
      <c r="E370" s="163">
        <f t="shared" si="160"/>
        <v>0</v>
      </c>
      <c r="F370" s="164">
        <f>VLOOKUP(B370,[1]Quota!$B$81:$BJ$92,20,FALSE)</f>
        <v>0</v>
      </c>
      <c r="G370" s="163">
        <f>'[1]Cumulative '!Y230</f>
        <v>0</v>
      </c>
      <c r="H370" s="165" t="str">
        <f t="shared" si="159"/>
        <v>n/a</v>
      </c>
      <c r="I370" s="164">
        <f t="shared" si="165"/>
        <v>0</v>
      </c>
      <c r="J370" s="163">
        <f>VLOOKUP(B370,[1]weeks!$B$156:$BO$193,23,FALSE)-VLOOKUP(B370,[1]weeks!$B$206:$BO$243,23,FALSE)</f>
        <v>0</v>
      </c>
      <c r="K370" s="163">
        <f>VLOOKUP(B370,[1]weeks!$B$107:$BO$144,23,FALSE)-VLOOKUP(B370,[1]weeks!$B$156:$BO$193,23,FALSE)</f>
        <v>0</v>
      </c>
      <c r="L370" s="163">
        <f>VLOOKUP(B370,[1]weeks!$B$55:$BO$94,23,FALSE)-VLOOKUP(B370,[1]weeks!$B$107:$BO$144,23,FALSE)</f>
        <v>0</v>
      </c>
      <c r="M370" s="163">
        <f>VLOOKUP(B370,[1]weeks!$B$5:$BO$44,23,FALSE)-VLOOKUP(B370,[1]weeks!$B$55:$BO$94,23,FALSE)</f>
        <v>0</v>
      </c>
      <c r="N370" s="163" t="str">
        <f t="shared" si="162"/>
        <v>-</v>
      </c>
      <c r="O370" s="163">
        <f t="shared" si="166"/>
        <v>0</v>
      </c>
      <c r="P370" s="146">
        <f>IF(ISNUMBER(VLOOKUP(B370,[1]Closures!B:BI,20,FALSE)),TEXT(VLOOKUP(B370,[1]Closures!B:BI,20,FALSE),"ddmmm"),IF(C370&lt;=0,0,IF(I370&lt;=0,0,IF(AND(C370&gt;0,O370&lt;=0),"&gt;52",IF(I370/O370&gt;52,"&gt;52", MAX(0,I370/O370-2))))))</f>
        <v>0</v>
      </c>
      <c r="S370" s="130"/>
    </row>
    <row r="371" spans="1:19" ht="10.7" customHeight="1" x14ac:dyDescent="0.2">
      <c r="A371" s="122"/>
      <c r="B371" s="174" t="s">
        <v>141</v>
      </c>
      <c r="C371" s="162">
        <f>'[2]IV&amp;VI Combined'!$R$39</f>
        <v>0</v>
      </c>
      <c r="D371" s="163">
        <f>F371-VLOOKUP(B371,[1]Quota!$B$32:$BJ$43,20,FALSE)</f>
        <v>0</v>
      </c>
      <c r="E371" s="163">
        <f t="shared" si="160"/>
        <v>0</v>
      </c>
      <c r="F371" s="164">
        <f>VLOOKUP(B371,[1]Quota!$B$81:$BJ$92,20,FALSE)</f>
        <v>0</v>
      </c>
      <c r="G371" s="163">
        <f>'[1]Cumulative '!Y231</f>
        <v>0</v>
      </c>
      <c r="H371" s="165" t="str">
        <f>IF(AND(F371&lt;=0),"n/a",IF(F371=0,0,100*G371/F371))</f>
        <v>n/a</v>
      </c>
      <c r="I371" s="164">
        <f t="shared" si="165"/>
        <v>0</v>
      </c>
      <c r="J371" s="163">
        <f>VLOOKUP(B371,[1]weeks!$B$156:$BO$193,23,FALSE)-VLOOKUP(B371,[1]weeks!$B$206:$BO$243,23,FALSE)</f>
        <v>0</v>
      </c>
      <c r="K371" s="163">
        <f>VLOOKUP(B371,[1]weeks!$B$107:$BO$144,23,FALSE)-VLOOKUP(B371,[1]weeks!$B$156:$BO$193,23,FALSE)</f>
        <v>0</v>
      </c>
      <c r="L371" s="163">
        <f>VLOOKUP(B371,[1]weeks!$B$55:$BO$94,23,FALSE)-VLOOKUP(B371,[1]weeks!$B$107:$BO$144,23,FALSE)</f>
        <v>0</v>
      </c>
      <c r="M371" s="163">
        <f>VLOOKUP(B371,[1]weeks!$B$5:$BO$44,23,FALSE)-VLOOKUP(B371,[1]weeks!$B$55:$BO$94,23,FALSE)</f>
        <v>0</v>
      </c>
      <c r="N371" s="163" t="str">
        <f t="shared" si="162"/>
        <v>-</v>
      </c>
      <c r="O371" s="163">
        <f t="shared" si="166"/>
        <v>0</v>
      </c>
      <c r="P371" s="146">
        <f>IF(ISNUMBER(VLOOKUP(B371,[1]Closures!B:BI,20,FALSE)),TEXT(VLOOKUP(B371,[1]Closures!B:BI,20,FALSE),"ddmmm"),IF(C371&lt;=0,0,IF(I371&lt;=0,0,IF(AND(C371&gt;0,O371&lt;=0),"&gt;52",IF(I371/O371&gt;52,"&gt;52", MAX(0,I371/O371-2))))))</f>
        <v>0</v>
      </c>
      <c r="S371" s="130"/>
    </row>
    <row r="372" spans="1:19" ht="10.7" customHeight="1" x14ac:dyDescent="0.2">
      <c r="A372" s="122"/>
      <c r="B372" s="174" t="s">
        <v>142</v>
      </c>
      <c r="C372" s="162"/>
      <c r="D372" s="163">
        <f>F372-VLOOKUP(B372,[1]Quota!$B$32:$BJ$43,20,FALSE)</f>
        <v>0</v>
      </c>
      <c r="E372" s="163"/>
      <c r="F372" s="164">
        <f>VLOOKUP(B372,[1]Quota!$B$81:$BJ$92,20,FALSE)</f>
        <v>0</v>
      </c>
      <c r="G372" s="163"/>
      <c r="H372" s="165" t="str">
        <f>IF(AND(F372&lt;=0),"n/a",IF(F372=0,0,100*G372/F372))</f>
        <v>n/a</v>
      </c>
      <c r="I372" s="164">
        <f>F372-G372</f>
        <v>0</v>
      </c>
      <c r="J372" s="163"/>
      <c r="K372" s="163"/>
      <c r="L372" s="163"/>
      <c r="M372" s="163"/>
      <c r="N372" s="163"/>
      <c r="O372" s="163"/>
      <c r="P372" s="146"/>
      <c r="S372" s="130"/>
    </row>
    <row r="373" spans="1:19" ht="10.7" customHeight="1" x14ac:dyDescent="0.2">
      <c r="A373" s="122"/>
      <c r="B373" s="168" t="s">
        <v>143</v>
      </c>
      <c r="C373" s="162">
        <f>SUM(C368:C372)</f>
        <v>0</v>
      </c>
      <c r="D373" s="163">
        <f>SUM(D368:D372)</f>
        <v>0</v>
      </c>
      <c r="E373" s="163">
        <f t="shared" si="160"/>
        <v>0</v>
      </c>
      <c r="F373" s="164">
        <f>SUM(F368:F372)</f>
        <v>0</v>
      </c>
      <c r="G373" s="163">
        <f>SUM(G368:G372)</f>
        <v>0</v>
      </c>
      <c r="H373" s="165" t="str">
        <f t="shared" si="159"/>
        <v>n/a</v>
      </c>
      <c r="I373" s="164">
        <f t="shared" si="165"/>
        <v>0</v>
      </c>
      <c r="J373" s="163">
        <f t="shared" ref="J373:L373" si="167">SUM(J368:J371)</f>
        <v>0</v>
      </c>
      <c r="K373" s="163">
        <f t="shared" si="167"/>
        <v>0</v>
      </c>
      <c r="L373" s="163">
        <f t="shared" si="167"/>
        <v>0</v>
      </c>
      <c r="M373" s="163">
        <f>SUM(M368:M371)</f>
        <v>0</v>
      </c>
      <c r="N373" s="163" t="str">
        <f t="shared" si="162"/>
        <v>-</v>
      </c>
      <c r="O373" s="163">
        <f>SUM(J373:M373)/4</f>
        <v>0</v>
      </c>
      <c r="P373" s="146">
        <f>IF(ISNUMBER(VLOOKUP(B373,[1]Closures!B:BI,20,FALSE)),TEXT(VLOOKUP(B373,[1]Closures!B:BI,20,FALSE),"ddmmm"),IF(C373&lt;=0,0,IF(I373&lt;=0,0,IF(AND(C373&gt;0,O373&lt;=0),"&gt;52",IF(I373/O373&gt;52,"&gt;52", MAX(0,I373/O373-2))))))</f>
        <v>0</v>
      </c>
      <c r="S373" s="130"/>
    </row>
    <row r="374" spans="1:19" ht="10.7" customHeight="1" x14ac:dyDescent="0.2">
      <c r="A374" s="122"/>
      <c r="B374" s="168"/>
      <c r="C374" s="162"/>
      <c r="D374" s="163"/>
      <c r="E374" s="163"/>
      <c r="F374" s="164"/>
      <c r="G374" s="163"/>
      <c r="H374" s="165"/>
      <c r="I374" s="164"/>
      <c r="J374" s="163"/>
      <c r="K374" s="163"/>
      <c r="L374" s="163"/>
      <c r="M374" s="163"/>
      <c r="N374" s="163"/>
      <c r="O374" s="163"/>
      <c r="P374" s="146"/>
      <c r="S374" s="130"/>
    </row>
    <row r="375" spans="1:19" ht="10.7" customHeight="1" x14ac:dyDescent="0.2">
      <c r="A375" s="122"/>
      <c r="B375" s="175" t="s">
        <v>112</v>
      </c>
      <c r="C375" s="176">
        <f>C373+C366</f>
        <v>0</v>
      </c>
      <c r="D375" s="180">
        <f>D373+D366</f>
        <v>0</v>
      </c>
      <c r="E375" s="180">
        <f t="shared" si="160"/>
        <v>0</v>
      </c>
      <c r="F375" s="189">
        <f>F373+F366</f>
        <v>0</v>
      </c>
      <c r="G375" s="180">
        <f>G373+G366</f>
        <v>0</v>
      </c>
      <c r="H375" s="179" t="str">
        <f t="shared" si="159"/>
        <v>n/a</v>
      </c>
      <c r="I375" s="218">
        <f t="shared" si="165"/>
        <v>0</v>
      </c>
      <c r="J375" s="180">
        <f t="shared" ref="J375:L375" si="168">J366+J373</f>
        <v>0</v>
      </c>
      <c r="K375" s="180">
        <f t="shared" si="168"/>
        <v>0</v>
      </c>
      <c r="L375" s="180">
        <f t="shared" si="168"/>
        <v>0</v>
      </c>
      <c r="M375" s="180">
        <f>M366+M373</f>
        <v>0</v>
      </c>
      <c r="N375" s="180" t="str">
        <f t="shared" si="162"/>
        <v>-</v>
      </c>
      <c r="O375" s="180">
        <f>SUM(J375:M375)/4</f>
        <v>0</v>
      </c>
      <c r="P375" s="153">
        <f>IF(ISNUMBER(VLOOKUP(B375,[1]Closures!B:BI,20,FALSE)),TEXT(VLOOKUP(B375,[1]Closures!B:BI,20,FALSE),"ddmmm"),IF(C375&lt;=0,0,IF(I375&lt;=0,0,IF(AND(C375&gt;0,O375&lt;=0),"&gt;52",IF(I375/O375&gt;52,"&gt;52", MAX(0,I375/O375-2))))))</f>
        <v>0</v>
      </c>
      <c r="S375" s="130"/>
    </row>
    <row r="376" spans="1:19" ht="10.7" customHeight="1" x14ac:dyDescent="0.2">
      <c r="A376" s="122"/>
      <c r="B376" s="130"/>
      <c r="C376" s="191"/>
      <c r="D376" s="183"/>
      <c r="E376" s="183"/>
      <c r="F376" s="184"/>
      <c r="G376" s="183"/>
      <c r="H376" s="163"/>
      <c r="I376" s="184"/>
      <c r="J376" s="185"/>
      <c r="K376" s="185"/>
      <c r="L376" s="185"/>
      <c r="M376" s="185"/>
      <c r="N376" s="173"/>
      <c r="O376" s="183"/>
      <c r="P376" s="182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tr">
        <f>C5</f>
        <v>Initial Quota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f>[1]weeks!$B$154</f>
        <v>43166</v>
      </c>
      <c r="K380" s="151">
        <f>[1]weeks!$B$105</f>
        <v>43173</v>
      </c>
      <c r="L380" s="151">
        <f>[1]weeks!$B$55</f>
        <v>43180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6"/>
      <c r="C382" s="193" t="s">
        <v>125</v>
      </c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4"/>
      <c r="P382" s="145"/>
      <c r="S382" s="130"/>
    </row>
    <row r="383" spans="1:19" ht="10.7" customHeight="1" x14ac:dyDescent="0.2">
      <c r="A383" s="122"/>
      <c r="B383" s="161" t="s">
        <v>132</v>
      </c>
      <c r="C383" s="162">
        <f>'[2]IV&amp;VI Combined'!$S$29</f>
        <v>0</v>
      </c>
      <c r="D383" s="163">
        <f>F383-VLOOKUP(B383,[1]Quota!$B$32:$BJ$43,21,FALSE)</f>
        <v>0</v>
      </c>
      <c r="E383" s="163">
        <f>F383-C383</f>
        <v>0</v>
      </c>
      <c r="F383" s="164">
        <f>VLOOKUP(B383,[1]Quota!$B$81:$BJ$92,21,FALSE)</f>
        <v>0</v>
      </c>
      <c r="G383" s="163">
        <f>'[1]Cumulative '!X221</f>
        <v>0</v>
      </c>
      <c r="H383" s="165" t="str">
        <f t="shared" ref="H383:H397" si="169">IF(AND(F383&lt;=0),"n/a",IF(F383=0,0,100*G383/F383))</f>
        <v>n/a</v>
      </c>
      <c r="I383" s="164">
        <f>F383-G383</f>
        <v>0</v>
      </c>
      <c r="J383" s="163">
        <f>VLOOKUP(B383,[1]weeks!$B$156:$BO$193,24,FALSE)-VLOOKUP(B383,[1]weeks!$B$206:$BO$243,24,FALSE)</f>
        <v>0</v>
      </c>
      <c r="K383" s="163">
        <f>VLOOKUP(B383,[1]weeks!$B$107:$BO$144,24,FALSE)-VLOOKUP(B383,[1]weeks!$B$156:$BO$193,24,FALSE)</f>
        <v>0</v>
      </c>
      <c r="L383" s="163">
        <f>VLOOKUP(B383,[1]weeks!$B$55:$BO$94,24,FALSE)-VLOOKUP(B383,[1]weeks!$B$107:$BO$144,24,FALSE)</f>
        <v>0</v>
      </c>
      <c r="M383" s="163">
        <f>VLOOKUP(B383,[1]weeks!$B$5:$BO$44,24,FALSE)-VLOOKUP(B383,[1]weeks!$B$55:$BO$94,24,FALSE)</f>
        <v>0</v>
      </c>
      <c r="N383" s="163" t="str">
        <f>IF(F383&gt;0,M383/F383*100,"-")</f>
        <v>-</v>
      </c>
      <c r="O383" s="163">
        <f>SUM(J383:M383)/4</f>
        <v>0</v>
      </c>
      <c r="P383" s="146">
        <f>IF(ISNUMBER(VLOOKUP(B383,[1]Closures!B:BI,21,FALSE)),TEXT(VLOOKUP(B383,[1]Closures!B:BI,21,FALSE),"ddmmm"),IF(C383&lt;=0,0,IF(I383&lt;=0,0,IF(AND(C383&gt;0,O383&lt;=0),"&gt;52",IF(I383/O383&gt;52,"&gt;52", MAX(0,I383/O383-2))))))</f>
        <v>0</v>
      </c>
      <c r="S383" s="130"/>
    </row>
    <row r="384" spans="1:19" ht="10.7" customHeight="1" x14ac:dyDescent="0.2">
      <c r="A384" s="122"/>
      <c r="B384" s="161" t="s">
        <v>133</v>
      </c>
      <c r="C384" s="162">
        <f>'[2]IV&amp;VI Combined'!$S$30</f>
        <v>0</v>
      </c>
      <c r="D384" s="163">
        <f>F384-VLOOKUP(B384,[1]Quota!$B$32:$BJ$43,21,FALSE)</f>
        <v>0</v>
      </c>
      <c r="E384" s="163">
        <f t="shared" ref="E384:E397" si="170">F384-C384</f>
        <v>0</v>
      </c>
      <c r="F384" s="164">
        <f>VLOOKUP(B384,[1]Quota!$B$81:$BJ$92,21,FALSE)</f>
        <v>0</v>
      </c>
      <c r="G384" s="163">
        <f>'[1]Cumulative '!X222</f>
        <v>0</v>
      </c>
      <c r="H384" s="165" t="str">
        <f t="shared" si="169"/>
        <v>n/a</v>
      </c>
      <c r="I384" s="164">
        <f t="shared" ref="I384:I387" si="171">F384-G384</f>
        <v>0</v>
      </c>
      <c r="J384" s="163">
        <f>VLOOKUP(B384,[1]weeks!$B$156:$BO$193,24,FALSE)-VLOOKUP(B384,[1]weeks!$B$206:$BO$243,24,FALSE)</f>
        <v>0</v>
      </c>
      <c r="K384" s="163">
        <f>VLOOKUP(B384,[1]weeks!$B$107:$BO$144,24,FALSE)-VLOOKUP(B384,[1]weeks!$B$156:$BO$193,24,FALSE)</f>
        <v>0</v>
      </c>
      <c r="L384" s="163">
        <f>VLOOKUP(B384,[1]weeks!$B$55:$BO$94,24,FALSE)-VLOOKUP(B384,[1]weeks!$B$107:$BO$144,24,FALSE)</f>
        <v>0</v>
      </c>
      <c r="M384" s="163">
        <f>VLOOKUP(B384,[1]weeks!$B$5:$BO$44,24,FALSE)-VLOOKUP(B384,[1]weeks!$B$55:$BO$94,24,FALSE)</f>
        <v>0</v>
      </c>
      <c r="N384" s="163" t="str">
        <f t="shared" ref="N384:N397" si="172">IF(F384&gt;0,M384/F384*100,"-")</f>
        <v>-</v>
      </c>
      <c r="O384" s="163">
        <f t="shared" ref="O384:O393" si="173">SUM(J384:M384)/4</f>
        <v>0</v>
      </c>
      <c r="P384" s="146">
        <f>IF(ISNUMBER(VLOOKUP(B384,[1]Closures!B:BI,21,FALSE)),TEXT(VLOOKUP(B384,[1]Closures!B:BI,21,FALSE),"ddmmm"),IF(C384&lt;=0,0,IF(I384&lt;=0,0,IF(AND(C384&gt;0,O384&lt;=0),"&gt;52",IF(I384/O384&gt;52,"&gt;52", MAX(0,I384/O384-2))))))</f>
        <v>0</v>
      </c>
      <c r="S384" s="130"/>
    </row>
    <row r="385" spans="1:19" ht="10.7" customHeight="1" x14ac:dyDescent="0.2">
      <c r="A385" s="122"/>
      <c r="B385" s="161" t="s">
        <v>134</v>
      </c>
      <c r="C385" s="162">
        <f>'[2]IV&amp;VI Combined'!$S$31</f>
        <v>0</v>
      </c>
      <c r="D385" s="163">
        <f>F385-VLOOKUP(B385,[1]Quota!$B$32:$BJ$43,21,FALSE)</f>
        <v>0</v>
      </c>
      <c r="E385" s="163">
        <f t="shared" si="170"/>
        <v>0</v>
      </c>
      <c r="F385" s="164">
        <f>VLOOKUP(B385,[1]Quota!$B$81:$BJ$92,21,FALSE)</f>
        <v>0</v>
      </c>
      <c r="G385" s="163">
        <f>'[1]Cumulative '!X223</f>
        <v>0</v>
      </c>
      <c r="H385" s="165" t="str">
        <f t="shared" si="169"/>
        <v>n/a</v>
      </c>
      <c r="I385" s="164">
        <f t="shared" si="171"/>
        <v>0</v>
      </c>
      <c r="J385" s="163">
        <f>VLOOKUP(B385,[1]weeks!$B$156:$BO$193,24,FALSE)-VLOOKUP(B385,[1]weeks!$B$206:$BO$243,24,FALSE)</f>
        <v>0</v>
      </c>
      <c r="K385" s="163">
        <f>VLOOKUP(B385,[1]weeks!$B$107:$BO$144,24,FALSE)-VLOOKUP(B385,[1]weeks!$B$156:$BO$193,24,FALSE)</f>
        <v>0</v>
      </c>
      <c r="L385" s="163">
        <f>VLOOKUP(B385,[1]weeks!$B$55:$BO$94,24,FALSE)-VLOOKUP(B385,[1]weeks!$B$107:$BO$144,24,FALSE)</f>
        <v>0</v>
      </c>
      <c r="M385" s="163">
        <f>VLOOKUP(B385,[1]weeks!$B$5:$BO$44,24,FALSE)-VLOOKUP(B385,[1]weeks!$B$55:$BO$94,24,FALSE)</f>
        <v>0</v>
      </c>
      <c r="N385" s="163" t="str">
        <f t="shared" si="172"/>
        <v>-</v>
      </c>
      <c r="O385" s="163">
        <f t="shared" si="173"/>
        <v>0</v>
      </c>
      <c r="P385" s="146">
        <f>IF(ISNUMBER(VLOOKUP(B385,[1]Closures!B:BI,21,FALSE)),TEXT(VLOOKUP(B385,[1]Closures!B:BI,21,FALSE),"ddmmm"),IF(C385&lt;=0,0,IF(I385&lt;=0,0,IF(AND(C385&gt;0,O385&lt;=0),"&gt;52",IF(I385/O385&gt;52,"&gt;52", MAX(0,I385/O385-2))))))</f>
        <v>0</v>
      </c>
      <c r="S385" s="130"/>
    </row>
    <row r="386" spans="1:19" ht="10.7" customHeight="1" x14ac:dyDescent="0.2">
      <c r="A386" s="122"/>
      <c r="B386" s="161" t="s">
        <v>135</v>
      </c>
      <c r="C386" s="162">
        <f>'[2]IV&amp;VI Combined'!$S$32</f>
        <v>0</v>
      </c>
      <c r="D386" s="163">
        <f>F386-VLOOKUP(B386,[1]Quota!$B$32:$BJ$43,21,FALSE)</f>
        <v>0</v>
      </c>
      <c r="E386" s="163">
        <f t="shared" si="170"/>
        <v>0</v>
      </c>
      <c r="F386" s="164">
        <f>VLOOKUP(B386,[1]Quota!$B$81:$BJ$92,21,FALSE)</f>
        <v>0</v>
      </c>
      <c r="G386" s="163">
        <f>'[1]Cumulative '!X224</f>
        <v>0</v>
      </c>
      <c r="H386" s="165" t="str">
        <f t="shared" si="169"/>
        <v>n/a</v>
      </c>
      <c r="I386" s="164">
        <f t="shared" si="171"/>
        <v>0</v>
      </c>
      <c r="J386" s="163">
        <f>VLOOKUP(B386,[1]weeks!$B$156:$BO$193,24,FALSE)-VLOOKUP(B386,[1]weeks!$B$206:$BO$243,24,FALSE)</f>
        <v>0</v>
      </c>
      <c r="K386" s="163">
        <f>VLOOKUP(B386,[1]weeks!$B$107:$BO$144,24,FALSE)-VLOOKUP(B386,[1]weeks!$B$156:$BO$193,24,FALSE)</f>
        <v>0</v>
      </c>
      <c r="L386" s="163">
        <f>VLOOKUP(B386,[1]weeks!$B$55:$BO$94,24,FALSE)-VLOOKUP(B386,[1]weeks!$B$107:$BO$144,24,FALSE)</f>
        <v>0</v>
      </c>
      <c r="M386" s="163">
        <f>VLOOKUP(B386,[1]weeks!$B$5:$BO$44,24,FALSE)-VLOOKUP(B386,[1]weeks!$B$55:$BO$94,24,FALSE)</f>
        <v>0</v>
      </c>
      <c r="N386" s="163" t="str">
        <f t="shared" si="172"/>
        <v>-</v>
      </c>
      <c r="O386" s="163">
        <f t="shared" si="173"/>
        <v>0</v>
      </c>
      <c r="P386" s="146">
        <f>IF(ISNUMBER(VLOOKUP(B386,[1]Closures!B:BI,21,FALSE)),TEXT(VLOOKUP(B386,[1]Closures!B:BI,21,FALSE),"ddmmm"),IF(C386&lt;=0,0,IF(I386&lt;=0,0,IF(AND(C386&gt;0,O386&lt;=0),"&gt;52",IF(I386/O386&gt;52,"&gt;52", MAX(0,I386/O386-2))))))</f>
        <v>0</v>
      </c>
      <c r="S386" s="130"/>
    </row>
    <row r="387" spans="1:19" ht="10.7" customHeight="1" x14ac:dyDescent="0.2">
      <c r="A387" s="122"/>
      <c r="B387" s="161" t="s">
        <v>136</v>
      </c>
      <c r="C387" s="162"/>
      <c r="D387" s="163">
        <f>F387-VLOOKUP(B387,[1]Quota!$B$32:$BJ$43,21,FALSE)</f>
        <v>0</v>
      </c>
      <c r="E387" s="163"/>
      <c r="F387" s="164">
        <f>VLOOKUP(B387,[1]Quota!$B$81:$BJ$92,21,FALSE)</f>
        <v>0</v>
      </c>
      <c r="G387" s="163"/>
      <c r="H387" s="165" t="str">
        <f t="shared" si="169"/>
        <v>n/a</v>
      </c>
      <c r="I387" s="164">
        <f t="shared" si="171"/>
        <v>0</v>
      </c>
      <c r="J387" s="163"/>
      <c r="K387" s="163"/>
      <c r="L387" s="163"/>
      <c r="M387" s="163"/>
      <c r="N387" s="163"/>
      <c r="O387" s="163"/>
      <c r="P387" s="146"/>
      <c r="S387" s="130"/>
    </row>
    <row r="388" spans="1:19" ht="10.7" customHeight="1" x14ac:dyDescent="0.2">
      <c r="A388" s="122"/>
      <c r="B388" s="168" t="s">
        <v>137</v>
      </c>
      <c r="C388" s="162">
        <f>SUM(C383:C386)</f>
        <v>0</v>
      </c>
      <c r="D388" s="163">
        <f>SUM(D383:D387)</f>
        <v>0</v>
      </c>
      <c r="E388" s="163">
        <f t="shared" si="170"/>
        <v>0</v>
      </c>
      <c r="F388" s="217">
        <f t="shared" ref="F388" si="174">SUM(F383:F386)</f>
        <v>0</v>
      </c>
      <c r="G388" s="163">
        <f>SUM(G383:G386)</f>
        <v>0</v>
      </c>
      <c r="H388" s="165" t="str">
        <f t="shared" si="169"/>
        <v>n/a</v>
      </c>
      <c r="I388" s="217">
        <f t="shared" ref="I388:L388" si="175">SUM(I383:I386)</f>
        <v>0</v>
      </c>
      <c r="J388" s="163">
        <f t="shared" si="175"/>
        <v>0</v>
      </c>
      <c r="K388" s="163">
        <f t="shared" si="175"/>
        <v>0</v>
      </c>
      <c r="L388" s="163">
        <f t="shared" si="175"/>
        <v>0</v>
      </c>
      <c r="M388" s="163">
        <f>SUM(M383:M386)</f>
        <v>0</v>
      </c>
      <c r="N388" s="163" t="str">
        <f t="shared" si="172"/>
        <v>-</v>
      </c>
      <c r="O388" s="163">
        <f t="shared" si="173"/>
        <v>0</v>
      </c>
      <c r="P388" s="146">
        <f>IF(ISNUMBER(VLOOKUP(B388,[1]Closures!B:BI,21,FALSE)),TEXT(VLOOKUP(B388,[1]Closures!B:BI,21,FALSE),"ddmmm"),IF(C388&lt;=0,0,IF(I388&lt;=0,0,IF(AND(C388&gt;0,O388&lt;=0),"&gt;52",IF(I388/O388&gt;52,"&gt;52", MAX(0,I388/O388-2))))))</f>
        <v>0</v>
      </c>
      <c r="S388" s="130"/>
    </row>
    <row r="389" spans="1:19" ht="10.7" customHeight="1" x14ac:dyDescent="0.2">
      <c r="A389" s="122"/>
      <c r="B389" s="168"/>
      <c r="C389" s="162"/>
      <c r="D389" s="163"/>
      <c r="E389" s="163"/>
      <c r="F389" s="164"/>
      <c r="G389" s="163"/>
      <c r="H389" s="165"/>
      <c r="I389" s="164"/>
      <c r="J389" s="163"/>
      <c r="K389" s="163"/>
      <c r="L389" s="163"/>
      <c r="M389" s="163"/>
      <c r="N389" s="163" t="str">
        <f t="shared" si="172"/>
        <v>-</v>
      </c>
      <c r="O389" s="163"/>
      <c r="P389" s="146"/>
      <c r="S389" s="130"/>
    </row>
    <row r="390" spans="1:19" ht="10.7" customHeight="1" x14ac:dyDescent="0.2">
      <c r="A390" s="122"/>
      <c r="B390" s="174" t="s">
        <v>138</v>
      </c>
      <c r="C390" s="162">
        <f>'[2]IV&amp;VI Combined'!$S$36</f>
        <v>0</v>
      </c>
      <c r="D390" s="163">
        <f>F390-VLOOKUP(B390,[1]Quota!$B$32:$BJ$43,21,FALSE)</f>
        <v>0</v>
      </c>
      <c r="E390" s="163">
        <f t="shared" si="170"/>
        <v>0</v>
      </c>
      <c r="F390" s="164">
        <f>VLOOKUP(B390,[1]Quota!$B$81:$BJ$92,21,FALSE)</f>
        <v>0</v>
      </c>
      <c r="G390" s="163">
        <f>'[1]Cumulative '!X228</f>
        <v>0</v>
      </c>
      <c r="H390" s="165" t="str">
        <f t="shared" si="169"/>
        <v>n/a</v>
      </c>
      <c r="I390" s="164">
        <f t="shared" ref="I390:I397" si="176">F390-G390</f>
        <v>0</v>
      </c>
      <c r="J390" s="163">
        <f>VLOOKUP(B390,[1]weeks!$B$156:$BO$193,24,FALSE)-VLOOKUP(B390,[1]weeks!$B$206:$BO$243,24,FALSE)</f>
        <v>0</v>
      </c>
      <c r="K390" s="163">
        <f>VLOOKUP(B390,[1]weeks!$B$107:$BO$144,24,FALSE)-VLOOKUP(B390,[1]weeks!$B$156:$BO$193,24,FALSE)</f>
        <v>0</v>
      </c>
      <c r="L390" s="163">
        <f>VLOOKUP(B390,[1]weeks!$B$55:$BO$94,24,FALSE)-VLOOKUP(B390,[1]weeks!$B$107:$BO$144,24,FALSE)</f>
        <v>0</v>
      </c>
      <c r="M390" s="163">
        <f>VLOOKUP(B390,[1]weeks!$B$5:$BO$44,24,FALSE)-VLOOKUP(B390,[1]weeks!$B$55:$BO$94,24,FALSE)</f>
        <v>0</v>
      </c>
      <c r="N390" s="163" t="str">
        <f t="shared" si="172"/>
        <v>-</v>
      </c>
      <c r="O390" s="163">
        <f t="shared" si="173"/>
        <v>0</v>
      </c>
      <c r="P390" s="146">
        <f>IF(ISNUMBER(VLOOKUP(B390,[1]Closures!B:BI,21,FALSE)),TEXT(VLOOKUP(B390,[1]Closures!B:BI,21,FALSE),"ddmmm"),IF(C390&lt;=0,0,IF(I390&lt;=0,0,IF(AND(C390&gt;0,O390&lt;=0),"&gt;52",IF(I390/O390&gt;52,"&gt;52", MAX(0,I390/O390-2))))))</f>
        <v>0</v>
      </c>
      <c r="S390" s="130"/>
    </row>
    <row r="391" spans="1:19" ht="10.7" customHeight="1" x14ac:dyDescent="0.2">
      <c r="A391" s="122"/>
      <c r="B391" s="174" t="s">
        <v>139</v>
      </c>
      <c r="C391" s="162">
        <f>'[2]IV&amp;VI Combined'!$S$37</f>
        <v>0</v>
      </c>
      <c r="D391" s="163">
        <f>F391-VLOOKUP(B391,[1]Quota!$B$32:$BJ$43,21,FALSE)</f>
        <v>0</v>
      </c>
      <c r="E391" s="163">
        <f t="shared" si="170"/>
        <v>0</v>
      </c>
      <c r="F391" s="164">
        <f>VLOOKUP(B391,[1]Quota!$B$81:$BJ$92,21,FALSE)</f>
        <v>0</v>
      </c>
      <c r="G391" s="163">
        <f>'[1]Cumulative '!X229</f>
        <v>0</v>
      </c>
      <c r="H391" s="165" t="str">
        <f t="shared" si="169"/>
        <v>n/a</v>
      </c>
      <c r="I391" s="164">
        <f t="shared" si="176"/>
        <v>0</v>
      </c>
      <c r="J391" s="163">
        <f>VLOOKUP(B391,[1]weeks!$B$156:$BO$193,24,FALSE)-VLOOKUP(B391,[1]weeks!$B$206:$BO$243,24,FALSE)</f>
        <v>0</v>
      </c>
      <c r="K391" s="163">
        <f>VLOOKUP(B391,[1]weeks!$B$107:$BO$144,24,FALSE)-VLOOKUP(B391,[1]weeks!$B$156:$BO$193,24,FALSE)</f>
        <v>0</v>
      </c>
      <c r="L391" s="163">
        <f>VLOOKUP(B391,[1]weeks!$B$55:$BO$94,24,FALSE)-VLOOKUP(B391,[1]weeks!$B$107:$BO$144,24,FALSE)</f>
        <v>0</v>
      </c>
      <c r="M391" s="163">
        <f>VLOOKUP(B391,[1]weeks!$B$5:$BO$44,24,FALSE)-VLOOKUP(B391,[1]weeks!$B$55:$BO$94,24,FALSE)</f>
        <v>0</v>
      </c>
      <c r="N391" s="163" t="str">
        <f t="shared" si="172"/>
        <v>-</v>
      </c>
      <c r="O391" s="163">
        <f t="shared" si="173"/>
        <v>0</v>
      </c>
      <c r="P391" s="146">
        <f>IF(ISNUMBER(VLOOKUP(B391,[1]Closures!B:BI,21,FALSE)),TEXT(VLOOKUP(B391,[1]Closures!B:BI,21,FALSE),"ddmmm"),IF(C391&lt;=0,0,IF(I391&lt;=0,0,IF(AND(C391&gt;0,O391&lt;=0),"&gt;52",IF(I391/O391&gt;52,"&gt;52", MAX(0,I391/O391-2))))))</f>
        <v>0</v>
      </c>
      <c r="S391" s="130"/>
    </row>
    <row r="392" spans="1:19" ht="10.7" customHeight="1" x14ac:dyDescent="0.2">
      <c r="A392" s="122"/>
      <c r="B392" s="174" t="s">
        <v>140</v>
      </c>
      <c r="C392" s="162">
        <f>'[2]IV&amp;VI Combined'!$S$38</f>
        <v>0</v>
      </c>
      <c r="D392" s="163">
        <f>F392-VLOOKUP(B392,[1]Quota!$B$32:$BJ$43,21,FALSE)</f>
        <v>0</v>
      </c>
      <c r="E392" s="163">
        <f t="shared" si="170"/>
        <v>0</v>
      </c>
      <c r="F392" s="164">
        <f>VLOOKUP(B392,[1]Quota!$B$81:$BJ$92,21,FALSE)</f>
        <v>0</v>
      </c>
      <c r="G392" s="163">
        <f>'[1]Cumulative '!X230</f>
        <v>0</v>
      </c>
      <c r="H392" s="165" t="str">
        <f t="shared" si="169"/>
        <v>n/a</v>
      </c>
      <c r="I392" s="164">
        <f t="shared" si="176"/>
        <v>0</v>
      </c>
      <c r="J392" s="163">
        <f>VLOOKUP(B392,[1]weeks!$B$156:$BO$193,24,FALSE)-VLOOKUP(B392,[1]weeks!$B$206:$BO$243,24,FALSE)</f>
        <v>0</v>
      </c>
      <c r="K392" s="163">
        <f>VLOOKUP(B392,[1]weeks!$B$107:$BO$144,24,FALSE)-VLOOKUP(B392,[1]weeks!$B$156:$BO$193,24,FALSE)</f>
        <v>0</v>
      </c>
      <c r="L392" s="163">
        <f>VLOOKUP(B392,[1]weeks!$B$55:$BO$94,24,FALSE)-VLOOKUP(B392,[1]weeks!$B$107:$BO$144,24,FALSE)</f>
        <v>0</v>
      </c>
      <c r="M392" s="163">
        <f>VLOOKUP(B392,[1]weeks!$B$5:$BO$44,24,FALSE)-VLOOKUP(B392,[1]weeks!$B$55:$BO$94,24,FALSE)</f>
        <v>0</v>
      </c>
      <c r="N392" s="163" t="str">
        <f t="shared" si="172"/>
        <v>-</v>
      </c>
      <c r="O392" s="163">
        <f t="shared" si="173"/>
        <v>0</v>
      </c>
      <c r="P392" s="146">
        <f>IF(ISNUMBER(VLOOKUP(B392,[1]Closures!B:BI,21,FALSE)),TEXT(VLOOKUP(B392,[1]Closures!B:BI,21,FALSE),"ddmmm"),IF(C392&lt;=0,0,IF(I392&lt;=0,0,IF(AND(C392&gt;0,O392&lt;=0),"&gt;52",IF(I392/O392&gt;52,"&gt;52", MAX(0,I392/O392-2))))))</f>
        <v>0</v>
      </c>
      <c r="S392" s="130"/>
    </row>
    <row r="393" spans="1:19" ht="10.7" customHeight="1" x14ac:dyDescent="0.2">
      <c r="A393" s="122"/>
      <c r="B393" s="174" t="s">
        <v>141</v>
      </c>
      <c r="C393" s="162">
        <f>'[2]IV&amp;VI Combined'!$S$39</f>
        <v>0</v>
      </c>
      <c r="D393" s="163">
        <f>F393-VLOOKUP(B393,[1]Quota!$B$32:$BJ$43,21,FALSE)</f>
        <v>0</v>
      </c>
      <c r="E393" s="163">
        <f t="shared" si="170"/>
        <v>0</v>
      </c>
      <c r="F393" s="164">
        <f>VLOOKUP(B393,[1]Quota!$B$81:$BJ$92,21,FALSE)</f>
        <v>0</v>
      </c>
      <c r="G393" s="163">
        <f>'[1]Cumulative '!X231</f>
        <v>0</v>
      </c>
      <c r="H393" s="165" t="str">
        <f>IF(AND(F393&lt;=0),"n/a",IF(F393=0,0,100*G393/F393))</f>
        <v>n/a</v>
      </c>
      <c r="I393" s="164">
        <f t="shared" si="176"/>
        <v>0</v>
      </c>
      <c r="J393" s="163">
        <f>VLOOKUP(B393,[1]weeks!$B$156:$BO$193,24,FALSE)-VLOOKUP(B393,[1]weeks!$B$206:$BO$243,24,FALSE)</f>
        <v>0</v>
      </c>
      <c r="K393" s="163">
        <f>VLOOKUP(B393,[1]weeks!$B$107:$BO$144,24,FALSE)-VLOOKUP(B393,[1]weeks!$B$156:$BO$193,24,FALSE)</f>
        <v>0</v>
      </c>
      <c r="L393" s="163">
        <f>VLOOKUP(B393,[1]weeks!$B$55:$BO$94,24,FALSE)-VLOOKUP(B393,[1]weeks!$B$107:$BO$144,24,FALSE)</f>
        <v>0</v>
      </c>
      <c r="M393" s="163">
        <f>VLOOKUP(B393,[1]weeks!$B$5:$BO$44,24,FALSE)-VLOOKUP(B393,[1]weeks!$B$55:$BO$94,24,FALSE)</f>
        <v>0</v>
      </c>
      <c r="N393" s="163" t="str">
        <f t="shared" si="172"/>
        <v>-</v>
      </c>
      <c r="O393" s="163">
        <f t="shared" si="173"/>
        <v>0</v>
      </c>
      <c r="P393" s="146">
        <f>IF(ISNUMBER(VLOOKUP(B393,[1]Closures!B:BI,21,FALSE)),TEXT(VLOOKUP(B393,[1]Closures!B:BI,21,FALSE),"ddmmm"),IF(C393&lt;=0,0,IF(I393&lt;=0,0,IF(AND(C393&gt;0,O393&lt;=0),"&gt;52",IF(I393/O393&gt;52,"&gt;52", MAX(0,I393/O393-2))))))</f>
        <v>0</v>
      </c>
      <c r="S393" s="130"/>
    </row>
    <row r="394" spans="1:19" ht="10.7" customHeight="1" x14ac:dyDescent="0.2">
      <c r="A394" s="122"/>
      <c r="B394" s="174" t="s">
        <v>142</v>
      </c>
      <c r="C394" s="162"/>
      <c r="D394" s="163">
        <f>F394-VLOOKUP(B394,[1]Quota!$B$32:$BJ$43,21,FALSE)</f>
        <v>0</v>
      </c>
      <c r="E394" s="163"/>
      <c r="F394" s="164">
        <f>VLOOKUP(B394,[1]Quota!$B$81:$BJ$92,21,FALSE)</f>
        <v>0</v>
      </c>
      <c r="G394" s="163"/>
      <c r="H394" s="165" t="str">
        <f>IF(AND(F394&lt;=0),"n/a",IF(F394=0,0,100*G394/F394))</f>
        <v>n/a</v>
      </c>
      <c r="I394" s="164">
        <f>F394-G394</f>
        <v>0</v>
      </c>
      <c r="J394" s="163"/>
      <c r="K394" s="163"/>
      <c r="L394" s="163"/>
      <c r="M394" s="163"/>
      <c r="N394" s="163"/>
      <c r="O394" s="163"/>
      <c r="P394" s="146"/>
      <c r="S394" s="130"/>
    </row>
    <row r="395" spans="1:19" ht="10.7" customHeight="1" x14ac:dyDescent="0.2">
      <c r="A395" s="122"/>
      <c r="B395" s="168" t="s">
        <v>143</v>
      </c>
      <c r="C395" s="162">
        <f>SUM(C390:C394)</f>
        <v>0</v>
      </c>
      <c r="D395" s="163">
        <f>SUM(D390:D393)</f>
        <v>0</v>
      </c>
      <c r="E395" s="163">
        <f t="shared" si="170"/>
        <v>0</v>
      </c>
      <c r="F395" s="164">
        <f>SUM(F390:F394)</f>
        <v>0</v>
      </c>
      <c r="G395" s="163">
        <f>SUM(G390:G394)</f>
        <v>0</v>
      </c>
      <c r="H395" s="165" t="str">
        <f t="shared" si="169"/>
        <v>n/a</v>
      </c>
      <c r="I395" s="164">
        <f t="shared" si="176"/>
        <v>0</v>
      </c>
      <c r="J395" s="163">
        <f t="shared" ref="J395:L395" si="177">SUM(J390:J393)</f>
        <v>0</v>
      </c>
      <c r="K395" s="163">
        <f t="shared" si="177"/>
        <v>0</v>
      </c>
      <c r="L395" s="163">
        <f t="shared" si="177"/>
        <v>0</v>
      </c>
      <c r="M395" s="163">
        <f>SUM(M390:M393)</f>
        <v>0</v>
      </c>
      <c r="N395" s="163" t="str">
        <f t="shared" si="172"/>
        <v>-</v>
      </c>
      <c r="O395" s="163">
        <f>SUM(J395:M395)/4</f>
        <v>0</v>
      </c>
      <c r="P395" s="146">
        <f>IF(ISNUMBER(VLOOKUP(B395,[1]Closures!B:BI,21,FALSE)),TEXT(VLOOKUP(B395,[1]Closures!B:BI,21,FALSE),"ddmmm"),IF(C395&lt;=0,0,IF(I395&lt;=0,0,IF(AND(C395&gt;0,O395&lt;=0),"&gt;52",IF(I395/O395&gt;52,"&gt;52", MAX(0,I395/O395-2))))))</f>
        <v>0</v>
      </c>
      <c r="S395" s="130"/>
    </row>
    <row r="396" spans="1:19" ht="10.7" customHeight="1" x14ac:dyDescent="0.2">
      <c r="A396" s="122"/>
      <c r="B396" s="168"/>
      <c r="C396" s="162"/>
      <c r="D396" s="163"/>
      <c r="E396" s="163"/>
      <c r="F396" s="164"/>
      <c r="G396" s="163"/>
      <c r="H396" s="165"/>
      <c r="I396" s="164"/>
      <c r="J396" s="163"/>
      <c r="K396" s="163"/>
      <c r="L396" s="163"/>
      <c r="M396" s="163"/>
      <c r="N396" s="163"/>
      <c r="O396" s="163"/>
      <c r="P396" s="146"/>
      <c r="S396" s="130"/>
    </row>
    <row r="397" spans="1:19" ht="10.7" customHeight="1" x14ac:dyDescent="0.2">
      <c r="A397" s="122"/>
      <c r="B397" s="175" t="s">
        <v>112</v>
      </c>
      <c r="C397" s="176">
        <f>C395+C388</f>
        <v>0</v>
      </c>
      <c r="D397" s="180">
        <f>D395+D388</f>
        <v>0</v>
      </c>
      <c r="E397" s="180">
        <f t="shared" si="170"/>
        <v>0</v>
      </c>
      <c r="F397" s="189">
        <f>F395+F388</f>
        <v>0</v>
      </c>
      <c r="G397" s="180">
        <f>G395+G388</f>
        <v>0</v>
      </c>
      <c r="H397" s="179" t="str">
        <f t="shared" si="169"/>
        <v>n/a</v>
      </c>
      <c r="I397" s="218">
        <f t="shared" si="176"/>
        <v>0</v>
      </c>
      <c r="J397" s="180">
        <f t="shared" ref="J397:L397" si="178">J388+J395</f>
        <v>0</v>
      </c>
      <c r="K397" s="180">
        <f t="shared" si="178"/>
        <v>0</v>
      </c>
      <c r="L397" s="180">
        <f t="shared" si="178"/>
        <v>0</v>
      </c>
      <c r="M397" s="180">
        <f>M388+M395</f>
        <v>0</v>
      </c>
      <c r="N397" s="180" t="str">
        <f t="shared" si="172"/>
        <v>-</v>
      </c>
      <c r="O397" s="180">
        <f>SUM(J397:M397)/4</f>
        <v>0</v>
      </c>
      <c r="P397" s="153">
        <f>IF(ISNUMBER(VLOOKUP(B397,[1]Closures!B:BI,21,FALSE)),TEXT(VLOOKUP(B397,[1]Closures!B:BI,21,FALSE),"ddmmm"),IF(C397&lt;=0,0,IF(I397&lt;=0,0,IF(AND(C397&gt;0,O397&lt;=0),"&gt;52",IF(I397/O397&gt;52,"&gt;52", MAX(0,I397/O397-2))))))</f>
        <v>0</v>
      </c>
      <c r="S397" s="130"/>
    </row>
    <row r="398" spans="1:19" ht="10.7" customHeight="1" x14ac:dyDescent="0.2">
      <c r="A398" s="122"/>
      <c r="B398" s="212"/>
      <c r="C398" s="173"/>
      <c r="D398" s="163"/>
      <c r="E398" s="163"/>
      <c r="F398" s="164"/>
      <c r="G398" s="163"/>
      <c r="H398" s="165"/>
      <c r="I398" s="164"/>
      <c r="J398" s="163"/>
      <c r="K398" s="163"/>
      <c r="L398" s="163"/>
      <c r="M398" s="163"/>
      <c r="N398" s="163"/>
      <c r="O398" s="163"/>
      <c r="P398" s="182"/>
      <c r="S398" s="130"/>
    </row>
    <row r="399" spans="1:19" ht="10.7" customHeight="1" x14ac:dyDescent="0.2">
      <c r="A399" s="122"/>
      <c r="B399" s="131"/>
      <c r="C399" s="181"/>
      <c r="D399" s="163"/>
      <c r="E399" s="163"/>
      <c r="F399" s="164"/>
      <c r="G399" s="163"/>
      <c r="H399" s="2"/>
      <c r="I399" s="164"/>
      <c r="J399" s="163"/>
      <c r="K399" s="163"/>
      <c r="L399" s="163"/>
      <c r="M399" s="163"/>
      <c r="N399" s="163"/>
      <c r="O399" s="163"/>
      <c r="P399" s="182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202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tr">
        <f>C5</f>
        <v>Initial Quota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203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203" t="s">
        <v>74</v>
      </c>
      <c r="I402" s="147" t="s">
        <v>75</v>
      </c>
      <c r="J402" s="151">
        <f>[1]weeks!$B$154</f>
        <v>43166</v>
      </c>
      <c r="K402" s="151">
        <f>[1]weeks!$B$105</f>
        <v>43173</v>
      </c>
      <c r="L402" s="151">
        <f>[1]weeks!$B$55</f>
        <v>43180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204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6"/>
      <c r="C404" s="207" t="s">
        <v>175</v>
      </c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4"/>
      <c r="P404" s="145"/>
      <c r="S404" s="130"/>
    </row>
    <row r="405" spans="1:19" ht="10.7" customHeight="1" x14ac:dyDescent="0.2">
      <c r="A405" s="122"/>
      <c r="B405" s="161" t="s">
        <v>132</v>
      </c>
      <c r="C405" s="162">
        <f>'[2]IV&amp;VI Combined'!$V$29</f>
        <v>53.7</v>
      </c>
      <c r="D405" s="163">
        <f>F405-VLOOKUP(B405,[1]Quota!$B$32:$BJ$43,24,FALSE)</f>
        <v>0</v>
      </c>
      <c r="E405" s="163">
        <f>F405-C405</f>
        <v>0</v>
      </c>
      <c r="F405" s="164">
        <f>VLOOKUP(B405,[1]Quota!$B$81:$BJ$92,24,FALSE)</f>
        <v>53.7</v>
      </c>
      <c r="G405" s="163">
        <f>'[1]Cumulative '!AA221</f>
        <v>0</v>
      </c>
      <c r="H405" s="165">
        <f t="shared" ref="H405:H419" si="179">IF(AND(F405&lt;=0),"n/a",IF(F405=0,0,100*G405/F405))</f>
        <v>0</v>
      </c>
      <c r="I405" s="164">
        <f>F405-G405</f>
        <v>53.7</v>
      </c>
      <c r="J405" s="163">
        <f>VLOOKUP(B405,[1]weeks!$B$156:$BO$193,25,FALSE)-VLOOKUP(B405,[1]weeks!$B$206:$BO$243,25,FALSE)</f>
        <v>0</v>
      </c>
      <c r="K405" s="163">
        <f>VLOOKUP(B405,[1]weeks!$B$107:$BO$144,25,FALSE)-VLOOKUP(B405,[1]weeks!$B$156:$BO$193,25,FALSE)</f>
        <v>0</v>
      </c>
      <c r="L405" s="163">
        <f>VLOOKUP(B405,[1]weeks!$B$55:$BO$94,25,FALSE)-VLOOKUP(B405,[1]weeks!$B$107:$BO$144,25,FALSE)</f>
        <v>0</v>
      </c>
      <c r="M405" s="163">
        <f>VLOOKUP(B405,[1]weeks!$B$5:$BO$44,25,FALSE)-VLOOKUP(B405,[1]weeks!$B$55:$BO$94,25,FALSE)+M449</f>
        <v>0</v>
      </c>
      <c r="N405" s="163">
        <f>IF(F405&gt;0,M405/F405*100,"-")</f>
        <v>0</v>
      </c>
      <c r="O405" s="163">
        <f>SUM(J405:M405)/4</f>
        <v>0</v>
      </c>
      <c r="P405" s="146" t="str">
        <f>IF(ISNUMBER(VLOOKUP(B405,[1]Closures!B:BI,22,FALSE)),TEXT(VLOOKUP(B405,[1]Closures!B:BI,22,FALSE),"ddmmm"),IF(C405&lt;=0,0,IF(I405&lt;=0,0,IF(AND(C405&gt;0,O405&lt;=0),"&gt;52",IF(I405/O405&gt;52,"&gt;52", MAX(0,I405/O405-2))))))</f>
        <v>01Jan</v>
      </c>
      <c r="S405" s="130"/>
    </row>
    <row r="406" spans="1:19" ht="10.7" customHeight="1" x14ac:dyDescent="0.2">
      <c r="A406" s="122"/>
      <c r="B406" s="161" t="s">
        <v>133</v>
      </c>
      <c r="C406" s="162">
        <f>'[2]IV&amp;VI Combined'!$V$30</f>
        <v>0</v>
      </c>
      <c r="D406" s="163">
        <f>F406-VLOOKUP(B406,[1]Quota!$B$32:$BJ$43,24,FALSE)</f>
        <v>0</v>
      </c>
      <c r="E406" s="163">
        <f t="shared" ref="E406:E419" si="180">F406-C406</f>
        <v>0</v>
      </c>
      <c r="F406" s="164">
        <f>VLOOKUP(B406,[1]Quota!$B$81:$BJ$92,24,FALSE)</f>
        <v>0</v>
      </c>
      <c r="G406" s="163">
        <f>'[1]Cumulative '!AA222</f>
        <v>0</v>
      </c>
      <c r="H406" s="165" t="str">
        <f t="shared" si="179"/>
        <v>n/a</v>
      </c>
      <c r="I406" s="164">
        <f t="shared" ref="I406:I409" si="181">F406-G406</f>
        <v>0</v>
      </c>
      <c r="J406" s="163">
        <f>VLOOKUP(B406,[1]weeks!$B$156:$BO$193,25,FALSE)-VLOOKUP(B406,[1]weeks!$B$206:$BO$243,25,FALSE)</f>
        <v>0</v>
      </c>
      <c r="K406" s="163">
        <f>VLOOKUP(B406,[1]weeks!$B$107:$BO$144,25,FALSE)-VLOOKUP(B406,[1]weeks!$B$156:$BO$193,25,FALSE)</f>
        <v>0</v>
      </c>
      <c r="L406" s="163">
        <f>VLOOKUP(B406,[1]weeks!$B$55:$BO$94,25,FALSE)-VLOOKUP(B406,[1]weeks!$B$107:$BO$144,25,FALSE)</f>
        <v>0</v>
      </c>
      <c r="M406" s="163">
        <f>VLOOKUP(B406,[1]weeks!$B$5:$BO$44,25,FALSE)-VLOOKUP(B406,[1]weeks!$B$55:$BO$94,25,FALSE)+M450</f>
        <v>0</v>
      </c>
      <c r="N406" s="163" t="str">
        <f t="shared" ref="N406:N419" si="182">IF(F406&gt;0,M406/F406*100,"-")</f>
        <v>-</v>
      </c>
      <c r="O406" s="163">
        <f>SUM(J406:M406)/4</f>
        <v>0</v>
      </c>
      <c r="P406" s="146" t="str">
        <f>IF(ISNUMBER(VLOOKUP(B406,[1]Closures!B:BI,22,FALSE)),TEXT(VLOOKUP(B406,[1]Closures!B:BI,22,FALSE),"ddmmm"),IF(C406&lt;=0,0,IF(I406&lt;=0,0,IF(AND(C406&gt;0,O406&lt;=0),"&gt;52",IF(I406/O406&gt;52,"&gt;52", MAX(0,I406/O406-2))))))</f>
        <v>01Jan</v>
      </c>
      <c r="S406" s="130"/>
    </row>
    <row r="407" spans="1:19" ht="10.7" customHeight="1" x14ac:dyDescent="0.2">
      <c r="A407" s="122"/>
      <c r="B407" s="161" t="s">
        <v>134</v>
      </c>
      <c r="C407" s="162">
        <f>'[2]IV&amp;VI Combined'!$V$31</f>
        <v>0</v>
      </c>
      <c r="D407" s="163">
        <f>F407-VLOOKUP(B407,[1]Quota!$B$32:$BJ$43,24,FALSE)</f>
        <v>0</v>
      </c>
      <c r="E407" s="163">
        <f t="shared" si="180"/>
        <v>0</v>
      </c>
      <c r="F407" s="164">
        <f>VLOOKUP(B407,[1]Quota!$B$81:$BJ$92,24,FALSE)</f>
        <v>0</v>
      </c>
      <c r="G407" s="163">
        <f>'[1]Cumulative '!AA223</f>
        <v>0</v>
      </c>
      <c r="H407" s="165" t="str">
        <f t="shared" si="179"/>
        <v>n/a</v>
      </c>
      <c r="I407" s="164">
        <f t="shared" si="181"/>
        <v>0</v>
      </c>
      <c r="J407" s="163">
        <f>VLOOKUP(B407,[1]weeks!$B$156:$BO$193,25,FALSE)-VLOOKUP(B407,[1]weeks!$B$206:$BO$243,25,FALSE)</f>
        <v>0</v>
      </c>
      <c r="K407" s="163">
        <f>VLOOKUP(B407,[1]weeks!$B$107:$BO$144,25,FALSE)-VLOOKUP(B407,[1]weeks!$B$156:$BO$193,25,FALSE)</f>
        <v>0</v>
      </c>
      <c r="L407" s="163">
        <f>VLOOKUP(B407,[1]weeks!$B$55:$BO$94,25,FALSE)-VLOOKUP(B407,[1]weeks!$B$107:$BO$144,25,FALSE)</f>
        <v>0</v>
      </c>
      <c r="M407" s="163">
        <f>VLOOKUP(B407,[1]weeks!$B$5:$BO$44,25,FALSE)-VLOOKUP(B407,[1]weeks!$B$55:$BO$94,25,FALSE)+M451</f>
        <v>0</v>
      </c>
      <c r="N407" s="163" t="str">
        <f t="shared" si="182"/>
        <v>-</v>
      </c>
      <c r="O407" s="163">
        <f>SUM(J407:M407)/4</f>
        <v>0</v>
      </c>
      <c r="P407" s="146" t="str">
        <f>IF(ISNUMBER(VLOOKUP(B407,[1]Closures!B:BI,22,FALSE)),TEXT(VLOOKUP(B407,[1]Closures!B:BI,22,FALSE),"ddmmm"),IF(C407&lt;=0,0,IF(I407&lt;=0,0,IF(AND(C407&gt;0,O407&lt;=0),"&gt;52",IF(I407/O407&gt;52,"&gt;52", MAX(0,I407/O407-2))))))</f>
        <v>01Jan</v>
      </c>
      <c r="S407" s="130"/>
    </row>
    <row r="408" spans="1:19" ht="10.7" customHeight="1" x14ac:dyDescent="0.2">
      <c r="A408" s="122"/>
      <c r="B408" s="161" t="s">
        <v>135</v>
      </c>
      <c r="C408" s="162">
        <f>'[2]IV&amp;VI Combined'!$V$32</f>
        <v>0</v>
      </c>
      <c r="D408" s="163">
        <f>F408-VLOOKUP(B408,[1]Quota!$B$32:$BJ$43,24,FALSE)</f>
        <v>0</v>
      </c>
      <c r="E408" s="163">
        <f t="shared" si="180"/>
        <v>0</v>
      </c>
      <c r="F408" s="164">
        <f>VLOOKUP(B408,[1]Quota!$B$81:$BJ$92,24,FALSE)</f>
        <v>0</v>
      </c>
      <c r="G408" s="163">
        <f>'[1]Cumulative '!AA224</f>
        <v>0</v>
      </c>
      <c r="H408" s="165" t="str">
        <f t="shared" si="179"/>
        <v>n/a</v>
      </c>
      <c r="I408" s="164">
        <f t="shared" si="181"/>
        <v>0</v>
      </c>
      <c r="J408" s="163">
        <f>VLOOKUP(B408,[1]weeks!$B$156:$BO$193,25,FALSE)-VLOOKUP(B408,[1]weeks!$B$206:$BO$243,25,FALSE)</f>
        <v>0</v>
      </c>
      <c r="K408" s="163">
        <f>VLOOKUP(B408,[1]weeks!$B$107:$BO$144,25,FALSE)-VLOOKUP(B408,[1]weeks!$B$156:$BO$193,25,FALSE)</f>
        <v>0</v>
      </c>
      <c r="L408" s="163">
        <f>VLOOKUP(B408,[1]weeks!$B$55:$BO$94,25,FALSE)-VLOOKUP(B408,[1]weeks!$B$107:$BO$144,25,FALSE)</f>
        <v>0</v>
      </c>
      <c r="M408" s="163">
        <f>VLOOKUP(B408,[1]weeks!$B$5:$BO$44,25,FALSE)-VLOOKUP(B408,[1]weeks!$B$55:$BO$94,25,FALSE)+M452</f>
        <v>0</v>
      </c>
      <c r="N408" s="163" t="str">
        <f t="shared" si="182"/>
        <v>-</v>
      </c>
      <c r="O408" s="163">
        <f>SUM(J408:M408)/4</f>
        <v>0</v>
      </c>
      <c r="P408" s="146" t="str">
        <f>IF(ISNUMBER(VLOOKUP(B408,[1]Closures!B:BI,22,FALSE)),TEXT(VLOOKUP(B408,[1]Closures!B:BI,22,FALSE),"ddmmm"),IF(C408&lt;=0,0,IF(I408&lt;=0,0,IF(AND(C408&gt;0,O408&lt;=0),"&gt;52",IF(I408/O408&gt;52,"&gt;52", MAX(0,I408/O408-2))))))</f>
        <v>01Jan</v>
      </c>
      <c r="S408" s="130"/>
    </row>
    <row r="409" spans="1:19" ht="10.7" customHeight="1" x14ac:dyDescent="0.2">
      <c r="A409" s="122"/>
      <c r="B409" s="161" t="s">
        <v>136</v>
      </c>
      <c r="C409" s="162"/>
      <c r="D409" s="163">
        <f>F409-VLOOKUP(B409,[1]Quota!$B$32:$BJ$43,24,FALSE)</f>
        <v>0</v>
      </c>
      <c r="E409" s="163"/>
      <c r="F409" s="164">
        <f>VLOOKUP(B409,[1]Quota!$B$81:$BJ$92,24,FALSE)</f>
        <v>0</v>
      </c>
      <c r="G409" s="163"/>
      <c r="H409" s="165" t="str">
        <f t="shared" si="179"/>
        <v>n/a</v>
      </c>
      <c r="I409" s="164">
        <f t="shared" si="181"/>
        <v>0</v>
      </c>
      <c r="J409" s="163"/>
      <c r="K409" s="163"/>
      <c r="L409" s="163"/>
      <c r="M409" s="163"/>
      <c r="N409" s="163"/>
      <c r="O409" s="163"/>
      <c r="P409" s="146"/>
      <c r="S409" s="130"/>
    </row>
    <row r="410" spans="1:19" ht="10.7" customHeight="1" x14ac:dyDescent="0.2">
      <c r="A410" s="122"/>
      <c r="B410" s="168" t="s">
        <v>137</v>
      </c>
      <c r="C410" s="162">
        <f>SUM(C405:C408)</f>
        <v>53.7</v>
      </c>
      <c r="D410" s="163">
        <f>SUM(D405:D409)</f>
        <v>0</v>
      </c>
      <c r="E410" s="163">
        <f t="shared" si="180"/>
        <v>0</v>
      </c>
      <c r="F410" s="217">
        <f t="shared" ref="F410" si="183">SUM(F405:F408)</f>
        <v>53.7</v>
      </c>
      <c r="G410" s="163">
        <f>SUM(G405:G408)</f>
        <v>0</v>
      </c>
      <c r="H410" s="165">
        <f t="shared" si="179"/>
        <v>0</v>
      </c>
      <c r="I410" s="217">
        <f t="shared" ref="I410:L410" si="184">SUM(I405:I408)</f>
        <v>53.7</v>
      </c>
      <c r="J410" s="163">
        <f t="shared" si="184"/>
        <v>0</v>
      </c>
      <c r="K410" s="163">
        <f t="shared" si="184"/>
        <v>0</v>
      </c>
      <c r="L410" s="163">
        <f t="shared" si="184"/>
        <v>0</v>
      </c>
      <c r="M410" s="163">
        <f>SUM(M405:M408)</f>
        <v>0</v>
      </c>
      <c r="N410" s="163">
        <f t="shared" si="182"/>
        <v>0</v>
      </c>
      <c r="O410" s="163">
        <f>SUM(J410:M410)/4</f>
        <v>0</v>
      </c>
      <c r="P410" s="146" t="str">
        <f>IF(ISNUMBER(VLOOKUP(B410,[1]Closures!B:BI,22,FALSE)),TEXT(VLOOKUP(B410,[1]Closures!B:BI,22,FALSE),"ddmmm"),IF(C410&lt;=0,0,IF(I410&lt;=0,0,IF(AND(C410&gt;0,O410&lt;=0),"&gt;52",IF(I410/O410&gt;52,"&gt;52", MAX(0,I410/O410-2))))))</f>
        <v>&gt;52</v>
      </c>
      <c r="S410" s="130"/>
    </row>
    <row r="411" spans="1:19" ht="10.7" customHeight="1" x14ac:dyDescent="0.2">
      <c r="A411" s="122"/>
      <c r="B411" s="168"/>
      <c r="C411" s="162"/>
      <c r="D411" s="163"/>
      <c r="E411" s="163"/>
      <c r="F411" s="164"/>
      <c r="G411" s="163"/>
      <c r="H411" s="165"/>
      <c r="I411" s="164"/>
      <c r="J411" s="163"/>
      <c r="K411" s="163"/>
      <c r="L411" s="163"/>
      <c r="M411" s="163"/>
      <c r="N411" s="163" t="str">
        <f t="shared" si="182"/>
        <v>-</v>
      </c>
      <c r="O411" s="163"/>
      <c r="P411" s="146"/>
      <c r="S411" s="130"/>
    </row>
    <row r="412" spans="1:19" ht="10.7" customHeight="1" x14ac:dyDescent="0.2">
      <c r="A412" s="122"/>
      <c r="B412" s="174" t="s">
        <v>138</v>
      </c>
      <c r="C412" s="162">
        <f>'[2]IV&amp;VI Combined'!$V$36</f>
        <v>53.7</v>
      </c>
      <c r="D412" s="163">
        <f>F412-VLOOKUP(B412,[1]Quota!$B$32:$BJ$43,24,FALSE)</f>
        <v>0</v>
      </c>
      <c r="E412" s="163">
        <f t="shared" si="180"/>
        <v>0</v>
      </c>
      <c r="F412" s="164">
        <f>VLOOKUP(B412,[1]Quota!$B$81:$BJ$92,24,FALSE)</f>
        <v>53.7</v>
      </c>
      <c r="G412" s="163">
        <f>'[1]Cumulative '!Z228</f>
        <v>0</v>
      </c>
      <c r="H412" s="165">
        <f t="shared" si="179"/>
        <v>0</v>
      </c>
      <c r="I412" s="164">
        <f t="shared" ref="I412:I419" si="185">F412-G412</f>
        <v>53.7</v>
      </c>
      <c r="J412" s="163">
        <f>VLOOKUP(B412,[1]weeks!$B$156:$BO$193,25,FALSE)-VLOOKUP(B412,[1]weeks!$B$206:$BO$243,25,FALSE)</f>
        <v>0</v>
      </c>
      <c r="K412" s="163">
        <f>VLOOKUP(B412,[1]weeks!$B$107:$BO$144,25,FALSE)-VLOOKUP(B412,[1]weeks!$B$156:$BO$193,25,FALSE)</f>
        <v>0</v>
      </c>
      <c r="L412" s="163">
        <f>VLOOKUP(B412,[1]weeks!$B$55:$BO$94,25,FALSE)-VLOOKUP(B412,[1]weeks!$B$107:$BO$144,25,FALSE)</f>
        <v>0</v>
      </c>
      <c r="M412" s="163">
        <f>VLOOKUP(B412,[1]weeks!$B$5:$BO$44,25,FALSE)-VLOOKUP(B412,[1]weeks!$B$55:$BO$94,25,FALSE)+M456</f>
        <v>0</v>
      </c>
      <c r="N412" s="163">
        <f t="shared" si="182"/>
        <v>0</v>
      </c>
      <c r="O412" s="163">
        <f>SUM(J412:M412)/4</f>
        <v>0</v>
      </c>
      <c r="P412" s="146" t="str">
        <f>IF(ISNUMBER(VLOOKUP(B412,[1]Closures!B:BI,22,FALSE)),TEXT(VLOOKUP(B412,[1]Closures!B:BI,22,FALSE),"ddmmm"),IF(C412&lt;=0,0,IF(I412&lt;=0,0,IF(AND(C412&gt;0,O412&lt;=0),"&gt;52",IF(I412/O412&gt;52,"&gt;52", MAX(0,I412/O412-2))))))</f>
        <v>&gt;52</v>
      </c>
      <c r="S412" s="130"/>
    </row>
    <row r="413" spans="1:19" ht="10.7" customHeight="1" x14ac:dyDescent="0.2">
      <c r="A413" s="122"/>
      <c r="B413" s="174" t="s">
        <v>139</v>
      </c>
      <c r="C413" s="162">
        <f>'[2]IV&amp;VI Combined'!$V$37</f>
        <v>0</v>
      </c>
      <c r="D413" s="163">
        <f>F413-VLOOKUP(B413,[1]Quota!$B$32:$BJ$43,24,FALSE)</f>
        <v>0</v>
      </c>
      <c r="E413" s="163">
        <f t="shared" si="180"/>
        <v>0</v>
      </c>
      <c r="F413" s="164">
        <f>VLOOKUP(B413,[1]Quota!$B$81:$BJ$92,24,FALSE)</f>
        <v>0</v>
      </c>
      <c r="G413" s="163">
        <f>'[1]Cumulative '!Z229</f>
        <v>0</v>
      </c>
      <c r="H413" s="165" t="str">
        <f t="shared" si="179"/>
        <v>n/a</v>
      </c>
      <c r="I413" s="164">
        <f t="shared" si="185"/>
        <v>0</v>
      </c>
      <c r="J413" s="163">
        <f>VLOOKUP(B413,[1]weeks!$B$156:$BO$193,25,FALSE)-VLOOKUP(B413,[1]weeks!$B$206:$BO$243,25,FALSE)</f>
        <v>0</v>
      </c>
      <c r="K413" s="163">
        <f>VLOOKUP(B413,[1]weeks!$B$107:$BO$144,25,FALSE)-VLOOKUP(B413,[1]weeks!$B$156:$BO$193,25,FALSE)</f>
        <v>0</v>
      </c>
      <c r="L413" s="163">
        <f>VLOOKUP(B413,[1]weeks!$B$55:$BO$94,25,FALSE)-VLOOKUP(B413,[1]weeks!$B$107:$BO$144,25,FALSE)</f>
        <v>0</v>
      </c>
      <c r="M413" s="163">
        <f>VLOOKUP(B413,[1]weeks!$B$5:$BO$44,25,FALSE)-VLOOKUP(B413,[1]weeks!$B$55:$BO$94,25,FALSE)+M457</f>
        <v>0</v>
      </c>
      <c r="N413" s="163" t="str">
        <f t="shared" si="182"/>
        <v>-</v>
      </c>
      <c r="O413" s="163">
        <f t="shared" ref="O413:O415" si="186">SUM(J413:M413)/4</f>
        <v>0</v>
      </c>
      <c r="P413" s="146">
        <f>IF(ISNUMBER(VLOOKUP(B413,[1]Closures!B:BI,22,FALSE)),TEXT(VLOOKUP(B413,[1]Closures!B:BI,22,FALSE),"ddmmm"),IF(C413&lt;=0,0,IF(I413&lt;=0,0,IF(AND(C413&gt;0,O413&lt;=0),"&gt;52",IF(I413/O413&gt;52,"&gt;52", MAX(0,I413/O413-2))))))</f>
        <v>0</v>
      </c>
      <c r="S413" s="130"/>
    </row>
    <row r="414" spans="1:19" ht="10.7" customHeight="1" x14ac:dyDescent="0.2">
      <c r="A414" s="122"/>
      <c r="B414" s="174" t="s">
        <v>140</v>
      </c>
      <c r="C414" s="162">
        <f>'[2]IV&amp;VI Combined'!$V$38</f>
        <v>0</v>
      </c>
      <c r="D414" s="163">
        <f>F414-VLOOKUP(B414,[1]Quota!$B$32:$BJ$43,24,FALSE)</f>
        <v>0</v>
      </c>
      <c r="E414" s="163">
        <f t="shared" si="180"/>
        <v>0</v>
      </c>
      <c r="F414" s="164">
        <f>VLOOKUP(B414,[1]Quota!$B$81:$BJ$92,24,FALSE)</f>
        <v>0</v>
      </c>
      <c r="G414" s="163">
        <f>'[1]Cumulative '!Z230</f>
        <v>0</v>
      </c>
      <c r="H414" s="165" t="str">
        <f>IF(AND(F414&lt;=0),"n/a",IF(F414=0,0,100*G414/F414))</f>
        <v>n/a</v>
      </c>
      <c r="I414" s="164">
        <f t="shared" si="185"/>
        <v>0</v>
      </c>
      <c r="J414" s="163">
        <f>VLOOKUP(B414,[1]weeks!$B$156:$BO$193,25,FALSE)-VLOOKUP(B414,[1]weeks!$B$206:$BO$243,25,FALSE)</f>
        <v>0</v>
      </c>
      <c r="K414" s="163">
        <f>VLOOKUP(B414,[1]weeks!$B$107:$BO$144,25,FALSE)-VLOOKUP(B414,[1]weeks!$B$156:$BO$193,25,FALSE)</f>
        <v>0</v>
      </c>
      <c r="L414" s="163">
        <f>VLOOKUP(B414,[1]weeks!$B$55:$BO$94,25,FALSE)-VLOOKUP(B414,[1]weeks!$B$107:$BO$144,25,FALSE)</f>
        <v>0</v>
      </c>
      <c r="M414" s="163">
        <f>VLOOKUP(B414,[1]weeks!$B$5:$BO$44,25,FALSE)-VLOOKUP(B414,[1]weeks!$B$55:$BO$94,25,FALSE)+M458</f>
        <v>0</v>
      </c>
      <c r="N414" s="163" t="str">
        <f t="shared" si="182"/>
        <v>-</v>
      </c>
      <c r="O414" s="163">
        <f t="shared" si="186"/>
        <v>0</v>
      </c>
      <c r="P414" s="146">
        <f>IF(ISNUMBER(VLOOKUP(B414,[1]Closures!B:BI,22,FALSE)),TEXT(VLOOKUP(B414,[1]Closures!B:BI,22,FALSE),"ddmmm"),IF(C414&lt;=0,0,IF(I414&lt;=0,0,IF(AND(C414&gt;0,O414&lt;=0),"&gt;52",IF(I414/O414&gt;52,"&gt;52", MAX(0,I414/O414-2))))))</f>
        <v>0</v>
      </c>
      <c r="S414" s="130"/>
    </row>
    <row r="415" spans="1:19" ht="10.7" customHeight="1" x14ac:dyDescent="0.2">
      <c r="A415" s="122"/>
      <c r="B415" s="174" t="s">
        <v>141</v>
      </c>
      <c r="C415" s="162">
        <f>'[2]IV&amp;VI Combined'!$V$39</f>
        <v>0</v>
      </c>
      <c r="D415" s="163">
        <f>F415-VLOOKUP(B415,[1]Quota!$B$32:$BJ$43,24,FALSE)</f>
        <v>0</v>
      </c>
      <c r="E415" s="163">
        <f t="shared" si="180"/>
        <v>0</v>
      </c>
      <c r="F415" s="164">
        <f>VLOOKUP(B415,[1]Quota!$B$81:$BJ$92,24,FALSE)</f>
        <v>0</v>
      </c>
      <c r="G415" s="163">
        <f>'[1]Cumulative '!Z231</f>
        <v>0</v>
      </c>
      <c r="H415" s="165" t="str">
        <f>IF(AND(F415&lt;=0),"n/a",IF(F415=0,0,100*G415/F415))</f>
        <v>n/a</v>
      </c>
      <c r="I415" s="164">
        <f t="shared" si="185"/>
        <v>0</v>
      </c>
      <c r="J415" s="163">
        <f>VLOOKUP(B415,[1]weeks!$B$156:$BO$193,25,FALSE)-VLOOKUP(B415,[1]weeks!$B$206:$BO$243,25,FALSE)</f>
        <v>0</v>
      </c>
      <c r="K415" s="163">
        <f>VLOOKUP(B415,[1]weeks!$B$107:$BO$144,25,FALSE)-VLOOKUP(B415,[1]weeks!$B$156:$BO$193,25,FALSE)</f>
        <v>0</v>
      </c>
      <c r="L415" s="163">
        <f>VLOOKUP(B415,[1]weeks!$B$55:$BO$94,25,FALSE)-VLOOKUP(B415,[1]weeks!$B$107:$BO$144,25,FALSE)</f>
        <v>0</v>
      </c>
      <c r="M415" s="163">
        <f>VLOOKUP(B415,[1]weeks!$B$5:$BO$44,25,FALSE)-VLOOKUP(B415,[1]weeks!$B$55:$BO$94,25,FALSE)+M459</f>
        <v>0</v>
      </c>
      <c r="N415" s="163" t="str">
        <f t="shared" si="182"/>
        <v>-</v>
      </c>
      <c r="O415" s="163">
        <f t="shared" si="186"/>
        <v>0</v>
      </c>
      <c r="P415" s="146">
        <f>IF(ISNUMBER(VLOOKUP(B415,[1]Closures!B:BI,22,FALSE)),TEXT(VLOOKUP(B415,[1]Closures!B:BI,22,FALSE),"ddmmm"),IF(C415&lt;=0,0,IF(I415&lt;=0,0,IF(AND(C415&gt;0,O415&lt;=0),"&gt;52",IF(I415/O415&gt;52,"&gt;52", MAX(0,I415/O415-2))))))</f>
        <v>0</v>
      </c>
      <c r="S415" s="130"/>
    </row>
    <row r="416" spans="1:19" ht="10.7" customHeight="1" x14ac:dyDescent="0.2">
      <c r="A416" s="122"/>
      <c r="B416" s="174" t="s">
        <v>142</v>
      </c>
      <c r="C416" s="162"/>
      <c r="D416" s="163">
        <f>F416-VLOOKUP(B416,[1]Quota!$B$32:$BJ$43,24,FALSE)</f>
        <v>0</v>
      </c>
      <c r="E416" s="163"/>
      <c r="F416" s="164">
        <f>VLOOKUP(B416,[1]Quota!$B$81:$BJ$92,24,FALSE)</f>
        <v>0</v>
      </c>
      <c r="G416" s="163"/>
      <c r="H416" s="165" t="str">
        <f t="shared" ref="H416" si="187">IF(AND(F416&lt;=0),"n/a",IF(F416=0,0,100*G416/F416))</f>
        <v>n/a</v>
      </c>
      <c r="I416" s="164">
        <f t="shared" si="185"/>
        <v>0</v>
      </c>
      <c r="J416" s="163"/>
      <c r="K416" s="163"/>
      <c r="L416" s="163"/>
      <c r="M416" s="163"/>
      <c r="N416" s="163"/>
      <c r="O416" s="163"/>
      <c r="P416" s="146"/>
      <c r="S416" s="130"/>
    </row>
    <row r="417" spans="1:19" ht="10.7" customHeight="1" x14ac:dyDescent="0.2">
      <c r="A417" s="122"/>
      <c r="B417" s="168" t="s">
        <v>143</v>
      </c>
      <c r="C417" s="162">
        <f>SUM(C412:C416)</f>
        <v>53.7</v>
      </c>
      <c r="D417" s="163">
        <f>SUM(D412:D416)</f>
        <v>0</v>
      </c>
      <c r="E417" s="163">
        <f t="shared" si="180"/>
        <v>0</v>
      </c>
      <c r="F417" s="217">
        <f t="shared" ref="F417:G417" si="188">SUM(F412:F416)</f>
        <v>53.7</v>
      </c>
      <c r="G417" s="173">
        <f t="shared" si="188"/>
        <v>0</v>
      </c>
      <c r="H417" s="165">
        <f t="shared" si="179"/>
        <v>0</v>
      </c>
      <c r="I417" s="164">
        <f t="shared" si="185"/>
        <v>53.7</v>
      </c>
      <c r="J417" s="163">
        <f t="shared" ref="J417:L417" si="189">SUM(J412:J415)</f>
        <v>0</v>
      </c>
      <c r="K417" s="163">
        <f t="shared" si="189"/>
        <v>0</v>
      </c>
      <c r="L417" s="163">
        <f t="shared" si="189"/>
        <v>0</v>
      </c>
      <c r="M417" s="163">
        <f>SUM(M412:M415)</f>
        <v>0</v>
      </c>
      <c r="N417" s="163">
        <f t="shared" si="182"/>
        <v>0</v>
      </c>
      <c r="O417" s="163">
        <f>SUM(J417:M417)/4</f>
        <v>0</v>
      </c>
      <c r="P417" s="146" t="str">
        <f>IF(ISNUMBER(VLOOKUP(B417,[1]Closures!B:BI,22,FALSE)),TEXT(VLOOKUP(B417,[1]Closures!B:BI,22,FALSE),"ddmmm"),IF(C417&lt;=0,0,IF(I417&lt;=0,0,IF(AND(C417&gt;0,O417&lt;=0),"&gt;52",IF(I417/O417&gt;52,"&gt;52", MAX(0,I417/O417-2))))))</f>
        <v>&gt;52</v>
      </c>
      <c r="S417" s="130"/>
    </row>
    <row r="418" spans="1:19" ht="10.7" customHeight="1" x14ac:dyDescent="0.2">
      <c r="A418" s="122"/>
      <c r="B418" s="168"/>
      <c r="C418" s="162"/>
      <c r="D418" s="163"/>
      <c r="E418" s="163"/>
      <c r="F418" s="164"/>
      <c r="G418" s="163"/>
      <c r="H418" s="165"/>
      <c r="I418" s="164"/>
      <c r="J418" s="163"/>
      <c r="K418" s="163"/>
      <c r="L418" s="163"/>
      <c r="M418" s="163"/>
      <c r="N418" s="163"/>
      <c r="O418" s="163"/>
      <c r="P418" s="146"/>
      <c r="S418" s="130"/>
    </row>
    <row r="419" spans="1:19" ht="10.7" customHeight="1" x14ac:dyDescent="0.2">
      <c r="A419" s="122"/>
      <c r="B419" s="175" t="s">
        <v>112</v>
      </c>
      <c r="C419" s="176">
        <f>C417+C410</f>
        <v>107.4</v>
      </c>
      <c r="D419" s="180">
        <f>D417+D410</f>
        <v>0</v>
      </c>
      <c r="E419" s="180">
        <f t="shared" si="180"/>
        <v>0</v>
      </c>
      <c r="F419" s="189">
        <f>F417+F410</f>
        <v>107.4</v>
      </c>
      <c r="G419" s="180">
        <f>G417+G410</f>
        <v>0</v>
      </c>
      <c r="H419" s="179">
        <f t="shared" si="179"/>
        <v>0</v>
      </c>
      <c r="I419" s="218">
        <f t="shared" si="185"/>
        <v>107.4</v>
      </c>
      <c r="J419" s="180">
        <f t="shared" ref="J419:L419" si="190">J410+J417</f>
        <v>0</v>
      </c>
      <c r="K419" s="180">
        <f t="shared" si="190"/>
        <v>0</v>
      </c>
      <c r="L419" s="180">
        <f t="shared" si="190"/>
        <v>0</v>
      </c>
      <c r="M419" s="180">
        <f>M410+M417</f>
        <v>0</v>
      </c>
      <c r="N419" s="180">
        <f t="shared" si="182"/>
        <v>0</v>
      </c>
      <c r="O419" s="180">
        <f>SUM(J419:M419)/4</f>
        <v>0</v>
      </c>
      <c r="P419" s="153" t="str">
        <f>IF(ISNUMBER(VLOOKUP(B419,[1]Closures!B:BI,22,FALSE)),TEXT(VLOOKUP(B419,[1]Closures!B:BI,22,FALSE),"ddmmm"),IF(C419&lt;=0,0,IF(I419&lt;=0,0,IF(AND(C419&gt;0,O419&lt;=0),"&gt;52",IF(I419/O419&gt;52,"&gt;52", MAX(0,I419/O419-2))))))</f>
        <v>&gt;52</v>
      </c>
      <c r="S419" s="130"/>
    </row>
    <row r="420" spans="1:19" ht="10.7" customHeight="1" x14ac:dyDescent="0.2">
      <c r="A420" s="122"/>
      <c r="B420" s="130"/>
      <c r="C420" s="191"/>
      <c r="D420" s="183"/>
      <c r="E420" s="183"/>
      <c r="F420" s="184"/>
      <c r="G420" s="183"/>
      <c r="H420" s="163"/>
      <c r="I420" s="184"/>
      <c r="J420" s="185"/>
      <c r="K420" s="185"/>
      <c r="L420" s="185"/>
      <c r="M420" s="185"/>
      <c r="N420" s="173"/>
      <c r="O420" s="183"/>
      <c r="P420" s="182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tr">
        <f>C5</f>
        <v>Initial Quota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f>[1]weeks!$B$154</f>
        <v>43166</v>
      </c>
      <c r="K424" s="151">
        <f>[1]weeks!$B$105</f>
        <v>43173</v>
      </c>
      <c r="L424" s="151">
        <f>[1]weeks!$B$55</f>
        <v>43180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6"/>
      <c r="C426" s="209" t="s">
        <v>176</v>
      </c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10"/>
      <c r="P426" s="145"/>
      <c r="S426" s="130"/>
    </row>
    <row r="427" spans="1:19" ht="10.7" customHeight="1" x14ac:dyDescent="0.2">
      <c r="A427" s="122"/>
      <c r="B427" s="161" t="s">
        <v>132</v>
      </c>
      <c r="C427" s="162">
        <f>'[2]IV&amp;VI Combined'!$T$29</f>
        <v>55</v>
      </c>
      <c r="D427" s="163">
        <f>F427-VLOOKUP(B427,[1]Quota!$B$103:$BJ$143,22,FALSE)</f>
        <v>0</v>
      </c>
      <c r="E427" s="163">
        <f>F427-C427</f>
        <v>0</v>
      </c>
      <c r="F427" s="164">
        <f>VLOOKUP(B427,[1]Quota!$B$81:$BJ$92,22,FALSE)</f>
        <v>55</v>
      </c>
      <c r="G427" s="163">
        <f>'[1]Cumulative '!AA221</f>
        <v>0</v>
      </c>
      <c r="H427" s="165">
        <f t="shared" ref="H427:H441" si="191">IF(AND(F427&lt;=0),"n/a",IF(F427=0,0,100*G427/F427))</f>
        <v>0</v>
      </c>
      <c r="I427" s="164">
        <f>F427-G427</f>
        <v>55</v>
      </c>
      <c r="J427" s="163">
        <f>VLOOKUP(B427,[1]weeks!$B$156:$BO$193,26,FALSE)-VLOOKUP(B427,[1]weeks!$B$206:$BO$243,26,FALSE)</f>
        <v>0</v>
      </c>
      <c r="K427" s="163">
        <f>VLOOKUP(B427,[1]weeks!$B$107:$BO$144,26,FALSE)-VLOOKUP(B427,[1]weeks!$B$156:$BO$193,26,FALSE)</f>
        <v>0</v>
      </c>
      <c r="L427" s="163">
        <f>VLOOKUP(B427,[1]weeks!$B$55:$BO$94,26,FALSE)-VLOOKUP(B427,[1]weeks!$B$107:$BO$144,26,FALSE)</f>
        <v>0</v>
      </c>
      <c r="M427" s="163">
        <f>VLOOKUP(B427,[1]weeks!$B$5:$BO$44,26,FALSE)-VLOOKUP(B427,[1]weeks!$B$55:$BO$94,26,FALSE)</f>
        <v>0</v>
      </c>
      <c r="N427" s="163">
        <f>IF(F427&gt;0,M427/F427*100,"-")</f>
        <v>0</v>
      </c>
      <c r="O427" s="163">
        <f>SUM(J427:M427)/4</f>
        <v>0</v>
      </c>
      <c r="P427" s="146" t="str">
        <f>IF(ISNUMBER(VLOOKUP(B427,[1]Closures!B:BI,23,FALSE)),TEXT(VLOOKUP(B427,[1]Closures!B:BI,23,FALSE),"ddmmm"),IF(C427&lt;=0,0,IF(I427&lt;=0,0,IF(AND(C427&gt;0,O427&lt;=0),"&gt;52",IF(I427/O427&gt;52,"&gt;52", MAX(0,I427/O427-2))))))</f>
        <v>&gt;52</v>
      </c>
      <c r="S427" s="130"/>
    </row>
    <row r="428" spans="1:19" ht="10.7" customHeight="1" x14ac:dyDescent="0.2">
      <c r="A428" s="122"/>
      <c r="B428" s="161" t="s">
        <v>133</v>
      </c>
      <c r="C428" s="162">
        <f>'[2]IV&amp;VI Combined'!$T$30</f>
        <v>0</v>
      </c>
      <c r="D428" s="163">
        <f>F428-VLOOKUP(B428,[1]Quota!$B$103:$BJ$143,22,FALSE)</f>
        <v>0</v>
      </c>
      <c r="E428" s="163">
        <f t="shared" ref="E428:E441" si="192">F428-C428</f>
        <v>0</v>
      </c>
      <c r="F428" s="164">
        <f>VLOOKUP(B428,[1]Quota!$B$81:$BJ$92,22,FALSE)</f>
        <v>0</v>
      </c>
      <c r="G428" s="163">
        <f>'[1]Cumulative '!AA222</f>
        <v>0</v>
      </c>
      <c r="H428" s="165" t="str">
        <f t="shared" si="191"/>
        <v>n/a</v>
      </c>
      <c r="I428" s="164">
        <f t="shared" ref="I428:I431" si="193">F428-G428</f>
        <v>0</v>
      </c>
      <c r="J428" s="163">
        <f>VLOOKUP(B428,[1]weeks!$B$156:$BO$193,26,FALSE)-VLOOKUP(B428,[1]weeks!$B$206:$BO$243,26,FALSE)</f>
        <v>0</v>
      </c>
      <c r="K428" s="163">
        <f>VLOOKUP(B428,[1]weeks!$B$107:$BO$144,26,FALSE)-VLOOKUP(B428,[1]weeks!$B$156:$BO$193,26,FALSE)</f>
        <v>0</v>
      </c>
      <c r="L428" s="163">
        <f>VLOOKUP(B428,[1]weeks!$B$55:$BO$94,26,FALSE)-VLOOKUP(B428,[1]weeks!$B$107:$BO$144,26,FALSE)</f>
        <v>0</v>
      </c>
      <c r="M428" s="163">
        <f>VLOOKUP(B428,[1]weeks!$B$5:$BO$44,26,FALSE)-VLOOKUP(B428,[1]weeks!$B$55:$BO$94,26,FALSE)</f>
        <v>0</v>
      </c>
      <c r="N428" s="163" t="str">
        <f t="shared" ref="N428:N441" si="194">IF(F428&gt;0,M428/F428*100,"-")</f>
        <v>-</v>
      </c>
      <c r="O428" s="163">
        <f t="shared" ref="O428:O437" si="195">SUM(J428:M428)/4</f>
        <v>0</v>
      </c>
      <c r="P428" s="146">
        <f>IF(ISNUMBER(VLOOKUP(B428,[1]Closures!B:BI,23,FALSE)),TEXT(VLOOKUP(B428,[1]Closures!B:BI,23,FALSE),"ddmmm"),IF(C428&lt;=0,0,IF(I428&lt;=0,0,IF(AND(C428&gt;0,O428&lt;=0),"&gt;52",IF(I428/O428&gt;52,"&gt;52", MAX(0,I428/O428-2))))))</f>
        <v>0</v>
      </c>
      <c r="S428" s="130"/>
    </row>
    <row r="429" spans="1:19" ht="10.7" customHeight="1" x14ac:dyDescent="0.2">
      <c r="A429" s="122"/>
      <c r="B429" s="161" t="s">
        <v>134</v>
      </c>
      <c r="C429" s="162">
        <f>'[2]IV&amp;VI Combined'!$T$31</f>
        <v>0.6</v>
      </c>
      <c r="D429" s="163">
        <f>F429-VLOOKUP(B429,[1]Quota!$B$103:$BJ$143,22,FALSE)</f>
        <v>0</v>
      </c>
      <c r="E429" s="163">
        <f t="shared" si="192"/>
        <v>0</v>
      </c>
      <c r="F429" s="164">
        <f>VLOOKUP(B429,[1]Quota!$B$81:$BJ$92,22,FALSE)</f>
        <v>0.6</v>
      </c>
      <c r="G429" s="163">
        <f>'[1]Cumulative '!AA223</f>
        <v>0</v>
      </c>
      <c r="H429" s="165">
        <f t="shared" si="191"/>
        <v>0</v>
      </c>
      <c r="I429" s="164">
        <f t="shared" si="193"/>
        <v>0.6</v>
      </c>
      <c r="J429" s="163">
        <f>VLOOKUP(B429,[1]weeks!$B$156:$BO$193,26,FALSE)-VLOOKUP(B429,[1]weeks!$B$206:$BO$243,26,FALSE)</f>
        <v>0</v>
      </c>
      <c r="K429" s="163">
        <f>VLOOKUP(B429,[1]weeks!$B$107:$BO$144,26,FALSE)-VLOOKUP(B429,[1]weeks!$B$156:$BO$193,26,FALSE)</f>
        <v>0</v>
      </c>
      <c r="L429" s="163">
        <f>VLOOKUP(B429,[1]weeks!$B$55:$BO$94,26,FALSE)-VLOOKUP(B429,[1]weeks!$B$107:$BO$144,26,FALSE)</f>
        <v>0</v>
      </c>
      <c r="M429" s="163">
        <f>VLOOKUP(B429,[1]weeks!$B$5:$BO$44,26,FALSE)-VLOOKUP(B429,[1]weeks!$B$55:$BO$94,26,FALSE)</f>
        <v>0</v>
      </c>
      <c r="N429" s="163">
        <f t="shared" si="194"/>
        <v>0</v>
      </c>
      <c r="O429" s="163">
        <f t="shared" si="195"/>
        <v>0</v>
      </c>
      <c r="P429" s="146" t="str">
        <f>IF(ISNUMBER(VLOOKUP(B429,[1]Closures!B:BI,23,FALSE)),TEXT(VLOOKUP(B429,[1]Closures!B:BI,23,FALSE),"ddmmm"),IF(C429&lt;=0,0,IF(I429&lt;=0,0,IF(AND(C429&gt;0,O429&lt;=0),"&gt;52",IF(I429/O429&gt;52,"&gt;52", MAX(0,I429/O429-2))))))</f>
        <v>&gt;52</v>
      </c>
      <c r="S429" s="130"/>
    </row>
    <row r="430" spans="1:19" ht="10.7" customHeight="1" x14ac:dyDescent="0.2">
      <c r="A430" s="122"/>
      <c r="B430" s="161" t="s">
        <v>135</v>
      </c>
      <c r="C430" s="162">
        <f>'[2]IV&amp;VI Combined'!$T$32</f>
        <v>0.2</v>
      </c>
      <c r="D430" s="163">
        <f>F430-VLOOKUP(B430,[1]Quota!$B$103:$BJ$143,22,FALSE)</f>
        <v>0</v>
      </c>
      <c r="E430" s="163">
        <f t="shared" si="192"/>
        <v>0</v>
      </c>
      <c r="F430" s="164">
        <f>VLOOKUP(B430,[1]Quota!$B$81:$BJ$92,22,FALSE)</f>
        <v>0.2</v>
      </c>
      <c r="G430" s="163">
        <f>'[1]Cumulative '!AA224</f>
        <v>0</v>
      </c>
      <c r="H430" s="165">
        <f t="shared" si="191"/>
        <v>0</v>
      </c>
      <c r="I430" s="164">
        <f t="shared" si="193"/>
        <v>0.2</v>
      </c>
      <c r="J430" s="163">
        <f>VLOOKUP(B430,[1]weeks!$B$156:$BO$193,26,FALSE)-VLOOKUP(B430,[1]weeks!$B$206:$BO$243,26,FALSE)</f>
        <v>0</v>
      </c>
      <c r="K430" s="163">
        <f>VLOOKUP(B430,[1]weeks!$B$107:$BO$144,26,FALSE)-VLOOKUP(B430,[1]weeks!$B$156:$BO$193,26,FALSE)</f>
        <v>0</v>
      </c>
      <c r="L430" s="163">
        <f>VLOOKUP(B430,[1]weeks!$B$55:$BO$94,26,FALSE)-VLOOKUP(B430,[1]weeks!$B$107:$BO$144,26,FALSE)</f>
        <v>0</v>
      </c>
      <c r="M430" s="163">
        <f>VLOOKUP(B430,[1]weeks!$B$5:$BO$44,26,FALSE)-VLOOKUP(B430,[1]weeks!$B$55:$BO$94,26,FALSE)</f>
        <v>0</v>
      </c>
      <c r="N430" s="163">
        <f t="shared" si="194"/>
        <v>0</v>
      </c>
      <c r="O430" s="163">
        <f t="shared" si="195"/>
        <v>0</v>
      </c>
      <c r="P430" s="146" t="str">
        <f>IF(ISNUMBER(VLOOKUP(B430,[1]Closures!B:BI,23,FALSE)),TEXT(VLOOKUP(B430,[1]Closures!B:BI,23,FALSE),"ddmmm"),IF(C430&lt;=0,0,IF(I430&lt;=0,0,IF(AND(C430&gt;0,O430&lt;=0),"&gt;52",IF(I430/O430&gt;52,"&gt;52", MAX(0,I430/O430-2))))))</f>
        <v>&gt;52</v>
      </c>
      <c r="S430" s="130"/>
    </row>
    <row r="431" spans="1:19" ht="10.7" customHeight="1" x14ac:dyDescent="0.2">
      <c r="A431" s="122"/>
      <c r="B431" s="161" t="s">
        <v>136</v>
      </c>
      <c r="C431" s="162"/>
      <c r="D431" s="163">
        <f>F431-VLOOKUP(B431,[1]Quota!$B$32:$BJ$43,22,FALSE)</f>
        <v>0</v>
      </c>
      <c r="E431" s="163"/>
      <c r="F431" s="164">
        <f>VLOOKUP(B431,[1]Quota!$B$81:$BJ$92,22,FALSE)</f>
        <v>0</v>
      </c>
      <c r="G431" s="163"/>
      <c r="H431" s="165" t="str">
        <f t="shared" si="191"/>
        <v>n/a</v>
      </c>
      <c r="I431" s="164">
        <f t="shared" si="193"/>
        <v>0</v>
      </c>
      <c r="J431" s="163"/>
      <c r="K431" s="163"/>
      <c r="L431" s="163"/>
      <c r="M431" s="163"/>
      <c r="N431" s="163"/>
      <c r="O431" s="163"/>
      <c r="P431" s="146"/>
      <c r="S431" s="130"/>
    </row>
    <row r="432" spans="1:19" ht="10.7" customHeight="1" x14ac:dyDescent="0.2">
      <c r="A432" s="122"/>
      <c r="B432" s="168" t="s">
        <v>137</v>
      </c>
      <c r="C432" s="162">
        <f>SUM(C427:C430)</f>
        <v>55.800000000000004</v>
      </c>
      <c r="D432" s="163">
        <f>SUM(D427:D431)</f>
        <v>0</v>
      </c>
      <c r="E432" s="163">
        <f t="shared" si="192"/>
        <v>0</v>
      </c>
      <c r="F432" s="217">
        <f t="shared" ref="F432" si="196">SUM(F427:F430)</f>
        <v>55.800000000000004</v>
      </c>
      <c r="G432" s="163">
        <f>SUM(G427:G430)</f>
        <v>0</v>
      </c>
      <c r="H432" s="165">
        <f t="shared" si="191"/>
        <v>0</v>
      </c>
      <c r="I432" s="217">
        <f t="shared" ref="I432:L432" si="197">SUM(I427:I430)</f>
        <v>55.800000000000004</v>
      </c>
      <c r="J432" s="163">
        <f t="shared" si="197"/>
        <v>0</v>
      </c>
      <c r="K432" s="163">
        <f t="shared" si="197"/>
        <v>0</v>
      </c>
      <c r="L432" s="163">
        <f t="shared" si="197"/>
        <v>0</v>
      </c>
      <c r="M432" s="163">
        <f>SUM(M427:M430)</f>
        <v>0</v>
      </c>
      <c r="N432" s="163">
        <f t="shared" si="194"/>
        <v>0</v>
      </c>
      <c r="O432" s="163">
        <f t="shared" si="195"/>
        <v>0</v>
      </c>
      <c r="P432" s="146" t="str">
        <f>IF(ISNUMBER(VLOOKUP(B432,[1]Closures!B:BI,23,FALSE)),TEXT(VLOOKUP(B432,[1]Closures!B:BI,23,FALSE),"ddmmm"),IF(C432&lt;=0,0,IF(I432&lt;=0,0,IF(AND(C432&gt;0,O432&lt;=0),"&gt;52",IF(I432/O432&gt;52,"&gt;52", MAX(0,I432/O432-2))))))</f>
        <v>&gt;52</v>
      </c>
      <c r="S432" s="130"/>
    </row>
    <row r="433" spans="1:19" ht="10.7" customHeight="1" x14ac:dyDescent="0.2">
      <c r="A433" s="122"/>
      <c r="B433" s="168"/>
      <c r="C433" s="162"/>
      <c r="D433" s="163"/>
      <c r="E433" s="163"/>
      <c r="F433" s="164"/>
      <c r="G433" s="163"/>
      <c r="H433" s="165"/>
      <c r="I433" s="164"/>
      <c r="J433" s="163"/>
      <c r="K433" s="163"/>
      <c r="L433" s="163"/>
      <c r="M433" s="163"/>
      <c r="N433" s="163" t="str">
        <f t="shared" si="194"/>
        <v>-</v>
      </c>
      <c r="O433" s="163"/>
      <c r="P433" s="146"/>
      <c r="S433" s="130"/>
    </row>
    <row r="434" spans="1:19" ht="10.7" customHeight="1" x14ac:dyDescent="0.2">
      <c r="A434" s="122"/>
      <c r="B434" s="174" t="s">
        <v>138</v>
      </c>
      <c r="C434" s="162">
        <f>'[2]IV&amp;VI Combined'!$T$36</f>
        <v>12.9</v>
      </c>
      <c r="D434" s="163">
        <f>F434-VLOOKUP(B434,[1]Quota!$B$103:$BJ$143,22,FALSE)</f>
        <v>0</v>
      </c>
      <c r="E434" s="163">
        <f t="shared" si="192"/>
        <v>0</v>
      </c>
      <c r="F434" s="164">
        <f>VLOOKUP(B434,[1]Quota!$B$81:$BJ$92,22,FALSE)</f>
        <v>12.9</v>
      </c>
      <c r="G434" s="163">
        <f>'[1]Cumulative '!AA228</f>
        <v>0</v>
      </c>
      <c r="H434" s="165">
        <f t="shared" si="191"/>
        <v>0</v>
      </c>
      <c r="I434" s="164">
        <f t="shared" ref="I434:I441" si="198">F434-G434</f>
        <v>12.9</v>
      </c>
      <c r="J434" s="163">
        <f>VLOOKUP(B434,[1]weeks!$B$156:$BO$193,26,FALSE)-VLOOKUP(B434,[1]weeks!$B$206:$BO$243,26,FALSE)</f>
        <v>0</v>
      </c>
      <c r="K434" s="163">
        <f>VLOOKUP(B434,[1]weeks!$B$107:$BO$144,26,FALSE)-VLOOKUP(B434,[1]weeks!$B$156:$BO$193,26,FALSE)</f>
        <v>0</v>
      </c>
      <c r="L434" s="163">
        <f>VLOOKUP(B434,[1]weeks!$B$55:$BO$94,26,FALSE)-VLOOKUP(B434,[1]weeks!$B$107:$BO$144,26,FALSE)</f>
        <v>0</v>
      </c>
      <c r="M434" s="163">
        <f>VLOOKUP(B434,[1]weeks!$B$5:$BO$44,26,FALSE)-VLOOKUP(B434,[1]weeks!$B$55:$BO$94,26,FALSE)</f>
        <v>0</v>
      </c>
      <c r="N434" s="163">
        <f t="shared" si="194"/>
        <v>0</v>
      </c>
      <c r="O434" s="163">
        <f t="shared" si="195"/>
        <v>0</v>
      </c>
      <c r="P434" s="146" t="str">
        <f>IF(ISNUMBER(VLOOKUP(B434,[1]Closures!B:BI,23,FALSE)),TEXT(VLOOKUP(B434,[1]Closures!B:BI,23,FALSE),"ddmmm"),IF(C434&lt;=0,0,IF(I434&lt;=0,0,IF(AND(C434&gt;0,O434&lt;=0),"&gt;52",IF(I434/O434&gt;52,"&gt;52", MAX(0,I434/O434-2))))))</f>
        <v>&gt;52</v>
      </c>
      <c r="S434" s="130"/>
    </row>
    <row r="435" spans="1:19" ht="10.7" customHeight="1" x14ac:dyDescent="0.2">
      <c r="A435" s="122"/>
      <c r="B435" s="174" t="s">
        <v>139</v>
      </c>
      <c r="C435" s="162">
        <f>'[2]IV&amp;VI Combined'!$T$37</f>
        <v>0</v>
      </c>
      <c r="D435" s="163">
        <f>F435-VLOOKUP(B435,[1]Quota!$B$103:$BJ$143,22,FALSE)</f>
        <v>0</v>
      </c>
      <c r="E435" s="163">
        <f t="shared" si="192"/>
        <v>0</v>
      </c>
      <c r="F435" s="164">
        <f>VLOOKUP(B435,[1]Quota!$B$81:$BJ$92,22,FALSE)</f>
        <v>0</v>
      </c>
      <c r="G435" s="163">
        <f>'[1]Cumulative '!AA229</f>
        <v>0</v>
      </c>
      <c r="H435" s="165" t="str">
        <f t="shared" si="191"/>
        <v>n/a</v>
      </c>
      <c r="I435" s="164">
        <f t="shared" si="198"/>
        <v>0</v>
      </c>
      <c r="J435" s="163">
        <f>VLOOKUP(B435,[1]weeks!$B$156:$BO$193,26,FALSE)-VLOOKUP(B435,[1]weeks!$B$206:$BO$243,26,FALSE)</f>
        <v>0</v>
      </c>
      <c r="K435" s="163">
        <f>VLOOKUP(B435,[1]weeks!$B$107:$BO$144,26,FALSE)-VLOOKUP(B435,[1]weeks!$B$156:$BO$193,26,FALSE)</f>
        <v>0</v>
      </c>
      <c r="L435" s="163">
        <f>VLOOKUP(B435,[1]weeks!$B$55:$BO$94,26,FALSE)-VLOOKUP(B435,[1]weeks!$B$107:$BO$144,26,FALSE)</f>
        <v>0</v>
      </c>
      <c r="M435" s="163">
        <f>VLOOKUP(B435,[1]weeks!$B$5:$BO$44,26,FALSE)-VLOOKUP(B435,[1]weeks!$B$55:$BO$94,26,FALSE)</f>
        <v>0</v>
      </c>
      <c r="N435" s="163" t="str">
        <f t="shared" si="194"/>
        <v>-</v>
      </c>
      <c r="O435" s="163">
        <f t="shared" si="195"/>
        <v>0</v>
      </c>
      <c r="P435" s="146">
        <f>IF(ISNUMBER(VLOOKUP(B435,[1]Closures!B:BI,23,FALSE)),TEXT(VLOOKUP(B435,[1]Closures!B:BI,23,FALSE),"ddmmm"),IF(C435&lt;=0,0,IF(I435&lt;=0,0,IF(AND(C435&gt;0,O435&lt;=0),"&gt;52",IF(I435/O435&gt;52,"&gt;52", MAX(0,I435/O435-2))))))</f>
        <v>0</v>
      </c>
      <c r="S435" s="130"/>
    </row>
    <row r="436" spans="1:19" ht="10.7" customHeight="1" x14ac:dyDescent="0.2">
      <c r="A436" s="122"/>
      <c r="B436" s="174" t="s">
        <v>140</v>
      </c>
      <c r="C436" s="162">
        <f>'[2]IV&amp;VI Combined'!$T$38</f>
        <v>8.6</v>
      </c>
      <c r="D436" s="163">
        <f>F436-VLOOKUP(B436,[1]Quota!$B$103:$BJ$143,22,FALSE)</f>
        <v>0</v>
      </c>
      <c r="E436" s="163">
        <f t="shared" si="192"/>
        <v>0</v>
      </c>
      <c r="F436" s="164">
        <f>VLOOKUP(B436,[1]Quota!$B$81:$BJ$92,22,FALSE)</f>
        <v>8.6</v>
      </c>
      <c r="G436" s="163">
        <f>'[1]Cumulative '!AA230</f>
        <v>0</v>
      </c>
      <c r="H436" s="165">
        <f t="shared" si="191"/>
        <v>0</v>
      </c>
      <c r="I436" s="164">
        <f t="shared" si="198"/>
        <v>8.6</v>
      </c>
      <c r="J436" s="163">
        <f>VLOOKUP(B436,[1]weeks!$B$156:$BO$193,26,FALSE)-VLOOKUP(B436,[1]weeks!$B$206:$BO$243,26,FALSE)</f>
        <v>0</v>
      </c>
      <c r="K436" s="163">
        <f>VLOOKUP(B436,[1]weeks!$B$107:$BO$144,26,FALSE)-VLOOKUP(B436,[1]weeks!$B$156:$BO$193,26,FALSE)</f>
        <v>0</v>
      </c>
      <c r="L436" s="163">
        <f>VLOOKUP(B436,[1]weeks!$B$55:$BO$94,26,FALSE)-VLOOKUP(B436,[1]weeks!$B$107:$BO$144,26,FALSE)</f>
        <v>0</v>
      </c>
      <c r="M436" s="163">
        <f>VLOOKUP(B436,[1]weeks!$B$5:$BO$44,26,FALSE)-VLOOKUP(B436,[1]weeks!$B$55:$BO$94,26,FALSE)</f>
        <v>0</v>
      </c>
      <c r="N436" s="163">
        <f t="shared" si="194"/>
        <v>0</v>
      </c>
      <c r="O436" s="163">
        <f t="shared" si="195"/>
        <v>0</v>
      </c>
      <c r="P436" s="146" t="str">
        <f>IF(ISNUMBER(VLOOKUP(B436,[1]Closures!B:BI,23,FALSE)),TEXT(VLOOKUP(B436,[1]Closures!B:BI,23,FALSE),"ddmmm"),IF(C436&lt;=0,0,IF(I436&lt;=0,0,IF(AND(C436&gt;0,O436&lt;=0),"&gt;52",IF(I436/O436&gt;52,"&gt;52", MAX(0,I436/O436-2))))))</f>
        <v>&gt;52</v>
      </c>
      <c r="S436" s="130"/>
    </row>
    <row r="437" spans="1:19" ht="10.7" customHeight="1" x14ac:dyDescent="0.2">
      <c r="A437" s="122"/>
      <c r="B437" s="174" t="s">
        <v>141</v>
      </c>
      <c r="C437" s="162">
        <f>'[2]IV&amp;VI Combined'!$T$39</f>
        <v>1.3</v>
      </c>
      <c r="D437" s="163">
        <f>F437-VLOOKUP(B437,[1]Quota!$B$103:$BJ$143,22,FALSE)</f>
        <v>0</v>
      </c>
      <c r="E437" s="163">
        <f t="shared" si="192"/>
        <v>0</v>
      </c>
      <c r="F437" s="164">
        <f>VLOOKUP(B437,[1]Quota!$B$81:$BJ$92,22,FALSE)</f>
        <v>1.3</v>
      </c>
      <c r="G437" s="163">
        <f>'[1]Cumulative '!AA231</f>
        <v>0</v>
      </c>
      <c r="H437" s="165">
        <f>IF(AND(F437&lt;=0),"n/a",IF(F437=0,0,100*G437/F437))</f>
        <v>0</v>
      </c>
      <c r="I437" s="164">
        <f t="shared" si="198"/>
        <v>1.3</v>
      </c>
      <c r="J437" s="163">
        <f>VLOOKUP(B437,[1]weeks!$B$156:$BO$193,26,FALSE)-VLOOKUP(B437,[1]weeks!$B$206:$BO$243,26,FALSE)</f>
        <v>0</v>
      </c>
      <c r="K437" s="163">
        <f>VLOOKUP(B437,[1]weeks!$B$107:$BO$144,26,FALSE)-VLOOKUP(B437,[1]weeks!$B$156:$BO$193,26,FALSE)</f>
        <v>0</v>
      </c>
      <c r="L437" s="163">
        <f>VLOOKUP(B437,[1]weeks!$B$55:$BO$94,26,FALSE)-VLOOKUP(B437,[1]weeks!$B$107:$BO$144,26,FALSE)</f>
        <v>0</v>
      </c>
      <c r="M437" s="163">
        <f>VLOOKUP(B437,[1]weeks!$B$5:$BO$44,26,FALSE)-VLOOKUP(B437,[1]weeks!$B$55:$BO$94,26,FALSE)</f>
        <v>0</v>
      </c>
      <c r="N437" s="163">
        <f t="shared" si="194"/>
        <v>0</v>
      </c>
      <c r="O437" s="163">
        <f t="shared" si="195"/>
        <v>0</v>
      </c>
      <c r="P437" s="146" t="str">
        <f>IF(ISNUMBER(VLOOKUP(B437,[1]Closures!B:BI,23,FALSE)),TEXT(VLOOKUP(B437,[1]Closures!B:BI,23,FALSE),"ddmmm"),IF(C437&lt;=0,0,IF(I437&lt;=0,0,IF(AND(C437&gt;0,O437&lt;=0),"&gt;52",IF(I437/O437&gt;52,"&gt;52", MAX(0,I437/O437-2))))))</f>
        <v>&gt;52</v>
      </c>
      <c r="S437" s="130"/>
    </row>
    <row r="438" spans="1:19" ht="10.7" customHeight="1" x14ac:dyDescent="0.2">
      <c r="A438" s="122"/>
      <c r="B438" s="174" t="s">
        <v>142</v>
      </c>
      <c r="C438" s="162"/>
      <c r="D438" s="163">
        <f>F438-VLOOKUP(B438,[1]Quota!$B$32:$BJ$43,22,FALSE)</f>
        <v>0</v>
      </c>
      <c r="E438" s="163"/>
      <c r="F438" s="164">
        <f>VLOOKUP(B438,[1]Quota!$B$81:$BJ$92,22,FALSE)</f>
        <v>0</v>
      </c>
      <c r="G438" s="163"/>
      <c r="H438" s="165" t="str">
        <f>IF(AND(F438&lt;=0),"n/a",IF(F438=0,0,100*G438/F438))</f>
        <v>n/a</v>
      </c>
      <c r="I438" s="164">
        <f>F438-G438</f>
        <v>0</v>
      </c>
      <c r="J438" s="163"/>
      <c r="K438" s="163"/>
      <c r="L438" s="163"/>
      <c r="M438" s="163"/>
      <c r="N438" s="163"/>
      <c r="O438" s="163"/>
      <c r="P438" s="146"/>
      <c r="S438" s="130"/>
    </row>
    <row r="439" spans="1:19" ht="10.7" customHeight="1" x14ac:dyDescent="0.2">
      <c r="A439" s="122"/>
      <c r="B439" s="168" t="s">
        <v>143</v>
      </c>
      <c r="C439" s="162">
        <f>SUM(C434:C438)</f>
        <v>22.8</v>
      </c>
      <c r="D439" s="163">
        <f>SUM(D434:D438)</f>
        <v>0</v>
      </c>
      <c r="E439" s="163">
        <f t="shared" si="192"/>
        <v>0</v>
      </c>
      <c r="F439" s="217">
        <f t="shared" ref="F439:G439" si="199">SUM(F434:F438)</f>
        <v>22.8</v>
      </c>
      <c r="G439" s="173">
        <f t="shared" si="199"/>
        <v>0</v>
      </c>
      <c r="H439" s="165">
        <f t="shared" si="191"/>
        <v>0</v>
      </c>
      <c r="I439" s="164">
        <f t="shared" si="198"/>
        <v>22.8</v>
      </c>
      <c r="J439" s="163">
        <f t="shared" ref="J439:L439" si="200">SUM(J434:J437)</f>
        <v>0</v>
      </c>
      <c r="K439" s="163">
        <f t="shared" si="200"/>
        <v>0</v>
      </c>
      <c r="L439" s="163">
        <f t="shared" si="200"/>
        <v>0</v>
      </c>
      <c r="M439" s="163">
        <f>SUM(M434:M437)</f>
        <v>0</v>
      </c>
      <c r="N439" s="163">
        <f t="shared" si="194"/>
        <v>0</v>
      </c>
      <c r="O439" s="163">
        <f>SUM(J439:M439)/4</f>
        <v>0</v>
      </c>
      <c r="P439" s="146" t="str">
        <f>IF(ISNUMBER(VLOOKUP(B439,[1]Closures!B:BI,23,FALSE)),TEXT(VLOOKUP(B439,[1]Closures!B:BI,23,FALSE),"ddmmm"),IF(C439&lt;=0,0,IF(I439&lt;=0,0,IF(AND(C439&gt;0,O439&lt;=0),"&gt;52",IF(I439/O439&gt;52,"&gt;52", MAX(0,I439/O439-2))))))</f>
        <v>&gt;52</v>
      </c>
      <c r="S439" s="130"/>
    </row>
    <row r="440" spans="1:19" ht="10.7" customHeight="1" x14ac:dyDescent="0.2">
      <c r="A440" s="122"/>
      <c r="B440" s="168"/>
      <c r="C440" s="162"/>
      <c r="D440" s="163"/>
      <c r="E440" s="163"/>
      <c r="F440" s="164"/>
      <c r="G440" s="163"/>
      <c r="H440" s="165"/>
      <c r="I440" s="164"/>
      <c r="J440" s="163"/>
      <c r="K440" s="163"/>
      <c r="L440" s="163"/>
      <c r="M440" s="163"/>
      <c r="N440" s="163"/>
      <c r="O440" s="163"/>
      <c r="P440" s="146"/>
      <c r="S440" s="130"/>
    </row>
    <row r="441" spans="1:19" ht="10.7" customHeight="1" x14ac:dyDescent="0.2">
      <c r="A441" s="122"/>
      <c r="B441" s="175" t="s">
        <v>112</v>
      </c>
      <c r="C441" s="176">
        <f>C439+C432</f>
        <v>78.600000000000009</v>
      </c>
      <c r="D441" s="180">
        <f>D439+D432</f>
        <v>0</v>
      </c>
      <c r="E441" s="180">
        <f t="shared" si="192"/>
        <v>0</v>
      </c>
      <c r="F441" s="189">
        <f>F439+F432</f>
        <v>78.600000000000009</v>
      </c>
      <c r="G441" s="180">
        <f>G439+G432</f>
        <v>0</v>
      </c>
      <c r="H441" s="179">
        <f t="shared" si="191"/>
        <v>0</v>
      </c>
      <c r="I441" s="218">
        <f t="shared" si="198"/>
        <v>78.600000000000009</v>
      </c>
      <c r="J441" s="180">
        <f t="shared" ref="J441:L441" si="201">J432+J439</f>
        <v>0</v>
      </c>
      <c r="K441" s="180">
        <f t="shared" si="201"/>
        <v>0</v>
      </c>
      <c r="L441" s="180">
        <f t="shared" si="201"/>
        <v>0</v>
      </c>
      <c r="M441" s="180">
        <f>M432+M439</f>
        <v>0</v>
      </c>
      <c r="N441" s="180">
        <f t="shared" si="194"/>
        <v>0</v>
      </c>
      <c r="O441" s="180">
        <f>SUM(J441:M441)/4</f>
        <v>0</v>
      </c>
      <c r="P441" s="153" t="str">
        <f>IF(ISNUMBER(VLOOKUP(B441,[1]Closures!B:BI,23,FALSE)),TEXT(VLOOKUP(B441,[1]Closures!B:BI,23,FALSE),"ddmmm"),IF(C441&lt;=0,0,IF(I441&lt;=0,0,IF(AND(C441&gt;0,O441&lt;=0),"&gt;52",IF(I441/O441&gt;52,"&gt;52", MAX(0,I441/O441-2))))))</f>
        <v>&gt;52</v>
      </c>
      <c r="S441" s="130"/>
    </row>
    <row r="442" spans="1:19" ht="10.7" customHeight="1" x14ac:dyDescent="0.2">
      <c r="A442" s="122"/>
      <c r="B442" s="212"/>
      <c r="C442" s="173"/>
      <c r="D442" s="163"/>
      <c r="E442" s="163"/>
      <c r="F442" s="164"/>
      <c r="G442" s="163"/>
      <c r="H442" s="165"/>
      <c r="I442" s="164"/>
      <c r="J442" s="163"/>
      <c r="K442" s="163"/>
      <c r="L442" s="163"/>
      <c r="M442" s="163"/>
      <c r="N442" s="163"/>
      <c r="O442" s="163"/>
      <c r="P442" s="182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tr">
        <f>C5</f>
        <v>Initial Quota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f>[1]weeks!$B$154</f>
        <v>43166</v>
      </c>
      <c r="K446" s="151">
        <f>[1]weeks!$B$105</f>
        <v>43173</v>
      </c>
      <c r="L446" s="151">
        <f>[1]weeks!$B$55</f>
        <v>43180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6"/>
      <c r="C448" s="209" t="s">
        <v>120</v>
      </c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10"/>
      <c r="P448" s="145"/>
      <c r="S448" s="130"/>
    </row>
    <row r="449" spans="1:19" ht="10.7" customHeight="1" x14ac:dyDescent="0.2">
      <c r="A449" s="122"/>
      <c r="B449" s="161" t="s">
        <v>132</v>
      </c>
      <c r="C449" s="162">
        <f>'[2]IV&amp;VI Combined'!$U$29</f>
        <v>0.2</v>
      </c>
      <c r="D449" s="163">
        <f>F449-VLOOKUP(B449,[1]Quota!$B$103:$BJ$143,23,FALSE)</f>
        <v>0</v>
      </c>
      <c r="E449" s="163">
        <f>F449-C449</f>
        <v>0</v>
      </c>
      <c r="F449" s="164">
        <f>VLOOKUP(B449,[1]Quota!$B$81:$BJ$92,23,FALSE)</f>
        <v>0.2</v>
      </c>
      <c r="G449" s="163">
        <f>'[1]Cumulative '!BP221</f>
        <v>0</v>
      </c>
      <c r="H449" s="165">
        <f t="shared" ref="H449:H458" si="202">IF(AND(F449&lt;=0),"n/a",IF(F449=0,0,100*G449/F449))</f>
        <v>0</v>
      </c>
      <c r="I449" s="164">
        <f>F449-G449</f>
        <v>0.2</v>
      </c>
      <c r="J449" s="163">
        <f>VLOOKUP(B449,[1]weeks!$B$156:$BP$193,67,FALSE)-VLOOKUP(B449,[1]weeks!$B$206:$BP$243,67,FALSE)</f>
        <v>0</v>
      </c>
      <c r="K449" s="163">
        <f>VLOOKUP(B449,[1]weeks!$B$107:$BP$144,67,FALSE)-VLOOKUP(B449,[1]weeks!$B$156:$BP$193,67,FALSE)</f>
        <v>0</v>
      </c>
      <c r="L449" s="163">
        <f>VLOOKUP(B449,[1]weeks!$B$55:$BP$94,67,FALSE)-VLOOKUP(B449,[1]weeks!$B$107:$BP$144,67,FALSE)</f>
        <v>0</v>
      </c>
      <c r="M449" s="163">
        <f>VLOOKUP(B449,[1]weeks!$B$5:$BP$44,67,FALSE)-VLOOKUP(B449,[1]weeks!$B$55:$BP$94,67,FALSE)</f>
        <v>0</v>
      </c>
      <c r="N449" s="163">
        <f>IF(F449&gt;0,M449/F449*100,"-")</f>
        <v>0</v>
      </c>
      <c r="O449" s="163">
        <f>SUM(J449:M449)/4</f>
        <v>0</v>
      </c>
      <c r="P449" s="146" t="str">
        <f>IF(ISNUMBER(VLOOKUP(B449,[1]Closures!B:BI,62,FALSE)),TEXT(VLOOKUP(B449,[1]Closures!B:BI,62,FALSE),"ddmmm"),IF(C449&lt;=0,0,IF(I449&lt;=0,0,IF(AND(C449&gt;0,O449&lt;=0),"&gt;52",IF(I449/O449&gt;52,"&gt;52", MAX(0,I449/O449-2))))))</f>
        <v>&gt;52</v>
      </c>
      <c r="S449" s="130"/>
    </row>
    <row r="450" spans="1:19" ht="10.7" customHeight="1" x14ac:dyDescent="0.2">
      <c r="A450" s="122"/>
      <c r="B450" s="161" t="s">
        <v>133</v>
      </c>
      <c r="C450" s="162">
        <f>'[2]IV&amp;VI Combined'!$U$30</f>
        <v>0</v>
      </c>
      <c r="D450" s="163">
        <f>F450-VLOOKUP(B450,[1]Quota!$B$103:$BJ$143,23,FALSE)</f>
        <v>0</v>
      </c>
      <c r="E450" s="163">
        <f t="shared" ref="E450:E463" si="203">F450-C450</f>
        <v>0</v>
      </c>
      <c r="F450" s="164">
        <f>VLOOKUP(B450,[1]Quota!$B$81:$BJ$92,23,FALSE)</f>
        <v>0</v>
      </c>
      <c r="G450" s="163">
        <f>'[1]Cumulative '!BP222</f>
        <v>0</v>
      </c>
      <c r="H450" s="165" t="str">
        <f t="shared" si="202"/>
        <v>n/a</v>
      </c>
      <c r="I450" s="164">
        <f t="shared" ref="I450:I452" si="204">F450-G450</f>
        <v>0</v>
      </c>
      <c r="J450" s="163">
        <f>VLOOKUP(B450,[1]weeks!$B$156:$BP$193,67,FALSE)-VLOOKUP(B450,[1]weeks!$B$206:$BP$243,67,FALSE)</f>
        <v>0</v>
      </c>
      <c r="K450" s="163">
        <f>VLOOKUP(B450,[1]weeks!$B$107:$BP$144,67,FALSE)-VLOOKUP(B450,[1]weeks!$B$156:$BP$193,67,FALSE)</f>
        <v>0</v>
      </c>
      <c r="L450" s="163">
        <f>VLOOKUP(B450,[1]weeks!$B$55:$BP$94,67,FALSE)-VLOOKUP(B450,[1]weeks!$B$107:$BP$144,67,FALSE)</f>
        <v>0</v>
      </c>
      <c r="M450" s="163">
        <f>VLOOKUP(B450,[1]weeks!$B$5:$BP$44,67,FALSE)-VLOOKUP(B450,[1]weeks!$B$55:$BP$94,67,FALSE)</f>
        <v>0</v>
      </c>
      <c r="N450" s="163" t="str">
        <f t="shared" ref="N450:N463" si="205">IF(F450&gt;0,M450/F450*100,"-")</f>
        <v>-</v>
      </c>
      <c r="O450" s="163">
        <f t="shared" ref="O450:O459" si="206">SUM(J450:M450)/4</f>
        <v>0</v>
      </c>
      <c r="P450" s="146">
        <f>IF(ISNUMBER(VLOOKUP(B450,[1]Closures!B:BI,62,FALSE)),TEXT(VLOOKUP(B450,[1]Closures!B:BI,62,FALSE),"ddmmm"),IF(C450&lt;=0,0,IF(I450&lt;=0,0,IF(AND(C450&gt;0,O450&lt;=0),"&gt;52",IF(I450/O450&gt;52,"&gt;52", MAX(0,I450/O450-2))))))</f>
        <v>0</v>
      </c>
      <c r="S450" s="130"/>
    </row>
    <row r="451" spans="1:19" ht="10.7" customHeight="1" x14ac:dyDescent="0.2">
      <c r="A451" s="122"/>
      <c r="B451" s="161" t="s">
        <v>134</v>
      </c>
      <c r="C451" s="162">
        <f>'[2]IV&amp;VI Combined'!$U$31</f>
        <v>0.1</v>
      </c>
      <c r="D451" s="163">
        <f>F451-VLOOKUP(B451,[1]Quota!$B$103:$BJ$143,23,FALSE)</f>
        <v>0</v>
      </c>
      <c r="E451" s="163">
        <f t="shared" si="203"/>
        <v>0</v>
      </c>
      <c r="F451" s="164">
        <f>VLOOKUP(B451,[1]Quota!$B$81:$BJ$92,23,FALSE)</f>
        <v>0.1</v>
      </c>
      <c r="G451" s="163">
        <f>'[1]Cumulative '!BP223</f>
        <v>0</v>
      </c>
      <c r="H451" s="165">
        <f t="shared" si="202"/>
        <v>0</v>
      </c>
      <c r="I451" s="164">
        <f t="shared" si="204"/>
        <v>0.1</v>
      </c>
      <c r="J451" s="163">
        <f>VLOOKUP(B451,[1]weeks!$B$156:$BP$193,67,FALSE)-VLOOKUP(B451,[1]weeks!$B$206:$BP$243,67,FALSE)</f>
        <v>0</v>
      </c>
      <c r="K451" s="163">
        <f>VLOOKUP(B451,[1]weeks!$B$107:$BP$144,67,FALSE)-VLOOKUP(B451,[1]weeks!$B$156:$BP$193,67,FALSE)</f>
        <v>0</v>
      </c>
      <c r="L451" s="163">
        <f>VLOOKUP(B451,[1]weeks!$B$55:$BP$94,67,FALSE)-VLOOKUP(B451,[1]weeks!$B$107:$BP$144,67,FALSE)</f>
        <v>0</v>
      </c>
      <c r="M451" s="163">
        <f>VLOOKUP(B451,[1]weeks!$B$5:$BP$44,67,FALSE)-VLOOKUP(B451,[1]weeks!$B$55:$BP$94,67,FALSE)</f>
        <v>0</v>
      </c>
      <c r="N451" s="163">
        <f t="shared" si="205"/>
        <v>0</v>
      </c>
      <c r="O451" s="163">
        <f t="shared" si="206"/>
        <v>0</v>
      </c>
      <c r="P451" s="146" t="str">
        <f>IF(ISNUMBER(VLOOKUP(B451,[1]Closures!B:BI,62,FALSE)),TEXT(VLOOKUP(B451,[1]Closures!B:BI,62,FALSE),"ddmmm"),IF(C451&lt;=0,0,IF(I451&lt;=0,0,IF(AND(C451&gt;0,O451&lt;=0),"&gt;52",IF(I451/O451&gt;52,"&gt;52", MAX(0,I451/O451-2))))))</f>
        <v>&gt;52</v>
      </c>
      <c r="S451" s="130"/>
    </row>
    <row r="452" spans="1:19" ht="10.7" customHeight="1" x14ac:dyDescent="0.2">
      <c r="A452" s="122"/>
      <c r="B452" s="161" t="s">
        <v>135</v>
      </c>
      <c r="C452" s="162">
        <f>'[2]IV&amp;VI Combined'!$U$32</f>
        <v>0</v>
      </c>
      <c r="D452" s="163">
        <f>F452-VLOOKUP(B452,[1]Quota!$B$103:$BJ$143,23,FALSE)</f>
        <v>0</v>
      </c>
      <c r="E452" s="163">
        <f t="shared" si="203"/>
        <v>0</v>
      </c>
      <c r="F452" s="164">
        <f>VLOOKUP(B452,[1]Quota!$B$81:$BJ$92,23,FALSE)</f>
        <v>0</v>
      </c>
      <c r="G452" s="163">
        <f>'[1]Cumulative '!BP224</f>
        <v>0</v>
      </c>
      <c r="H452" s="165" t="str">
        <f t="shared" si="202"/>
        <v>n/a</v>
      </c>
      <c r="I452" s="164">
        <f t="shared" si="204"/>
        <v>0</v>
      </c>
      <c r="J452" s="163">
        <f>VLOOKUP(B452,[1]weeks!$B$156:$BP$193,67,FALSE)-VLOOKUP(B452,[1]weeks!$B$206:$BP$243,67,FALSE)</f>
        <v>0</v>
      </c>
      <c r="K452" s="163">
        <f>VLOOKUP(B452,[1]weeks!$B$107:$BP$144,67,FALSE)-VLOOKUP(B452,[1]weeks!$B$156:$BP$193,67,FALSE)</f>
        <v>0</v>
      </c>
      <c r="L452" s="163">
        <f>VLOOKUP(B452,[1]weeks!$B$55:$BP$94,67,FALSE)-VLOOKUP(B452,[1]weeks!$B$107:$BP$144,67,FALSE)</f>
        <v>0</v>
      </c>
      <c r="M452" s="163">
        <f>VLOOKUP(B452,[1]weeks!$B$5:$BP$44,67,FALSE)-VLOOKUP(B452,[1]weeks!$B$55:$BP$94,67,FALSE)</f>
        <v>0</v>
      </c>
      <c r="N452" s="163" t="str">
        <f t="shared" si="205"/>
        <v>-</v>
      </c>
      <c r="O452" s="163">
        <f t="shared" si="206"/>
        <v>0</v>
      </c>
      <c r="P452" s="146">
        <f>IF(ISNUMBER(VLOOKUP(B452,[1]Closures!B:BI,62,FALSE)),TEXT(VLOOKUP(B452,[1]Closures!B:BI,62,FALSE),"ddmmm"),IF(C452&lt;=0,0,IF(I452&lt;=0,0,IF(AND(C452&gt;0,O452&lt;=0),"&gt;52",IF(I452/O452&gt;52,"&gt;52", MAX(0,I452/O452-2))))))</f>
        <v>0</v>
      </c>
      <c r="S452" s="130"/>
    </row>
    <row r="453" spans="1:19" ht="10.7" customHeight="1" x14ac:dyDescent="0.2">
      <c r="A453" s="122"/>
      <c r="B453" s="161" t="s">
        <v>136</v>
      </c>
      <c r="C453" s="162"/>
      <c r="D453" s="163">
        <f>F453-VLOOKUP(B453,[1]Quota!$B$32:$BJ$43,23,FALSE)</f>
        <v>0</v>
      </c>
      <c r="E453" s="163"/>
      <c r="F453" s="164"/>
      <c r="G453" s="163"/>
      <c r="H453" s="165"/>
      <c r="I453" s="164"/>
      <c r="J453" s="163"/>
      <c r="K453" s="163"/>
      <c r="L453" s="163"/>
      <c r="M453" s="163"/>
      <c r="N453" s="163"/>
      <c r="O453" s="163"/>
      <c r="P453" s="146"/>
      <c r="S453" s="130"/>
    </row>
    <row r="454" spans="1:19" ht="10.7" customHeight="1" x14ac:dyDescent="0.2">
      <c r="A454" s="122"/>
      <c r="B454" s="168" t="s">
        <v>137</v>
      </c>
      <c r="C454" s="162">
        <f>SUM(C449:C452)</f>
        <v>0.30000000000000004</v>
      </c>
      <c r="D454" s="163">
        <f>SUM(D449:D453)</f>
        <v>0</v>
      </c>
      <c r="E454" s="163">
        <f t="shared" si="203"/>
        <v>0</v>
      </c>
      <c r="F454" s="217">
        <f t="shared" ref="F454" si="207">SUM(F449:F452)</f>
        <v>0.30000000000000004</v>
      </c>
      <c r="G454" s="163">
        <f>SUM(G449:G452)</f>
        <v>0</v>
      </c>
      <c r="H454" s="165">
        <f t="shared" si="202"/>
        <v>0</v>
      </c>
      <c r="I454" s="217">
        <f t="shared" ref="I454:L454" si="208">SUM(I449:I452)</f>
        <v>0.30000000000000004</v>
      </c>
      <c r="J454" s="163">
        <f t="shared" si="208"/>
        <v>0</v>
      </c>
      <c r="K454" s="163">
        <f t="shared" si="208"/>
        <v>0</v>
      </c>
      <c r="L454" s="163">
        <f t="shared" si="208"/>
        <v>0</v>
      </c>
      <c r="M454" s="163">
        <f>SUM(M449:M452)</f>
        <v>0</v>
      </c>
      <c r="N454" s="163">
        <f t="shared" si="205"/>
        <v>0</v>
      </c>
      <c r="O454" s="163">
        <f t="shared" si="206"/>
        <v>0</v>
      </c>
      <c r="P454" s="146" t="str">
        <f>IF(ISNUMBER(VLOOKUP(B454,[1]Closures!B:BI,62,FALSE)),TEXT(VLOOKUP(B454,[1]Closures!B:BI,62,FALSE),"ddmmm"),IF(C454&lt;=0,0,IF(I454&lt;=0,0,IF(AND(C454&gt;0,O454&lt;=0),"&gt;52",IF(I454/O454&gt;52,"&gt;52", MAX(0,I454/O454-2))))))</f>
        <v>&gt;52</v>
      </c>
      <c r="S454" s="130"/>
    </row>
    <row r="455" spans="1:19" ht="10.7" customHeight="1" x14ac:dyDescent="0.2">
      <c r="A455" s="122"/>
      <c r="B455" s="168"/>
      <c r="C455" s="162"/>
      <c r="D455" s="163"/>
      <c r="E455" s="163"/>
      <c r="F455" s="164"/>
      <c r="G455" s="163"/>
      <c r="H455" s="165"/>
      <c r="I455" s="164"/>
      <c r="J455" s="163"/>
      <c r="K455" s="163"/>
      <c r="L455" s="163"/>
      <c r="M455" s="163"/>
      <c r="N455" s="163" t="str">
        <f t="shared" si="205"/>
        <v>-</v>
      </c>
      <c r="O455" s="163"/>
      <c r="P455" s="146"/>
      <c r="S455" s="130"/>
    </row>
    <row r="456" spans="1:19" ht="10.7" customHeight="1" x14ac:dyDescent="0.2">
      <c r="A456" s="122"/>
      <c r="B456" s="174" t="s">
        <v>138</v>
      </c>
      <c r="C456" s="162">
        <f>'[2]IV&amp;VI Combined'!$U$36</f>
        <v>0</v>
      </c>
      <c r="D456" s="163">
        <f>F456-VLOOKUP(B456,[1]Quota!$B$103:$BJ$143,23,FALSE)</f>
        <v>0</v>
      </c>
      <c r="E456" s="163">
        <f t="shared" si="203"/>
        <v>0</v>
      </c>
      <c r="F456" s="164">
        <f>VLOOKUP(B456,[1]Quota!$B$81:$BJ$92,23,FALSE)</f>
        <v>0</v>
      </c>
      <c r="G456" s="163">
        <f>'[1]Cumulative '!BP228</f>
        <v>0</v>
      </c>
      <c r="H456" s="165" t="str">
        <f t="shared" si="202"/>
        <v>n/a</v>
      </c>
      <c r="I456" s="164">
        <f t="shared" ref="I456:I463" si="209">F456-G456</f>
        <v>0</v>
      </c>
      <c r="J456" s="163">
        <f>VLOOKUP(B456,[1]weeks!$B$156:$BP$193,67,FALSE)-VLOOKUP(B456,[1]weeks!$B$206:$BP$243,67,FALSE)</f>
        <v>0</v>
      </c>
      <c r="K456" s="163">
        <f>VLOOKUP(B456,[1]weeks!$B$107:$BP$144,67,FALSE)-VLOOKUP(B456,[1]weeks!$B$156:$BP$193,67,FALSE)</f>
        <v>0</v>
      </c>
      <c r="L456" s="163">
        <f>VLOOKUP(B456,[1]weeks!$B$55:$BP$94,67,FALSE)-VLOOKUP(B456,[1]weeks!$B$107:$BP$144,67,FALSE)</f>
        <v>0</v>
      </c>
      <c r="M456" s="163">
        <f>VLOOKUP(B456,[1]weeks!$B$5:$BP$44,67,FALSE)-VLOOKUP(B456,[1]weeks!$B$55:$BP$94,67,FALSE)</f>
        <v>0</v>
      </c>
      <c r="N456" s="163" t="str">
        <f t="shared" si="205"/>
        <v>-</v>
      </c>
      <c r="O456" s="163">
        <f t="shared" si="206"/>
        <v>0</v>
      </c>
      <c r="P456" s="146">
        <f>IF(ISNUMBER(VLOOKUP(B456,[1]Closures!B:BI,62,FALSE)),TEXT(VLOOKUP(B456,[1]Closures!B:BI,62,FALSE),"ddmmm"),IF(C456&lt;=0,0,IF(I456&lt;=0,0,IF(AND(C456&gt;0,O456&lt;=0),"&gt;52",IF(I456/O456&gt;52,"&gt;52", MAX(0,I456/O456-2))))))</f>
        <v>0</v>
      </c>
      <c r="S456" s="130"/>
    </row>
    <row r="457" spans="1:19" ht="10.7" customHeight="1" x14ac:dyDescent="0.2">
      <c r="A457" s="122"/>
      <c r="B457" s="174" t="s">
        <v>139</v>
      </c>
      <c r="C457" s="162">
        <f>'[2]IV&amp;VI Combined'!$U$37</f>
        <v>0</v>
      </c>
      <c r="D457" s="163">
        <f>F457-VLOOKUP(B457,[1]Quota!$B$103:$BJ$143,23,FALSE)</f>
        <v>0</v>
      </c>
      <c r="E457" s="163">
        <f t="shared" si="203"/>
        <v>0</v>
      </c>
      <c r="F457" s="164">
        <f>VLOOKUP(B457,[1]Quota!$B$81:$BJ$92,23,FALSE)</f>
        <v>0</v>
      </c>
      <c r="G457" s="163">
        <f>'[1]Cumulative '!BP229</f>
        <v>0</v>
      </c>
      <c r="H457" s="165" t="str">
        <f t="shared" si="202"/>
        <v>n/a</v>
      </c>
      <c r="I457" s="164">
        <f t="shared" si="209"/>
        <v>0</v>
      </c>
      <c r="J457" s="163">
        <f>VLOOKUP(B457,[1]weeks!$B$156:$BP$193,67,FALSE)-VLOOKUP(B457,[1]weeks!$B$206:$BP$243,67,FALSE)</f>
        <v>0</v>
      </c>
      <c r="K457" s="163">
        <f>VLOOKUP(B457,[1]weeks!$B$107:$BP$144,67,FALSE)-VLOOKUP(B457,[1]weeks!$B$156:$BP$193,67,FALSE)</f>
        <v>0</v>
      </c>
      <c r="L457" s="163">
        <f>VLOOKUP(B457,[1]weeks!$B$55:$BP$94,67,FALSE)-VLOOKUP(B457,[1]weeks!$B$107:$BP$144,67,FALSE)</f>
        <v>0</v>
      </c>
      <c r="M457" s="163">
        <f>VLOOKUP(B457,[1]weeks!$B$5:$BP$44,67,FALSE)-VLOOKUP(B457,[1]weeks!$B$55:$BP$94,67,FALSE)</f>
        <v>0</v>
      </c>
      <c r="N457" s="163" t="str">
        <f t="shared" si="205"/>
        <v>-</v>
      </c>
      <c r="O457" s="163">
        <f t="shared" si="206"/>
        <v>0</v>
      </c>
      <c r="P457" s="146">
        <f>IF(ISNUMBER(VLOOKUP(B457,[1]Closures!B:BI,62,FALSE)),TEXT(VLOOKUP(B457,[1]Closures!B:BI,62,FALSE),"ddmmm"),IF(C457&lt;=0,0,IF(I457&lt;=0,0,IF(AND(C457&gt;0,O457&lt;=0),"&gt;52",IF(I457/O457&gt;52,"&gt;52", MAX(0,I457/O457-2))))))</f>
        <v>0</v>
      </c>
      <c r="S457" s="130"/>
    </row>
    <row r="458" spans="1:19" ht="10.7" customHeight="1" x14ac:dyDescent="0.2">
      <c r="A458" s="122"/>
      <c r="B458" s="174" t="s">
        <v>140</v>
      </c>
      <c r="C458" s="162">
        <f>'[2]IV&amp;VI Combined'!$U$38</f>
        <v>1.7</v>
      </c>
      <c r="D458" s="163">
        <f>F458-VLOOKUP(B458,[1]Quota!$B$103:$BJ$143,23,FALSE)</f>
        <v>0</v>
      </c>
      <c r="E458" s="163">
        <f t="shared" si="203"/>
        <v>0</v>
      </c>
      <c r="F458" s="164">
        <f>VLOOKUP(B458,[1]Quota!$B$81:$BJ$92,23,FALSE)</f>
        <v>1.7</v>
      </c>
      <c r="G458" s="163">
        <f>'[1]Cumulative '!BP230</f>
        <v>0</v>
      </c>
      <c r="H458" s="165">
        <f t="shared" si="202"/>
        <v>0</v>
      </c>
      <c r="I458" s="164">
        <f t="shared" si="209"/>
        <v>1.7</v>
      </c>
      <c r="J458" s="163">
        <f>VLOOKUP(B458,[1]weeks!$B$156:$BP$193,67,FALSE)-VLOOKUP(B458,[1]weeks!$B$206:$BP$243,67,FALSE)</f>
        <v>0</v>
      </c>
      <c r="K458" s="163">
        <f>VLOOKUP(B458,[1]weeks!$B$107:$BP$144,67,FALSE)-VLOOKUP(B458,[1]weeks!$B$156:$BP$193,67,FALSE)</f>
        <v>0</v>
      </c>
      <c r="L458" s="163">
        <f>VLOOKUP(B458,[1]weeks!$B$55:$BP$94,67,FALSE)-VLOOKUP(B458,[1]weeks!$B$107:$BP$144,67,FALSE)</f>
        <v>0</v>
      </c>
      <c r="M458" s="163">
        <f>VLOOKUP(B458,[1]weeks!$B$5:$BP$44,67,FALSE)-VLOOKUP(B458,[1]weeks!$B$55:$BP$94,67,FALSE)</f>
        <v>0</v>
      </c>
      <c r="N458" s="163">
        <f t="shared" si="205"/>
        <v>0</v>
      </c>
      <c r="O458" s="163">
        <f t="shared" si="206"/>
        <v>0</v>
      </c>
      <c r="P458" s="146" t="str">
        <f>IF(ISNUMBER(VLOOKUP(B458,[1]Closures!B:BI,62,FALSE)),TEXT(VLOOKUP(B458,[1]Closures!B:BI,62,FALSE),"ddmmm"),IF(C458&lt;=0,0,IF(I458&lt;=0,0,IF(AND(C458&gt;0,O458&lt;=0),"&gt;52",IF(I458/O458&gt;52,"&gt;52", MAX(0,I458/O458-2))))))</f>
        <v>&gt;52</v>
      </c>
      <c r="S458" s="130"/>
    </row>
    <row r="459" spans="1:19" ht="10.7" customHeight="1" x14ac:dyDescent="0.2">
      <c r="A459" s="122"/>
      <c r="B459" s="174" t="s">
        <v>141</v>
      </c>
      <c r="C459" s="162">
        <f>'[2]IV&amp;VI Combined'!$U$39</f>
        <v>0.3</v>
      </c>
      <c r="D459" s="163">
        <f>F459-VLOOKUP(B459,[1]Quota!$B$103:$BJ$143,23,FALSE)</f>
        <v>0</v>
      </c>
      <c r="E459" s="163">
        <f t="shared" si="203"/>
        <v>0</v>
      </c>
      <c r="F459" s="164">
        <f>VLOOKUP(B459,[1]Quota!$B$81:$BJ$92,23,FALSE)</f>
        <v>0.3</v>
      </c>
      <c r="G459" s="163">
        <f>'[1]Cumulative '!BP231</f>
        <v>0</v>
      </c>
      <c r="H459" s="165">
        <f>IF(AND(F459&lt;=0),"n/a",IF(F459=0,0,100*G459/F459))</f>
        <v>0</v>
      </c>
      <c r="I459" s="164">
        <f t="shared" si="209"/>
        <v>0.3</v>
      </c>
      <c r="J459" s="163">
        <f>VLOOKUP(B459,[1]weeks!$B$156:$BP$193,67,FALSE)-VLOOKUP(B459,[1]weeks!$B$206:$BP$243,67,FALSE)</f>
        <v>0</v>
      </c>
      <c r="K459" s="163">
        <f>VLOOKUP(B459,[1]weeks!$B$107:$BP$144,67,FALSE)-VLOOKUP(B459,[1]weeks!$B$156:$BP$193,67,FALSE)</f>
        <v>0</v>
      </c>
      <c r="L459" s="163">
        <f>VLOOKUP(B459,[1]weeks!$B$55:$BP$94,67,FALSE)-VLOOKUP(B459,[1]weeks!$B$107:$BP$144,67,FALSE)</f>
        <v>0</v>
      </c>
      <c r="M459" s="163">
        <f>VLOOKUP(B459,[1]weeks!$B$5:$BP$44,67,FALSE)-VLOOKUP(B459,[1]weeks!$B$55:$BP$94,67,FALSE)</f>
        <v>0</v>
      </c>
      <c r="N459" s="163">
        <f t="shared" si="205"/>
        <v>0</v>
      </c>
      <c r="O459" s="163">
        <f t="shared" si="206"/>
        <v>0</v>
      </c>
      <c r="P459" s="146" t="str">
        <f>IF(ISNUMBER(VLOOKUP(B459,[1]Closures!B:BI,62,FALSE)),TEXT(VLOOKUP(B459,[1]Closures!B:BI,62,FALSE),"ddmmm"),IF(C459&lt;=0,0,IF(I459&lt;=0,0,IF(AND(C459&gt;0,O459&lt;=0),"&gt;52",IF(I459/O459&gt;52,"&gt;52", MAX(0,I459/O459-2))))))</f>
        <v>&gt;52</v>
      </c>
      <c r="S459" s="130"/>
    </row>
    <row r="460" spans="1:19" ht="10.7" customHeight="1" x14ac:dyDescent="0.2">
      <c r="A460" s="122"/>
      <c r="B460" s="174" t="s">
        <v>142</v>
      </c>
      <c r="C460" s="162"/>
      <c r="D460" s="163">
        <f>F460-VLOOKUP(B460,[1]Quota!$B$32:$BJ$43,23,FALSE)</f>
        <v>0</v>
      </c>
      <c r="E460" s="163"/>
      <c r="F460" s="164"/>
      <c r="G460" s="163"/>
      <c r="H460" s="165"/>
      <c r="I460" s="164"/>
      <c r="J460" s="163"/>
      <c r="K460" s="163"/>
      <c r="L460" s="163"/>
      <c r="M460" s="163"/>
      <c r="N460" s="163"/>
      <c r="O460" s="163"/>
      <c r="P460" s="146"/>
      <c r="S460" s="130"/>
    </row>
    <row r="461" spans="1:19" ht="10.7" customHeight="1" x14ac:dyDescent="0.2">
      <c r="A461" s="122"/>
      <c r="B461" s="168" t="s">
        <v>143</v>
      </c>
      <c r="C461" s="162">
        <f>SUM(C456:C460)</f>
        <v>2</v>
      </c>
      <c r="D461" s="163">
        <f>SUM(D456:D460)</f>
        <v>0</v>
      </c>
      <c r="E461" s="163">
        <f t="shared" si="203"/>
        <v>0</v>
      </c>
      <c r="F461" s="217">
        <f t="shared" ref="F461:G461" si="210">SUM(F456:F460)</f>
        <v>2</v>
      </c>
      <c r="G461" s="173">
        <f t="shared" si="210"/>
        <v>0</v>
      </c>
      <c r="H461" s="165">
        <f>IF(AND(F461&lt;=0),"n/a",IF(F461=0,0,100*G461/F461))</f>
        <v>0</v>
      </c>
      <c r="I461" s="164">
        <f t="shared" si="209"/>
        <v>2</v>
      </c>
      <c r="J461" s="163">
        <f t="shared" ref="J461:L461" si="211">SUM(J456:J459)</f>
        <v>0</v>
      </c>
      <c r="K461" s="163">
        <f t="shared" si="211"/>
        <v>0</v>
      </c>
      <c r="L461" s="163">
        <f t="shared" si="211"/>
        <v>0</v>
      </c>
      <c r="M461" s="163">
        <f>SUM(M456:M459)</f>
        <v>0</v>
      </c>
      <c r="N461" s="163">
        <f t="shared" si="205"/>
        <v>0</v>
      </c>
      <c r="O461" s="163">
        <f>SUM(J461:M461)/4</f>
        <v>0</v>
      </c>
      <c r="P461" s="146" t="str">
        <f>IF(ISNUMBER(VLOOKUP(B461,[1]Closures!B:BI,62,FALSE)),TEXT(VLOOKUP(B461,[1]Closures!B:BI,62,FALSE),"ddmmm"),IF(C461&lt;=0,0,IF(I461&lt;=0,0,IF(AND(C461&gt;0,O461&lt;=0),"&gt;52",IF(I461/O461&gt;52,"&gt;52", MAX(0,I461/O461-2))))))</f>
        <v>&gt;52</v>
      </c>
      <c r="S461" s="130"/>
    </row>
    <row r="462" spans="1:19" ht="10.7" customHeight="1" x14ac:dyDescent="0.2">
      <c r="A462" s="122"/>
      <c r="B462" s="168"/>
      <c r="C462" s="162"/>
      <c r="D462" s="163"/>
      <c r="E462" s="163"/>
      <c r="F462" s="164"/>
      <c r="G462" s="163"/>
      <c r="H462" s="165"/>
      <c r="I462" s="164"/>
      <c r="J462" s="163"/>
      <c r="K462" s="163"/>
      <c r="L462" s="163"/>
      <c r="M462" s="163"/>
      <c r="N462" s="163"/>
      <c r="O462" s="163"/>
      <c r="P462" s="146"/>
      <c r="S462" s="130"/>
    </row>
    <row r="463" spans="1:19" ht="10.7" customHeight="1" x14ac:dyDescent="0.2">
      <c r="A463" s="122"/>
      <c r="B463" s="175" t="s">
        <v>112</v>
      </c>
      <c r="C463" s="176">
        <f>C461+C454</f>
        <v>2.2999999999999998</v>
      </c>
      <c r="D463" s="180">
        <f>D461+D454</f>
        <v>0</v>
      </c>
      <c r="E463" s="180">
        <f t="shared" si="203"/>
        <v>0</v>
      </c>
      <c r="F463" s="189">
        <f>F461+F454</f>
        <v>2.2999999999999998</v>
      </c>
      <c r="G463" s="180">
        <f>G461+G454</f>
        <v>0</v>
      </c>
      <c r="H463" s="179">
        <f>IF(AND(F463&lt;=0),"n/a",IF(F463=0,0,100*G463/F463))</f>
        <v>0</v>
      </c>
      <c r="I463" s="218">
        <f t="shared" si="209"/>
        <v>2.2999999999999998</v>
      </c>
      <c r="J463" s="180">
        <f t="shared" ref="J463:L463" si="212">J454+J461</f>
        <v>0</v>
      </c>
      <c r="K463" s="180">
        <f t="shared" si="212"/>
        <v>0</v>
      </c>
      <c r="L463" s="180">
        <f t="shared" si="212"/>
        <v>0</v>
      </c>
      <c r="M463" s="180">
        <f>M454+M461</f>
        <v>0</v>
      </c>
      <c r="N463" s="180">
        <f t="shared" si="205"/>
        <v>0</v>
      </c>
      <c r="O463" s="180">
        <f>SUM(J463:M463)/4</f>
        <v>0</v>
      </c>
      <c r="P463" s="153" t="str">
        <f>IF(ISNUMBER(VLOOKUP(B463,[1]Closures!B:BI,62,FALSE)),TEXT(VLOOKUP(B463,[1]Closures!B:BI,62,FALSE),"ddmmm"),IF(C463&lt;=0,0,IF(I463&lt;=0,0,IF(AND(C463&gt;0,O463&lt;=0),"&gt;52",IF(I463/O463&gt;52,"&gt;52", MAX(0,I463/O463-2))))))</f>
        <v>&gt;52</v>
      </c>
      <c r="S463" s="130"/>
    </row>
    <row r="464" spans="1:19" ht="10.7" customHeight="1" x14ac:dyDescent="0.2">
      <c r="A464" s="122"/>
      <c r="B464" s="212"/>
      <c r="C464" s="173"/>
      <c r="D464" s="163"/>
      <c r="E464" s="163"/>
      <c r="F464" s="164"/>
      <c r="G464" s="163"/>
      <c r="H464" s="165"/>
      <c r="I464" s="164"/>
      <c r="J464" s="163"/>
      <c r="K464" s="163"/>
      <c r="L464" s="163"/>
      <c r="M464" s="163"/>
      <c r="N464" s="163"/>
      <c r="O464" s="163"/>
      <c r="P464" s="182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tr">
        <f>C5</f>
        <v>Initial Quota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f>[1]weeks!$B$154</f>
        <v>43166</v>
      </c>
      <c r="K468" s="151">
        <f>[1]weeks!$B$105</f>
        <v>43173</v>
      </c>
      <c r="L468" s="151">
        <f>[1]weeks!$B$55</f>
        <v>43180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6"/>
      <c r="C470" s="193" t="s">
        <v>177</v>
      </c>
      <c r="D470" s="193"/>
      <c r="E470" s="193"/>
      <c r="F470" s="193"/>
      <c r="G470" s="193"/>
      <c r="H470" s="193"/>
      <c r="I470" s="193"/>
      <c r="J470" s="193"/>
      <c r="K470" s="193"/>
      <c r="L470" s="193"/>
      <c r="M470" s="193"/>
      <c r="N470" s="193"/>
      <c r="O470" s="194"/>
      <c r="P470" s="145"/>
      <c r="S470" s="130"/>
    </row>
    <row r="471" spans="1:19" ht="10.7" customHeight="1" x14ac:dyDescent="0.2">
      <c r="A471" s="122"/>
      <c r="B471" s="161" t="s">
        <v>132</v>
      </c>
      <c r="C471" s="162">
        <f>'[2]IV&amp;VI Combined'!$W$29</f>
        <v>0</v>
      </c>
      <c r="D471" s="163">
        <f>F471-VLOOKUP(B471,[1]Quota!$B$32:$BJ$43,25,FALSE)</f>
        <v>0</v>
      </c>
      <c r="E471" s="163">
        <f>F471-C471</f>
        <v>0</v>
      </c>
      <c r="F471" s="164">
        <f>VLOOKUP(B471,[1]Quota!$B$81:$BJ$92,25,FALSE)</f>
        <v>0</v>
      </c>
      <c r="G471" s="124">
        <f>'[1]Cumulative '!AB221</f>
        <v>0</v>
      </c>
      <c r="H471" s="165" t="str">
        <f>IF(AND(F471&lt;=0),"n/a",IF(F471=0,0,100*G472/F471))</f>
        <v>n/a</v>
      </c>
      <c r="I471" s="164">
        <f>F471-G471</f>
        <v>0</v>
      </c>
      <c r="J471" s="163">
        <f>VLOOKUP(B471,[1]weeks!$B$156:$BO$193,27,FALSE)-VLOOKUP(B471,[1]weeks!$B$206:$BO$243,27,FALSE)</f>
        <v>0</v>
      </c>
      <c r="K471" s="163">
        <f>VLOOKUP(B471,[1]weeks!$B$107:$BO$144,27,FALSE)-VLOOKUP(B471,[1]weeks!$B$156:$BO$193,27,FALSE)</f>
        <v>0</v>
      </c>
      <c r="L471" s="163">
        <f>VLOOKUP(B471,[1]weeks!$B$55:$BO$94,27,FALSE)-VLOOKUP(B471,[1]weeks!$B$107:$BO$144,27,FALSE)</f>
        <v>0</v>
      </c>
      <c r="M471" s="163">
        <f>VLOOKUP(B471,[1]weeks!$B$5:$BO$44,27,FALSE)-VLOOKUP(B471,[1]weeks!$B$55:$BO$94,27,FALSE)</f>
        <v>0</v>
      </c>
      <c r="N471" s="163" t="str">
        <f>IF(F471&gt;0,M471/F471*100,"-")</f>
        <v>-</v>
      </c>
      <c r="O471" s="163">
        <f>SUM(J471:M471)/4</f>
        <v>0</v>
      </c>
      <c r="P471" s="146">
        <f>IF(ISNUMBER(VLOOKUP(B471,[1]Closures!B:BI,24,FALSE)),TEXT(VLOOKUP(B471,[1]Closures!B:BI,24,FALSE),"ddmmm"),IF(C471&lt;=0,0,IF(I471&lt;=0,0,IF(AND(C471&gt;0,O471&lt;=0),"&gt;52",IF(I471/O471&gt;52,"&gt;52", MAX(0,I471/O471-2))))))</f>
        <v>0</v>
      </c>
      <c r="S471" s="130"/>
    </row>
    <row r="472" spans="1:19" ht="10.7" customHeight="1" x14ac:dyDescent="0.2">
      <c r="A472" s="122"/>
      <c r="B472" s="161" t="s">
        <v>133</v>
      </c>
      <c r="C472" s="162">
        <f>'[2]IV&amp;VI Combined'!$W$30</f>
        <v>0</v>
      </c>
      <c r="D472" s="163">
        <f>F472-VLOOKUP(B472,[1]Quota!$B$32:$BJ$43,25,FALSE)</f>
        <v>0</v>
      </c>
      <c r="E472" s="163">
        <f t="shared" ref="E472:E485" si="213">F472-C472</f>
        <v>0</v>
      </c>
      <c r="F472" s="164">
        <f>VLOOKUP(B472,[1]Quota!$B$81:$BJ$92,25,FALSE)</f>
        <v>0</v>
      </c>
      <c r="G472" s="124">
        <f>'[1]Cumulative '!AB222</f>
        <v>0</v>
      </c>
      <c r="H472" s="165" t="str">
        <f>IF(AND(F472&lt;=0),"n/a",IF(F472=0,0,100*#REF!/F472))</f>
        <v>n/a</v>
      </c>
      <c r="I472" s="164">
        <f t="shared" ref="I472:I475" si="214">F472-G472</f>
        <v>0</v>
      </c>
      <c r="J472" s="163">
        <f>VLOOKUP(B472,[1]weeks!$B$156:$BO$193,27,FALSE)-VLOOKUP(B472,[1]weeks!$B$206:$BO$243,27,FALSE)</f>
        <v>0</v>
      </c>
      <c r="K472" s="163">
        <f>VLOOKUP(B472,[1]weeks!$B$107:$BO$144,27,FALSE)-VLOOKUP(B472,[1]weeks!$B$156:$BO$193,27,FALSE)</f>
        <v>0</v>
      </c>
      <c r="L472" s="163">
        <f>VLOOKUP(B472,[1]weeks!$B$55:$BO$94,27,FALSE)-VLOOKUP(B472,[1]weeks!$B$107:$BO$144,27,FALSE)</f>
        <v>0</v>
      </c>
      <c r="M472" s="163">
        <f>VLOOKUP(B472,[1]weeks!$B$5:$BO$44,27,FALSE)-VLOOKUP(B472,[1]weeks!$B$55:$BO$94,27,FALSE)</f>
        <v>0</v>
      </c>
      <c r="N472" s="163" t="str">
        <f t="shared" ref="N472:N485" si="215">IF(F472&gt;0,M472/F472*100,"-")</f>
        <v>-</v>
      </c>
      <c r="O472" s="163">
        <f t="shared" ref="O472:O481" si="216">SUM(J472:M472)/4</f>
        <v>0</v>
      </c>
      <c r="P472" s="146">
        <f>IF(ISNUMBER(VLOOKUP(B472,[1]Closures!B:BI,24,FALSE)),TEXT(VLOOKUP(B472,[1]Closures!B:BI,24,FALSE),"ddmmm"),IF(C472&lt;=0,0,IF(I472&lt;=0,0,IF(AND(C472&gt;0,O472&lt;=0),"&gt;52",IF(I472/O472&gt;52,"&gt;52", MAX(0,I472/O472-2))))))</f>
        <v>0</v>
      </c>
      <c r="S472" s="130"/>
    </row>
    <row r="473" spans="1:19" ht="10.7" customHeight="1" x14ac:dyDescent="0.2">
      <c r="A473" s="122"/>
      <c r="B473" s="161" t="s">
        <v>134</v>
      </c>
      <c r="C473" s="162">
        <f>'[2]IV&amp;VI Combined'!$W$31</f>
        <v>0</v>
      </c>
      <c r="D473" s="163">
        <f>F473-VLOOKUP(B473,[1]Quota!$B$32:$BJ$43,25,FALSE)</f>
        <v>0</v>
      </c>
      <c r="E473" s="163">
        <f t="shared" si="213"/>
        <v>0</v>
      </c>
      <c r="F473" s="164">
        <f>VLOOKUP(B473,[1]Quota!$B$81:$BJ$92,25,FALSE)</f>
        <v>0</v>
      </c>
      <c r="G473" s="124">
        <f>'[1]Cumulative '!AB223</f>
        <v>0</v>
      </c>
      <c r="H473" s="165" t="str">
        <f t="shared" ref="H473:H485" si="217">IF(AND(F473&lt;=0),"n/a",IF(F473=0,0,100*G473/F473))</f>
        <v>n/a</v>
      </c>
      <c r="I473" s="164">
        <f t="shared" si="214"/>
        <v>0</v>
      </c>
      <c r="J473" s="163">
        <f>VLOOKUP(B473,[1]weeks!$B$156:$BO$193,27,FALSE)-VLOOKUP(B473,[1]weeks!$B$206:$BO$243,27,FALSE)</f>
        <v>0</v>
      </c>
      <c r="K473" s="163">
        <f>VLOOKUP(B473,[1]weeks!$B$107:$BO$144,27,FALSE)-VLOOKUP(B473,[1]weeks!$B$156:$BO$193,27,FALSE)</f>
        <v>0</v>
      </c>
      <c r="L473" s="163">
        <f>VLOOKUP(B473,[1]weeks!$B$55:$BO$94,27,FALSE)-VLOOKUP(B473,[1]weeks!$B$107:$BO$144,27,FALSE)</f>
        <v>0</v>
      </c>
      <c r="M473" s="163">
        <f>VLOOKUP(B473,[1]weeks!$B$5:$BO$44,27,FALSE)-VLOOKUP(B473,[1]weeks!$B$55:$BO$94,27,FALSE)</f>
        <v>0</v>
      </c>
      <c r="N473" s="163" t="str">
        <f t="shared" si="215"/>
        <v>-</v>
      </c>
      <c r="O473" s="163">
        <f t="shared" si="216"/>
        <v>0</v>
      </c>
      <c r="P473" s="146">
        <f>IF(ISNUMBER(VLOOKUP(B473,[1]Closures!B:BI,24,FALSE)),TEXT(VLOOKUP(B473,[1]Closures!B:BI,24,FALSE),"ddmmm"),IF(C473&lt;=0,0,IF(I473&lt;=0,0,IF(AND(C473&gt;0,O473&lt;=0),"&gt;52",IF(I473/O473&gt;52,"&gt;52", MAX(0,I473/O473-2))))))</f>
        <v>0</v>
      </c>
      <c r="S473" s="130"/>
    </row>
    <row r="474" spans="1:19" ht="10.7" customHeight="1" x14ac:dyDescent="0.2">
      <c r="A474" s="122"/>
      <c r="B474" s="161" t="s">
        <v>135</v>
      </c>
      <c r="C474" s="162">
        <f>'[2]IV&amp;VI Combined'!$W$32</f>
        <v>0</v>
      </c>
      <c r="D474" s="163">
        <f>F474-VLOOKUP(B474,[1]Quota!$B$32:$BJ$43,25,FALSE)</f>
        <v>0</v>
      </c>
      <c r="E474" s="163">
        <f t="shared" si="213"/>
        <v>0</v>
      </c>
      <c r="F474" s="164">
        <f>VLOOKUP(B474,[1]Quota!$B$81:$BJ$92,25,FALSE)</f>
        <v>0</v>
      </c>
      <c r="G474" s="124">
        <f>'[1]Cumulative '!AB224</f>
        <v>0</v>
      </c>
      <c r="H474" s="165" t="str">
        <f t="shared" si="217"/>
        <v>n/a</v>
      </c>
      <c r="I474" s="164">
        <f t="shared" si="214"/>
        <v>0</v>
      </c>
      <c r="J474" s="163">
        <f>VLOOKUP(B474,[1]weeks!$B$156:$BO$193,27,FALSE)-VLOOKUP(B474,[1]weeks!$B$206:$BO$243,27,FALSE)</f>
        <v>0</v>
      </c>
      <c r="K474" s="163">
        <f>VLOOKUP(B474,[1]weeks!$B$107:$BO$144,27,FALSE)-VLOOKUP(B474,[1]weeks!$B$156:$BO$193,27,FALSE)</f>
        <v>0</v>
      </c>
      <c r="L474" s="163">
        <f>VLOOKUP(B474,[1]weeks!$B$55:$BO$94,27,FALSE)-VLOOKUP(B474,[1]weeks!$B$107:$BO$144,27,FALSE)</f>
        <v>0</v>
      </c>
      <c r="M474" s="163">
        <f>VLOOKUP(B474,[1]weeks!$B$5:$BO$44,27,FALSE)-VLOOKUP(B474,[1]weeks!$B$55:$BO$94,27,FALSE)</f>
        <v>0</v>
      </c>
      <c r="N474" s="163" t="str">
        <f t="shared" si="215"/>
        <v>-</v>
      </c>
      <c r="O474" s="163">
        <f t="shared" si="216"/>
        <v>0</v>
      </c>
      <c r="P474" s="146">
        <f>IF(ISNUMBER(VLOOKUP(B474,[1]Closures!B:BI,24,FALSE)),TEXT(VLOOKUP(B474,[1]Closures!B:BI,24,FALSE),"ddmmm"),IF(C474&lt;=0,0,IF(I474&lt;=0,0,IF(AND(C474&gt;0,O474&lt;=0),"&gt;52",IF(I474/O474&gt;52,"&gt;52", MAX(0,I474/O474-2))))))</f>
        <v>0</v>
      </c>
      <c r="S474" s="130"/>
    </row>
    <row r="475" spans="1:19" ht="10.7" customHeight="1" x14ac:dyDescent="0.2">
      <c r="A475" s="122"/>
      <c r="B475" s="161" t="s">
        <v>136</v>
      </c>
      <c r="C475" s="162"/>
      <c r="D475" s="163">
        <f>F475-VLOOKUP(B475,[1]Quota!$B$32:$BJ$43,25,FALSE)</f>
        <v>0</v>
      </c>
      <c r="E475" s="163"/>
      <c r="F475" s="164">
        <f>VLOOKUP(B475,[1]Quota!$B$81:$BJ$92,25,FALSE)</f>
        <v>0</v>
      </c>
      <c r="G475" s="163"/>
      <c r="H475" s="165" t="str">
        <f t="shared" si="217"/>
        <v>n/a</v>
      </c>
      <c r="I475" s="164">
        <f t="shared" si="214"/>
        <v>0</v>
      </c>
      <c r="J475" s="163"/>
      <c r="K475" s="163"/>
      <c r="L475" s="163"/>
      <c r="M475" s="163"/>
      <c r="N475" s="163"/>
      <c r="O475" s="163"/>
      <c r="P475" s="146"/>
      <c r="S475" s="130"/>
    </row>
    <row r="476" spans="1:19" ht="10.7" customHeight="1" x14ac:dyDescent="0.2">
      <c r="A476" s="122"/>
      <c r="B476" s="168" t="s">
        <v>137</v>
      </c>
      <c r="C476" s="162">
        <f>SUM(C471:C474)</f>
        <v>0</v>
      </c>
      <c r="D476" s="163">
        <f>SUM(D471:D475)</f>
        <v>0</v>
      </c>
      <c r="E476" s="163">
        <f t="shared" si="213"/>
        <v>0</v>
      </c>
      <c r="F476" s="217">
        <f t="shared" ref="F476" si="218">SUM(F471:F474)</f>
        <v>0</v>
      </c>
      <c r="G476" s="163">
        <f>SUM(G472:G474)</f>
        <v>0</v>
      </c>
      <c r="H476" s="165" t="str">
        <f t="shared" si="217"/>
        <v>n/a</v>
      </c>
      <c r="I476" s="217">
        <f t="shared" ref="I476:L476" si="219">SUM(I471:I474)</f>
        <v>0</v>
      </c>
      <c r="J476" s="163">
        <f t="shared" si="219"/>
        <v>0</v>
      </c>
      <c r="K476" s="163">
        <f t="shared" si="219"/>
        <v>0</v>
      </c>
      <c r="L476" s="163">
        <f t="shared" si="219"/>
        <v>0</v>
      </c>
      <c r="M476" s="163">
        <f>SUM(M471:M474)</f>
        <v>0</v>
      </c>
      <c r="N476" s="163" t="str">
        <f t="shared" si="215"/>
        <v>-</v>
      </c>
      <c r="O476" s="163">
        <f t="shared" si="216"/>
        <v>0</v>
      </c>
      <c r="P476" s="146">
        <f>IF(ISNUMBER(VLOOKUP(B476,[1]Closures!B:BI,24,FALSE)),TEXT(VLOOKUP(B476,[1]Closures!B:BI,24,FALSE),"ddmmm"),IF(C476&lt;=0,0,IF(I476&lt;=0,0,IF(AND(C476&gt;0,O476&lt;=0),"&gt;52",IF(I476/O476&gt;52,"&gt;52", MAX(0,I476/O476-2))))))</f>
        <v>0</v>
      </c>
      <c r="S476" s="130"/>
    </row>
    <row r="477" spans="1:19" ht="10.7" customHeight="1" x14ac:dyDescent="0.2">
      <c r="A477" s="122"/>
      <c r="B477" s="168"/>
      <c r="C477" s="162"/>
      <c r="D477" s="163"/>
      <c r="E477" s="163"/>
      <c r="F477" s="164"/>
      <c r="G477" s="163"/>
      <c r="H477" s="165"/>
      <c r="I477" s="164"/>
      <c r="J477" s="163"/>
      <c r="K477" s="163"/>
      <c r="L477" s="163"/>
      <c r="M477" s="163"/>
      <c r="N477" s="163" t="str">
        <f t="shared" si="215"/>
        <v>-</v>
      </c>
      <c r="O477" s="163"/>
      <c r="P477" s="146"/>
      <c r="S477" s="130"/>
    </row>
    <row r="478" spans="1:19" ht="10.7" customHeight="1" x14ac:dyDescent="0.2">
      <c r="A478" s="122"/>
      <c r="B478" s="174" t="s">
        <v>138</v>
      </c>
      <c r="C478" s="162">
        <f>'[2]IV&amp;VI Combined'!$W$36</f>
        <v>0</v>
      </c>
      <c r="D478" s="163">
        <f>F478-VLOOKUP(B478,[1]Quota!$B$32:$BJ$43,25,FALSE)</f>
        <v>0</v>
      </c>
      <c r="E478" s="163">
        <f t="shared" si="213"/>
        <v>0</v>
      </c>
      <c r="F478" s="164">
        <f>VLOOKUP(B478,[1]Quota!$B$81:$BJ$92,25,FALSE)</f>
        <v>0</v>
      </c>
      <c r="G478" s="163">
        <f>'[1]Cumulative '!AB228</f>
        <v>0</v>
      </c>
      <c r="H478" s="165" t="str">
        <f t="shared" si="217"/>
        <v>n/a</v>
      </c>
      <c r="I478" s="164">
        <f t="shared" ref="I478:I485" si="220">F478-G478</f>
        <v>0</v>
      </c>
      <c r="J478" s="163">
        <f>VLOOKUP(B478,[1]weeks!$B$156:$BO$193,27,FALSE)-VLOOKUP(B478,[1]weeks!$B$206:$BO$243,27,FALSE)</f>
        <v>0</v>
      </c>
      <c r="K478" s="163">
        <f>VLOOKUP(B478,[1]weeks!$B$107:$BO$144,27,FALSE)-VLOOKUP(B478,[1]weeks!$B$156:$BO$193,27,FALSE)</f>
        <v>0</v>
      </c>
      <c r="L478" s="163">
        <f>VLOOKUP(B478,[1]weeks!$B$55:$BO$94,27,FALSE)-VLOOKUP(B478,[1]weeks!$B$107:$BO$144,27,FALSE)</f>
        <v>0</v>
      </c>
      <c r="M478" s="163">
        <f>VLOOKUP(B478,[1]weeks!$B$5:$BO$44,27,FALSE)-VLOOKUP(B478,[1]weeks!$B$55:$BO$94,27,FALSE)</f>
        <v>0</v>
      </c>
      <c r="N478" s="163" t="str">
        <f t="shared" si="215"/>
        <v>-</v>
      </c>
      <c r="O478" s="163">
        <f t="shared" si="216"/>
        <v>0</v>
      </c>
      <c r="P478" s="146">
        <f>IF(ISNUMBER(VLOOKUP(B478,[1]Closures!B:BI,24,FALSE)),TEXT(VLOOKUP(B478,[1]Closures!B:BI,24,FALSE),"ddmmm"),IF(C478&lt;=0,0,IF(I478&lt;=0,0,IF(AND(C478&gt;0,O478&lt;=0),"&gt;52",IF(I478/O478&gt;52,"&gt;52", MAX(0,I478/O478-2))))))</f>
        <v>0</v>
      </c>
      <c r="S478" s="130"/>
    </row>
    <row r="479" spans="1:19" ht="10.7" customHeight="1" x14ac:dyDescent="0.2">
      <c r="A479" s="122"/>
      <c r="B479" s="174" t="s">
        <v>139</v>
      </c>
      <c r="C479" s="162">
        <f>'[2]IV&amp;VI Combined'!$W$37</f>
        <v>0</v>
      </c>
      <c r="D479" s="163">
        <f>F479-VLOOKUP(B479,[1]Quota!$B$32:$BJ$43,25,FALSE)</f>
        <v>0</v>
      </c>
      <c r="E479" s="163">
        <f t="shared" si="213"/>
        <v>0</v>
      </c>
      <c r="F479" s="164">
        <f>VLOOKUP(B479,[1]Quota!$B$81:$BJ$92,25,FALSE)</f>
        <v>0</v>
      </c>
      <c r="G479" s="163">
        <f>'[1]Cumulative '!AB229</f>
        <v>0</v>
      </c>
      <c r="H479" s="165" t="str">
        <f t="shared" si="217"/>
        <v>n/a</v>
      </c>
      <c r="I479" s="164">
        <f t="shared" si="220"/>
        <v>0</v>
      </c>
      <c r="J479" s="163">
        <f>VLOOKUP(B479,[1]weeks!$B$156:$BO$193,27,FALSE)-VLOOKUP(B479,[1]weeks!$B$206:$BO$243,27,FALSE)</f>
        <v>0</v>
      </c>
      <c r="K479" s="163">
        <f>VLOOKUP(B479,[1]weeks!$B$107:$BO$144,27,FALSE)-VLOOKUP(B479,[1]weeks!$B$156:$BO$193,27,FALSE)</f>
        <v>0</v>
      </c>
      <c r="L479" s="163">
        <f>VLOOKUP(B479,[1]weeks!$B$55:$BO$94,27,FALSE)-VLOOKUP(B479,[1]weeks!$B$107:$BO$144,27,FALSE)</f>
        <v>0</v>
      </c>
      <c r="M479" s="163">
        <f>VLOOKUP(B479,[1]weeks!$B$5:$BO$44,27,FALSE)-VLOOKUP(B479,[1]weeks!$B$55:$BO$94,27,FALSE)</f>
        <v>0</v>
      </c>
      <c r="N479" s="163" t="str">
        <f t="shared" si="215"/>
        <v>-</v>
      </c>
      <c r="O479" s="163">
        <f t="shared" si="216"/>
        <v>0</v>
      </c>
      <c r="P479" s="146">
        <f>IF(ISNUMBER(VLOOKUP(B479,[1]Closures!B:BI,24,FALSE)),TEXT(VLOOKUP(B479,[1]Closures!B:BI,24,FALSE),"ddmmm"),IF(C479&lt;=0,0,IF(I479&lt;=0,0,IF(AND(C479&gt;0,O479&lt;=0),"&gt;52",IF(I479/O479&gt;52,"&gt;52", MAX(0,I479/O479-2))))))</f>
        <v>0</v>
      </c>
      <c r="S479" s="130"/>
    </row>
    <row r="480" spans="1:19" ht="10.7" customHeight="1" x14ac:dyDescent="0.2">
      <c r="A480" s="122"/>
      <c r="B480" s="174" t="s">
        <v>140</v>
      </c>
      <c r="C480" s="162">
        <f>'[2]IV&amp;VI Combined'!$W$38</f>
        <v>0</v>
      </c>
      <c r="D480" s="163">
        <f>F480-VLOOKUP(B480,[1]Quota!$B$32:$BJ$43,25,FALSE)</f>
        <v>0</v>
      </c>
      <c r="E480" s="163">
        <f t="shared" si="213"/>
        <v>0</v>
      </c>
      <c r="F480" s="164">
        <f>VLOOKUP(B480,[1]Quota!$B$81:$BJ$92,25,FALSE)</f>
        <v>0</v>
      </c>
      <c r="G480" s="163">
        <f>'[1]Cumulative '!AB230</f>
        <v>0</v>
      </c>
      <c r="H480" s="165" t="str">
        <f t="shared" si="217"/>
        <v>n/a</v>
      </c>
      <c r="I480" s="164">
        <f t="shared" si="220"/>
        <v>0</v>
      </c>
      <c r="J480" s="163">
        <f>VLOOKUP(B480,[1]weeks!$B$156:$BO$193,27,FALSE)-VLOOKUP(B480,[1]weeks!$B$206:$BO$243,27,FALSE)</f>
        <v>0</v>
      </c>
      <c r="K480" s="163">
        <f>VLOOKUP(B480,[1]weeks!$B$107:$BO$144,27,FALSE)-VLOOKUP(B480,[1]weeks!$B$156:$BO$193,27,FALSE)</f>
        <v>0</v>
      </c>
      <c r="L480" s="163">
        <f>VLOOKUP(B480,[1]weeks!$B$55:$BO$94,27,FALSE)-VLOOKUP(B480,[1]weeks!$B$107:$BO$144,27,FALSE)</f>
        <v>0</v>
      </c>
      <c r="M480" s="163">
        <f>VLOOKUP(B480,[1]weeks!$B$5:$BO$44,27,FALSE)-VLOOKUP(B480,[1]weeks!$B$55:$BO$94,27,FALSE)</f>
        <v>0</v>
      </c>
      <c r="N480" s="163" t="str">
        <f t="shared" si="215"/>
        <v>-</v>
      </c>
      <c r="O480" s="163">
        <f t="shared" si="216"/>
        <v>0</v>
      </c>
      <c r="P480" s="146">
        <f>IF(ISNUMBER(VLOOKUP(B480,[1]Closures!B:BI,24,FALSE)),TEXT(VLOOKUP(B480,[1]Closures!B:BI,24,FALSE),"ddmmm"),IF(C480&lt;=0,0,IF(I480&lt;=0,0,IF(AND(C480&gt;0,O480&lt;=0),"&gt;52",IF(I480/O480&gt;52,"&gt;52", MAX(0,I480/O480-2))))))</f>
        <v>0</v>
      </c>
      <c r="S480" s="130"/>
    </row>
    <row r="481" spans="1:19" ht="10.7" customHeight="1" x14ac:dyDescent="0.2">
      <c r="A481" s="122"/>
      <c r="B481" s="174" t="s">
        <v>141</v>
      </c>
      <c r="C481" s="162">
        <f>'[2]IV&amp;VI Combined'!$W$39</f>
        <v>0</v>
      </c>
      <c r="D481" s="163">
        <f>F481-VLOOKUP(B481,[1]Quota!$B$32:$BJ$43,25,FALSE)</f>
        <v>0</v>
      </c>
      <c r="E481" s="163">
        <f t="shared" si="213"/>
        <v>0</v>
      </c>
      <c r="F481" s="164">
        <f>VLOOKUP(B481,[1]Quota!$B$81:$BJ$92,25,FALSE)</f>
        <v>0</v>
      </c>
      <c r="G481" s="163">
        <f>'[1]Cumulative '!AB231</f>
        <v>0</v>
      </c>
      <c r="H481" s="165" t="str">
        <f>IF(AND(F481&lt;=0),"n/a",IF(F481=0,0,100*G481/F481))</f>
        <v>n/a</v>
      </c>
      <c r="I481" s="164">
        <f t="shared" si="220"/>
        <v>0</v>
      </c>
      <c r="J481" s="163">
        <f>VLOOKUP(B481,[1]weeks!$B$156:$BO$193,27,FALSE)-VLOOKUP(B481,[1]weeks!$B$206:$BO$243,27,FALSE)</f>
        <v>0</v>
      </c>
      <c r="K481" s="163">
        <f>VLOOKUP(B481,[1]weeks!$B$107:$BO$144,27,FALSE)-VLOOKUP(B481,[1]weeks!$B$156:$BO$193,27,FALSE)</f>
        <v>0</v>
      </c>
      <c r="L481" s="163">
        <f>VLOOKUP(B481,[1]weeks!$B$55:$BO$94,27,FALSE)-VLOOKUP(B481,[1]weeks!$B$107:$BO$144,27,FALSE)</f>
        <v>0</v>
      </c>
      <c r="M481" s="163">
        <f>VLOOKUP(B481,[1]weeks!$B$5:$BO$44,27,FALSE)-VLOOKUP(B481,[1]weeks!$B$55:$BO$94,27,FALSE)</f>
        <v>0</v>
      </c>
      <c r="N481" s="163" t="str">
        <f t="shared" si="215"/>
        <v>-</v>
      </c>
      <c r="O481" s="163">
        <f t="shared" si="216"/>
        <v>0</v>
      </c>
      <c r="P481" s="146">
        <f>IF(ISNUMBER(VLOOKUP(B481,[1]Closures!B:BI,24,FALSE)),TEXT(VLOOKUP(B481,[1]Closures!B:BI,24,FALSE),"ddmmm"),IF(C481&lt;=0,0,IF(I481&lt;=0,0,IF(AND(C481&gt;0,O481&lt;=0),"&gt;52",IF(I481/O481&gt;52,"&gt;52", MAX(0,I481/O481-2))))))</f>
        <v>0</v>
      </c>
      <c r="S481" s="130"/>
    </row>
    <row r="482" spans="1:19" ht="10.7" customHeight="1" x14ac:dyDescent="0.2">
      <c r="A482" s="122"/>
      <c r="B482" s="174" t="s">
        <v>142</v>
      </c>
      <c r="C482" s="162"/>
      <c r="D482" s="163">
        <f>F482-VLOOKUP(B482,[1]Quota!$B$32:$BJ$43,25,FALSE)</f>
        <v>0</v>
      </c>
      <c r="E482" s="163"/>
      <c r="F482" s="164">
        <f>VLOOKUP(B482,[1]Quota!$B$81:$BJ$92,25,FALSE)</f>
        <v>0</v>
      </c>
      <c r="G482" s="163"/>
      <c r="H482" s="165" t="str">
        <f>IF(AND(F482&lt;=0),"n/a",IF(F482=0,0,100*G482/F482))</f>
        <v>n/a</v>
      </c>
      <c r="I482" s="164">
        <f>F482-G482</f>
        <v>0</v>
      </c>
      <c r="J482" s="163"/>
      <c r="K482" s="163"/>
      <c r="L482" s="163"/>
      <c r="M482" s="163"/>
      <c r="N482" s="163"/>
      <c r="O482" s="163"/>
      <c r="P482" s="146"/>
      <c r="S482" s="130"/>
    </row>
    <row r="483" spans="1:19" ht="10.7" customHeight="1" x14ac:dyDescent="0.2">
      <c r="A483" s="122"/>
      <c r="B483" s="168" t="s">
        <v>143</v>
      </c>
      <c r="C483" s="162">
        <f>SUM(C478:C482)</f>
        <v>0</v>
      </c>
      <c r="D483" s="163">
        <f>SUM(D478:D482)</f>
        <v>0</v>
      </c>
      <c r="E483" s="163">
        <f t="shared" si="213"/>
        <v>0</v>
      </c>
      <c r="F483" s="217">
        <f t="shared" ref="F483:G483" si="221">SUM(F478:F482)</f>
        <v>0</v>
      </c>
      <c r="G483" s="173">
        <f t="shared" si="221"/>
        <v>0</v>
      </c>
      <c r="H483" s="165" t="str">
        <f t="shared" si="217"/>
        <v>n/a</v>
      </c>
      <c r="I483" s="164">
        <f t="shared" si="220"/>
        <v>0</v>
      </c>
      <c r="J483" s="163">
        <f t="shared" ref="J483:L483" si="222">SUM(J478:J481)</f>
        <v>0</v>
      </c>
      <c r="K483" s="163">
        <f t="shared" si="222"/>
        <v>0</v>
      </c>
      <c r="L483" s="163">
        <f t="shared" si="222"/>
        <v>0</v>
      </c>
      <c r="M483" s="163">
        <f>SUM(M478:M481)</f>
        <v>0</v>
      </c>
      <c r="N483" s="163" t="str">
        <f t="shared" si="215"/>
        <v>-</v>
      </c>
      <c r="O483" s="163">
        <f>SUM(J483:M483)/4</f>
        <v>0</v>
      </c>
      <c r="P483" s="146">
        <f>IF(ISNUMBER(VLOOKUP(B483,[1]Closures!B:BI,24,FALSE)),TEXT(VLOOKUP(B483,[1]Closures!B:BI,24,FALSE),"ddmmm"),IF(C483&lt;=0,0,IF(I483&lt;=0,0,IF(AND(C483&gt;0,O483&lt;=0),"&gt;52",IF(I483/O483&gt;52,"&gt;52", MAX(0,I483/O483-2))))))</f>
        <v>0</v>
      </c>
      <c r="S483" s="130"/>
    </row>
    <row r="484" spans="1:19" ht="10.7" customHeight="1" x14ac:dyDescent="0.2">
      <c r="A484" s="122"/>
      <c r="B484" s="168"/>
      <c r="C484" s="162"/>
      <c r="D484" s="163"/>
      <c r="E484" s="163"/>
      <c r="F484" s="164"/>
      <c r="G484" s="163"/>
      <c r="H484" s="165"/>
      <c r="I484" s="164"/>
      <c r="J484" s="163"/>
      <c r="K484" s="163"/>
      <c r="L484" s="163"/>
      <c r="M484" s="163"/>
      <c r="N484" s="163"/>
      <c r="O484" s="163"/>
      <c r="P484" s="146"/>
      <c r="S484" s="130"/>
    </row>
    <row r="485" spans="1:19" ht="10.7" customHeight="1" x14ac:dyDescent="0.2">
      <c r="A485" s="122"/>
      <c r="B485" s="175" t="s">
        <v>112</v>
      </c>
      <c r="C485" s="176">
        <f>C483+C476</f>
        <v>0</v>
      </c>
      <c r="D485" s="180">
        <f>D483+D476</f>
        <v>0</v>
      </c>
      <c r="E485" s="180">
        <f t="shared" si="213"/>
        <v>0</v>
      </c>
      <c r="F485" s="189">
        <f>F483+F476</f>
        <v>0</v>
      </c>
      <c r="G485" s="180">
        <f>G483+G476</f>
        <v>0</v>
      </c>
      <c r="H485" s="179" t="str">
        <f t="shared" si="217"/>
        <v>n/a</v>
      </c>
      <c r="I485" s="218">
        <f t="shared" si="220"/>
        <v>0</v>
      </c>
      <c r="J485" s="180">
        <f t="shared" ref="J485:L485" si="223">J476+J483</f>
        <v>0</v>
      </c>
      <c r="K485" s="180">
        <f t="shared" si="223"/>
        <v>0</v>
      </c>
      <c r="L485" s="180">
        <f t="shared" si="223"/>
        <v>0</v>
      </c>
      <c r="M485" s="180">
        <f>M476+M483</f>
        <v>0</v>
      </c>
      <c r="N485" s="180" t="str">
        <f t="shared" si="215"/>
        <v>-</v>
      </c>
      <c r="O485" s="180">
        <f>SUM(J485:M485)/4</f>
        <v>0</v>
      </c>
      <c r="P485" s="153">
        <f>IF(ISNUMBER(VLOOKUP(B485,[1]Closures!B:BI,24,FALSE)),TEXT(VLOOKUP(B485,[1]Closures!B:BI,24,FALSE),"ddmmm"),IF(C485&lt;=0,0,IF(I485&lt;=0,0,IF(AND(C485&gt;0,O485&lt;=0),"&gt;52",IF(I485/O485&gt;52,"&gt;52", MAX(0,I485/O485-2))))))</f>
        <v>0</v>
      </c>
      <c r="S485" s="130"/>
    </row>
    <row r="486" spans="1:19" ht="10.7" customHeight="1" x14ac:dyDescent="0.2">
      <c r="A486" s="122"/>
      <c r="B486" s="212"/>
      <c r="C486" s="173"/>
      <c r="D486" s="163"/>
      <c r="E486" s="163"/>
      <c r="F486" s="164"/>
      <c r="G486" s="163"/>
      <c r="H486" s="165"/>
      <c r="I486" s="164"/>
      <c r="J486" s="163"/>
      <c r="K486" s="163"/>
      <c r="L486" s="163"/>
      <c r="M486" s="163"/>
      <c r="N486" s="163"/>
      <c r="O486" s="163"/>
      <c r="P486" s="182"/>
      <c r="S486" s="130"/>
    </row>
    <row r="487" spans="1:19" ht="10.7" customHeight="1" x14ac:dyDescent="0.2">
      <c r="A487" s="122"/>
      <c r="B487" s="123"/>
      <c r="C487" s="181"/>
      <c r="D487" s="183"/>
      <c r="E487" s="183"/>
      <c r="F487" s="184"/>
      <c r="G487" s="183"/>
      <c r="H487" s="163"/>
      <c r="I487" s="184"/>
      <c r="J487" s="185"/>
      <c r="K487" s="185"/>
      <c r="L487" s="185"/>
      <c r="M487" s="185"/>
      <c r="N487" s="173"/>
      <c r="O487" s="183"/>
      <c r="P487" s="182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202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tr">
        <f>C5</f>
        <v>Initial Quota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203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203" t="s">
        <v>74</v>
      </c>
      <c r="I490" s="147" t="s">
        <v>75</v>
      </c>
      <c r="J490" s="151">
        <f>[1]weeks!$B$154</f>
        <v>43166</v>
      </c>
      <c r="K490" s="151">
        <f>[1]weeks!$B$105</f>
        <v>43173</v>
      </c>
      <c r="L490" s="151">
        <f>[1]weeks!$B$55</f>
        <v>43180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204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6"/>
      <c r="C492" s="193" t="s">
        <v>178</v>
      </c>
      <c r="D492" s="193"/>
      <c r="E492" s="193"/>
      <c r="F492" s="193"/>
      <c r="G492" s="193"/>
      <c r="H492" s="193"/>
      <c r="I492" s="193"/>
      <c r="J492" s="193"/>
      <c r="K492" s="193"/>
      <c r="L492" s="193"/>
      <c r="M492" s="193"/>
      <c r="N492" s="193"/>
      <c r="O492" s="194"/>
      <c r="P492" s="145"/>
      <c r="S492" s="130"/>
    </row>
    <row r="493" spans="1:19" ht="10.7" customHeight="1" x14ac:dyDescent="0.2">
      <c r="A493" s="122"/>
      <c r="B493" s="161" t="s">
        <v>132</v>
      </c>
      <c r="C493" s="162">
        <f>'[2]IV&amp;VI Combined'!$X$29</f>
        <v>17.399999999999999</v>
      </c>
      <c r="D493" s="163">
        <f>F493-VLOOKUP(B493,[1]Quota!$B$103:$BJ$143,26,FALSE)</f>
        <v>0</v>
      </c>
      <c r="E493" s="163">
        <f>F493-C493</f>
        <v>0</v>
      </c>
      <c r="F493" s="164">
        <f>VLOOKUP(B493,[1]Quota!$B$81:$BJ$92,26,FALSE)</f>
        <v>17.399999999999999</v>
      </c>
      <c r="G493" s="163">
        <f>'[1]Cumulative '!AC221</f>
        <v>0</v>
      </c>
      <c r="H493" s="165">
        <f t="shared" ref="H493:H507" si="224">IF(AND(F493&lt;=0),"n/a",IF(F493=0,0,100*G493/F493))</f>
        <v>0</v>
      </c>
      <c r="I493" s="164">
        <f>F493-G493</f>
        <v>17.399999999999999</v>
      </c>
      <c r="J493" s="163">
        <f>VLOOKUP(B493,[1]weeks!$B$156:$BO$193,28,FALSE)-VLOOKUP(B493,[1]weeks!$B$206:$BO$243,28,FALSE)</f>
        <v>0</v>
      </c>
      <c r="K493" s="163">
        <f>VLOOKUP(B493,[1]weeks!$B$107:$BO$144,28,FALSE)-VLOOKUP(B493,[1]weeks!$B$156:$BO$193,28,FALSE)</f>
        <v>0</v>
      </c>
      <c r="L493" s="163">
        <f>VLOOKUP(B493,[1]weeks!$B$55:$BO$94,28,FALSE)-VLOOKUP(B493,[1]weeks!$B$107:$BO$144,28,FALSE)</f>
        <v>0</v>
      </c>
      <c r="M493" s="163">
        <f>VLOOKUP(B493,[1]weeks!$B$5:$BO$44,28,FALSE)-VLOOKUP(B493,[1]weeks!$B$55:$BO$94,28,FALSE)</f>
        <v>0</v>
      </c>
      <c r="N493" s="163">
        <f>IF(F493&gt;0,M493/F493*100,"-")</f>
        <v>0</v>
      </c>
      <c r="O493" s="163">
        <f>SUM(J493:M493)/4</f>
        <v>0</v>
      </c>
      <c r="P493" s="146" t="str">
        <f>IF(ISNUMBER(VLOOKUP(B493,[1]Closures!B:BI,25,FALSE)),TEXT(VLOOKUP(B493,[1]Closures!B:BI,25,FALSE),"ddmmm"),IF(C493&lt;=0,0,IF(I493&lt;=0,0,IF(AND(C493&gt;0,O493&lt;=0),"&gt;52",IF(I493/O493&gt;52,"&gt;52", MAX(0,I493/O493-2))))))</f>
        <v>&gt;52</v>
      </c>
      <c r="S493" s="130"/>
    </row>
    <row r="494" spans="1:19" ht="10.7" customHeight="1" x14ac:dyDescent="0.2">
      <c r="A494" s="122"/>
      <c r="B494" s="161" t="s">
        <v>133</v>
      </c>
      <c r="C494" s="162">
        <f>'[2]IV&amp;VI Combined'!$X$30</f>
        <v>0</v>
      </c>
      <c r="D494" s="163">
        <f>F494-VLOOKUP(B494,[1]Quota!$B$103:$BJ$143,26,FALSE)</f>
        <v>0</v>
      </c>
      <c r="E494" s="163">
        <f t="shared" ref="E494:E507" si="225">F494-C494</f>
        <v>0</v>
      </c>
      <c r="F494" s="164">
        <f>VLOOKUP(B494,[1]Quota!$B$81:$BJ$92,26,FALSE)</f>
        <v>0</v>
      </c>
      <c r="G494" s="163">
        <f>'[1]Cumulative '!AC222</f>
        <v>0</v>
      </c>
      <c r="H494" s="165" t="str">
        <f t="shared" si="224"/>
        <v>n/a</v>
      </c>
      <c r="I494" s="164">
        <f t="shared" ref="I494:I497" si="226">F494-G494</f>
        <v>0</v>
      </c>
      <c r="J494" s="163">
        <f>VLOOKUP(B494,[1]weeks!$B$156:$BO$193,28,FALSE)-VLOOKUP(B494,[1]weeks!$B$206:$BO$243,28,FALSE)</f>
        <v>0</v>
      </c>
      <c r="K494" s="163">
        <f>VLOOKUP(B494,[1]weeks!$B$107:$BO$144,28,FALSE)-VLOOKUP(B494,[1]weeks!$B$156:$BO$193,28,FALSE)</f>
        <v>0</v>
      </c>
      <c r="L494" s="163">
        <f>VLOOKUP(B494,[1]weeks!$B$55:$BO$94,28,FALSE)-VLOOKUP(B494,[1]weeks!$B$107:$BO$144,28,FALSE)</f>
        <v>0</v>
      </c>
      <c r="M494" s="163">
        <f>VLOOKUP(B494,[1]weeks!$B$5:$BO$44,28,FALSE)-VLOOKUP(B494,[1]weeks!$B$55:$BO$94,28,FALSE)</f>
        <v>0</v>
      </c>
      <c r="N494" s="163" t="str">
        <f t="shared" ref="N494:N507" si="227">IF(F494&gt;0,M494/F494*100,"-")</f>
        <v>-</v>
      </c>
      <c r="O494" s="163">
        <f>SUM(J494:M494)/4</f>
        <v>0</v>
      </c>
      <c r="P494" s="146">
        <f>IF(ISNUMBER(VLOOKUP(B494,[1]Closures!B:BI,25,FALSE)),TEXT(VLOOKUP(B494,[1]Closures!B:BI,25,FALSE),"ddmmm"),IF(C494&lt;=0,0,IF(I494&lt;=0,0,IF(AND(C494&gt;0,O494&lt;=0),"&gt;52",IF(I494/O494&gt;52,"&gt;52", MAX(0,I494/O494-2))))))</f>
        <v>0</v>
      </c>
      <c r="S494" s="130"/>
    </row>
    <row r="495" spans="1:19" ht="10.7" customHeight="1" x14ac:dyDescent="0.2">
      <c r="A495" s="122"/>
      <c r="B495" s="161" t="s">
        <v>134</v>
      </c>
      <c r="C495" s="162">
        <f>'[2]IV&amp;VI Combined'!$X$31</f>
        <v>0.1</v>
      </c>
      <c r="D495" s="163">
        <f>F495-VLOOKUP(B495,[1]Quota!$B$103:$BJ$143,26,FALSE)</f>
        <v>0</v>
      </c>
      <c r="E495" s="163">
        <f t="shared" si="225"/>
        <v>0</v>
      </c>
      <c r="F495" s="164">
        <f>VLOOKUP(B495,[1]Quota!$B$81:$BJ$92,26,FALSE)</f>
        <v>0.1</v>
      </c>
      <c r="G495" s="163">
        <f>'[1]Cumulative '!AC223</f>
        <v>0</v>
      </c>
      <c r="H495" s="165">
        <f t="shared" si="224"/>
        <v>0</v>
      </c>
      <c r="I495" s="164">
        <f t="shared" si="226"/>
        <v>0.1</v>
      </c>
      <c r="J495" s="163">
        <f>VLOOKUP(B495,[1]weeks!$B$156:$BO$193,28,FALSE)-VLOOKUP(B495,[1]weeks!$B$206:$BO$243,28,FALSE)</f>
        <v>0</v>
      </c>
      <c r="K495" s="163">
        <f>VLOOKUP(B495,[1]weeks!$B$107:$BO$144,28,FALSE)-VLOOKUP(B495,[1]weeks!$B$156:$BO$193,28,FALSE)</f>
        <v>0</v>
      </c>
      <c r="L495" s="163">
        <f>VLOOKUP(B495,[1]weeks!$B$55:$BO$94,28,FALSE)-VLOOKUP(B495,[1]weeks!$B$107:$BO$144,28,FALSE)</f>
        <v>0</v>
      </c>
      <c r="M495" s="163">
        <f>VLOOKUP(B495,[1]weeks!$B$5:$BO$44,28,FALSE)-VLOOKUP(B495,[1]weeks!$B$55:$BO$94,28,FALSE)</f>
        <v>0</v>
      </c>
      <c r="N495" s="163">
        <f t="shared" si="227"/>
        <v>0</v>
      </c>
      <c r="O495" s="163">
        <f>SUM(J495:M495)/4</f>
        <v>0</v>
      </c>
      <c r="P495" s="146" t="str">
        <f>IF(ISNUMBER(VLOOKUP(B495,[1]Closures!B:BI,25,FALSE)),TEXT(VLOOKUP(B495,[1]Closures!B:BI,25,FALSE),"ddmmm"),IF(C495&lt;=0,0,IF(I495&lt;=0,0,IF(AND(C495&gt;0,O495&lt;=0),"&gt;52",IF(I495/O495&gt;52,"&gt;52", MAX(0,I495/O495-2))))))</f>
        <v>&gt;52</v>
      </c>
      <c r="S495" s="130"/>
    </row>
    <row r="496" spans="1:19" ht="10.7" customHeight="1" x14ac:dyDescent="0.2">
      <c r="A496" s="122"/>
      <c r="B496" s="161" t="s">
        <v>135</v>
      </c>
      <c r="C496" s="162">
        <f>'[2]IV&amp;VI Combined'!$X$32</f>
        <v>0</v>
      </c>
      <c r="D496" s="163">
        <f>F496-VLOOKUP(B496,[1]Quota!$B$103:$BJ$143,26,FALSE)</f>
        <v>0</v>
      </c>
      <c r="E496" s="163">
        <f t="shared" si="225"/>
        <v>0</v>
      </c>
      <c r="F496" s="164">
        <f>VLOOKUP(B496,[1]Quota!$B$81:$BJ$92,26,FALSE)</f>
        <v>0</v>
      </c>
      <c r="G496" s="163">
        <f>'[1]Cumulative '!AC224</f>
        <v>0</v>
      </c>
      <c r="H496" s="165" t="str">
        <f t="shared" si="224"/>
        <v>n/a</v>
      </c>
      <c r="I496" s="164">
        <f t="shared" si="226"/>
        <v>0</v>
      </c>
      <c r="J496" s="163">
        <f>VLOOKUP(B496,[1]weeks!$B$156:$BO$193,28,FALSE)-VLOOKUP(B496,[1]weeks!$B$206:$BO$243,28,FALSE)</f>
        <v>0</v>
      </c>
      <c r="K496" s="163">
        <f>VLOOKUP(B496,[1]weeks!$B$107:$BO$144,28,FALSE)-VLOOKUP(B496,[1]weeks!$B$156:$BO$193,28,FALSE)</f>
        <v>0</v>
      </c>
      <c r="L496" s="163">
        <f>VLOOKUP(B496,[1]weeks!$B$55:$BO$94,28,FALSE)-VLOOKUP(B496,[1]weeks!$B$107:$BO$144,28,FALSE)</f>
        <v>0</v>
      </c>
      <c r="M496" s="163">
        <f>VLOOKUP(B496,[1]weeks!$B$5:$BO$44,28,FALSE)-VLOOKUP(B496,[1]weeks!$B$55:$BO$94,28,FALSE)</f>
        <v>0</v>
      </c>
      <c r="N496" s="163" t="str">
        <f t="shared" si="227"/>
        <v>-</v>
      </c>
      <c r="O496" s="163">
        <f>SUM(J496:M496)/4</f>
        <v>0</v>
      </c>
      <c r="P496" s="146">
        <f>IF(ISNUMBER(VLOOKUP(B496,[1]Closures!B:BI,25,FALSE)),TEXT(VLOOKUP(B496,[1]Closures!B:BI,25,FALSE),"ddmmm"),IF(C496&lt;=0,0,IF(I496&lt;=0,0,IF(AND(C496&gt;0,O496&lt;=0),"&gt;52",IF(I496/O496&gt;52,"&gt;52", MAX(0,I496/O496-2))))))</f>
        <v>0</v>
      </c>
      <c r="S496" s="130"/>
    </row>
    <row r="497" spans="1:19" ht="10.7" customHeight="1" x14ac:dyDescent="0.2">
      <c r="A497" s="122"/>
      <c r="B497" s="161" t="s">
        <v>136</v>
      </c>
      <c r="C497" s="162"/>
      <c r="D497" s="163">
        <f>F497-VLOOKUP(B497,[1]Quota!$B$32:$BJ$43,26,FALSE)</f>
        <v>0</v>
      </c>
      <c r="E497" s="163"/>
      <c r="F497" s="164">
        <f>VLOOKUP(B497,[1]Quota!$B$81:$BJ$92,26,FALSE)</f>
        <v>0</v>
      </c>
      <c r="G497" s="163"/>
      <c r="H497" s="165" t="str">
        <f t="shared" si="224"/>
        <v>n/a</v>
      </c>
      <c r="I497" s="164">
        <f t="shared" si="226"/>
        <v>0</v>
      </c>
      <c r="J497" s="163"/>
      <c r="K497" s="163"/>
      <c r="L497" s="163"/>
      <c r="M497" s="163"/>
      <c r="N497" s="163"/>
      <c r="O497" s="163"/>
      <c r="P497" s="146"/>
      <c r="S497" s="130"/>
    </row>
    <row r="498" spans="1:19" ht="10.7" customHeight="1" x14ac:dyDescent="0.2">
      <c r="A498" s="122"/>
      <c r="B498" s="168" t="s">
        <v>137</v>
      </c>
      <c r="C498" s="162">
        <f>SUM(C493:C496)</f>
        <v>17.5</v>
      </c>
      <c r="D498" s="163">
        <f>SUM(D493:D497)</f>
        <v>0</v>
      </c>
      <c r="E498" s="163">
        <f t="shared" si="225"/>
        <v>0</v>
      </c>
      <c r="F498" s="217">
        <f t="shared" ref="F498" si="228">SUM(F493:F496)</f>
        <v>17.5</v>
      </c>
      <c r="G498" s="163">
        <f>SUM(G493:G496)</f>
        <v>0</v>
      </c>
      <c r="H498" s="165">
        <f t="shared" si="224"/>
        <v>0</v>
      </c>
      <c r="I498" s="217">
        <f t="shared" ref="I498:L498" si="229">SUM(I493:I496)</f>
        <v>17.5</v>
      </c>
      <c r="J498" s="163">
        <f t="shared" si="229"/>
        <v>0</v>
      </c>
      <c r="K498" s="163">
        <f t="shared" si="229"/>
        <v>0</v>
      </c>
      <c r="L498" s="163">
        <f t="shared" si="229"/>
        <v>0</v>
      </c>
      <c r="M498" s="163">
        <f>SUM(M493:M496)</f>
        <v>0</v>
      </c>
      <c r="N498" s="163">
        <f t="shared" si="227"/>
        <v>0</v>
      </c>
      <c r="O498" s="163">
        <f>SUM(J498:M498)/4</f>
        <v>0</v>
      </c>
      <c r="P498" s="146" t="str">
        <f>IF(ISNUMBER(VLOOKUP(B498,[1]Closures!B:BI,25,FALSE)),TEXT(VLOOKUP(B498,[1]Closures!B:BI,25,FALSE),"ddmmm"),IF(C498&lt;=0,0,IF(I498&lt;=0,0,IF(AND(C498&gt;0,O498&lt;=0),"&gt;52",IF(I498/O498&gt;52,"&gt;52", MAX(0,I498/O498-2))))))</f>
        <v>&gt;52</v>
      </c>
      <c r="S498" s="130"/>
    </row>
    <row r="499" spans="1:19" ht="10.7" customHeight="1" x14ac:dyDescent="0.2">
      <c r="A499" s="122"/>
      <c r="B499" s="168"/>
      <c r="C499" s="162"/>
      <c r="D499" s="163"/>
      <c r="E499" s="163"/>
      <c r="F499" s="164"/>
      <c r="G499" s="163"/>
      <c r="H499" s="165"/>
      <c r="I499" s="164"/>
      <c r="J499" s="163"/>
      <c r="K499" s="163"/>
      <c r="L499" s="163"/>
      <c r="M499" s="163"/>
      <c r="N499" s="163" t="str">
        <f t="shared" si="227"/>
        <v>-</v>
      </c>
      <c r="O499" s="163"/>
      <c r="P499" s="146"/>
      <c r="S499" s="130"/>
    </row>
    <row r="500" spans="1:19" ht="10.7" customHeight="1" x14ac:dyDescent="0.2">
      <c r="A500" s="122"/>
      <c r="B500" s="174" t="s">
        <v>138</v>
      </c>
      <c r="C500" s="162">
        <f>'[2]IV&amp;VI Combined'!$X$36</f>
        <v>33.4</v>
      </c>
      <c r="D500" s="163">
        <f>F500-VLOOKUP(B500,[1]Quota!$B$103:$BJ$143,26,FALSE)</f>
        <v>0</v>
      </c>
      <c r="E500" s="163">
        <f t="shared" si="225"/>
        <v>0</v>
      </c>
      <c r="F500" s="164">
        <f>VLOOKUP(B500,[1]Quota!$B$81:$BJ$92,26,FALSE)</f>
        <v>33.4</v>
      </c>
      <c r="G500" s="163">
        <f>'[1]Cumulative '!AC228</f>
        <v>0</v>
      </c>
      <c r="H500" s="165">
        <f t="shared" si="224"/>
        <v>0</v>
      </c>
      <c r="I500" s="164">
        <f t="shared" ref="I500:I507" si="230">F500-G500</f>
        <v>33.4</v>
      </c>
      <c r="J500" s="163">
        <f>VLOOKUP(B500,[1]weeks!$B$156:$BO$193,28,FALSE)-VLOOKUP(B500,[1]weeks!$B$206:$BO$243,28,FALSE)</f>
        <v>0</v>
      </c>
      <c r="K500" s="163">
        <f>VLOOKUP(B500,[1]weeks!$B$107:$BO$144,28,FALSE)-VLOOKUP(B500,[1]weeks!$B$156:$BO$193,28,FALSE)</f>
        <v>0</v>
      </c>
      <c r="L500" s="163">
        <f>VLOOKUP(B500,[1]weeks!$B$55:$BO$94,28,FALSE)-VLOOKUP(B500,[1]weeks!$B$107:$BO$144,28,FALSE)</f>
        <v>0</v>
      </c>
      <c r="M500" s="163">
        <f>VLOOKUP(B500,[1]weeks!$B$5:$BO$44,28,FALSE)-VLOOKUP(B500,[1]weeks!$B$55:$BO$94,28,FALSE)</f>
        <v>0</v>
      </c>
      <c r="N500" s="163">
        <f t="shared" si="227"/>
        <v>0</v>
      </c>
      <c r="O500" s="163">
        <f>SUM(J500:M500)/4</f>
        <v>0</v>
      </c>
      <c r="P500" s="146" t="str">
        <f>IF(ISNUMBER(VLOOKUP(B500,[1]Closures!B:BI,25,FALSE)),TEXT(VLOOKUP(B500,[1]Closures!B:BI,25,FALSE),"ddmmm"),IF(C500&lt;=0,0,IF(I500&lt;=0,0,IF(AND(C500&gt;0,O500&lt;=0),"&gt;52",IF(I500/O500&gt;52,"&gt;52", MAX(0,I500/O500-2))))))</f>
        <v>&gt;52</v>
      </c>
      <c r="S500" s="130"/>
    </row>
    <row r="501" spans="1:19" ht="10.7" customHeight="1" x14ac:dyDescent="0.2">
      <c r="A501" s="122"/>
      <c r="B501" s="174" t="s">
        <v>139</v>
      </c>
      <c r="C501" s="162">
        <f>'[2]IV&amp;VI Combined'!$X$37</f>
        <v>1.3</v>
      </c>
      <c r="D501" s="163">
        <f>F501-VLOOKUP(B501,[1]Quota!$B$103:$BJ$143,26,FALSE)</f>
        <v>0</v>
      </c>
      <c r="E501" s="163">
        <f t="shared" si="225"/>
        <v>0</v>
      </c>
      <c r="F501" s="164">
        <f>VLOOKUP(B501,[1]Quota!$B$81:$BJ$92,26,FALSE)</f>
        <v>1.3</v>
      </c>
      <c r="G501" s="163">
        <f>'[1]Cumulative '!AC229</f>
        <v>0</v>
      </c>
      <c r="H501" s="165">
        <f t="shared" si="224"/>
        <v>0</v>
      </c>
      <c r="I501" s="164">
        <f t="shared" si="230"/>
        <v>1.3</v>
      </c>
      <c r="J501" s="163">
        <f>VLOOKUP(B501,[1]weeks!$B$156:$BO$193,28,FALSE)-VLOOKUP(B501,[1]weeks!$B$206:$BO$243,28,FALSE)</f>
        <v>0</v>
      </c>
      <c r="K501" s="163">
        <f>VLOOKUP(B501,[1]weeks!$B$107:$BO$144,28,FALSE)-VLOOKUP(B501,[1]weeks!$B$156:$BO$193,28,FALSE)</f>
        <v>0</v>
      </c>
      <c r="L501" s="163">
        <f>VLOOKUP(B501,[1]weeks!$B$55:$BO$94,28,FALSE)-VLOOKUP(B501,[1]weeks!$B$107:$BO$144,28,FALSE)</f>
        <v>0</v>
      </c>
      <c r="M501" s="163">
        <f>VLOOKUP(B501,[1]weeks!$B$5:$BO$44,28,FALSE)-VLOOKUP(B501,[1]weeks!$B$55:$BO$94,28,FALSE)</f>
        <v>0</v>
      </c>
      <c r="N501" s="163">
        <f t="shared" si="227"/>
        <v>0</v>
      </c>
      <c r="O501" s="163">
        <f t="shared" ref="O501:O503" si="231">SUM(J501:M501)/4</f>
        <v>0</v>
      </c>
      <c r="P501" s="146" t="str">
        <f>IF(ISNUMBER(VLOOKUP(B501,[1]Closures!B:BI,25,FALSE)),TEXT(VLOOKUP(B501,[1]Closures!B:BI,25,FALSE),"ddmmm"),IF(C501&lt;=0,0,IF(I501&lt;=0,0,IF(AND(C501&gt;0,O501&lt;=0),"&gt;52",IF(I501/O501&gt;52,"&gt;52", MAX(0,I501/O501-2))))))</f>
        <v>&gt;52</v>
      </c>
      <c r="S501" s="130"/>
    </row>
    <row r="502" spans="1:19" ht="10.7" customHeight="1" x14ac:dyDescent="0.2">
      <c r="A502" s="122"/>
      <c r="B502" s="174" t="s">
        <v>140</v>
      </c>
      <c r="C502" s="162">
        <f>'[2]IV&amp;VI Combined'!$X$38</f>
        <v>1.3</v>
      </c>
      <c r="D502" s="163">
        <f>F502-VLOOKUP(B502,[1]Quota!$B$103:$BJ$143,26,FALSE)</f>
        <v>0</v>
      </c>
      <c r="E502" s="163">
        <f t="shared" si="225"/>
        <v>0</v>
      </c>
      <c r="F502" s="164">
        <f>VLOOKUP(B502,[1]Quota!$B$81:$BJ$92,26,FALSE)</f>
        <v>1.3</v>
      </c>
      <c r="G502" s="163">
        <f>'[1]Cumulative '!AC230</f>
        <v>0</v>
      </c>
      <c r="H502" s="165">
        <f t="shared" si="224"/>
        <v>0</v>
      </c>
      <c r="I502" s="164">
        <f t="shared" si="230"/>
        <v>1.3</v>
      </c>
      <c r="J502" s="163">
        <f>VLOOKUP(B502,[1]weeks!$B$156:$BO$193,28,FALSE)-VLOOKUP(B502,[1]weeks!$B$206:$BO$243,28,FALSE)</f>
        <v>0</v>
      </c>
      <c r="K502" s="163">
        <f>VLOOKUP(B502,[1]weeks!$B$107:$BO$144,28,FALSE)-VLOOKUP(B502,[1]weeks!$B$156:$BO$193,28,FALSE)</f>
        <v>0</v>
      </c>
      <c r="L502" s="163">
        <f>VLOOKUP(B502,[1]weeks!$B$55:$BO$94,28,FALSE)-VLOOKUP(B502,[1]weeks!$B$107:$BO$144,28,FALSE)</f>
        <v>0</v>
      </c>
      <c r="M502" s="163">
        <f>VLOOKUP(B502,[1]weeks!$B$5:$BO$44,28,FALSE)-VLOOKUP(B502,[1]weeks!$B$55:$BO$94,28,FALSE)</f>
        <v>0</v>
      </c>
      <c r="N502" s="163">
        <f t="shared" si="227"/>
        <v>0</v>
      </c>
      <c r="O502" s="163">
        <f t="shared" si="231"/>
        <v>0</v>
      </c>
      <c r="P502" s="146" t="str">
        <f>IF(ISNUMBER(VLOOKUP(B502,[1]Closures!B:BI,25,FALSE)),TEXT(VLOOKUP(B502,[1]Closures!B:BI,25,FALSE),"ddmmm"),IF(C502&lt;=0,0,IF(I502&lt;=0,0,IF(AND(C502&gt;0,O502&lt;=0),"&gt;52",IF(I502/O502&gt;52,"&gt;52", MAX(0,I502/O502-2))))))</f>
        <v>01Jan</v>
      </c>
      <c r="S502" s="130"/>
    </row>
    <row r="503" spans="1:19" ht="10.7" customHeight="1" x14ac:dyDescent="0.2">
      <c r="A503" s="122"/>
      <c r="B503" s="174" t="s">
        <v>141</v>
      </c>
      <c r="C503" s="162">
        <f>'[2]IV&amp;VI Combined'!$X$39</f>
        <v>1.3</v>
      </c>
      <c r="D503" s="163">
        <f>F503-VLOOKUP(B503,[1]Quota!$B$103:$BJ$143,26,FALSE)</f>
        <v>0</v>
      </c>
      <c r="E503" s="163">
        <f t="shared" si="225"/>
        <v>0</v>
      </c>
      <c r="F503" s="164">
        <f>VLOOKUP(B503,[1]Quota!$B$81:$BJ$92,26,FALSE)</f>
        <v>1.3</v>
      </c>
      <c r="G503" s="163">
        <f>'[1]Cumulative '!AC231</f>
        <v>0</v>
      </c>
      <c r="H503" s="165">
        <f>IF(AND(F503&lt;=0),"n/a",IF(F503=0,0,100*G503/F503))</f>
        <v>0</v>
      </c>
      <c r="I503" s="164">
        <f t="shared" si="230"/>
        <v>1.3</v>
      </c>
      <c r="J503" s="163">
        <f>VLOOKUP(B503,[1]weeks!$B$156:$BO$193,28,FALSE)-VLOOKUP(B503,[1]weeks!$B$206:$BO$243,28,FALSE)</f>
        <v>0</v>
      </c>
      <c r="K503" s="163">
        <f>VLOOKUP(B503,[1]weeks!$B$107:$BO$144,28,FALSE)-VLOOKUP(B503,[1]weeks!$B$156:$BO$193,28,FALSE)</f>
        <v>0</v>
      </c>
      <c r="L503" s="163">
        <f>VLOOKUP(B503,[1]weeks!$B$55:$BO$94,28,FALSE)-VLOOKUP(B503,[1]weeks!$B$107:$BO$144,28,FALSE)</f>
        <v>0</v>
      </c>
      <c r="M503" s="163">
        <f>VLOOKUP(B503,[1]weeks!$B$5:$BO$44,28,FALSE)-VLOOKUP(B503,[1]weeks!$B$55:$BO$94,28,FALSE)</f>
        <v>0</v>
      </c>
      <c r="N503" s="163">
        <f t="shared" si="227"/>
        <v>0</v>
      </c>
      <c r="O503" s="163">
        <f t="shared" si="231"/>
        <v>0</v>
      </c>
      <c r="P503" s="146" t="str">
        <f>IF(ISNUMBER(VLOOKUP(B503,[1]Closures!B:BI,25,FALSE)),TEXT(VLOOKUP(B503,[1]Closures!B:BI,25,FALSE),"ddmmm"),IF(C503&lt;=0,0,IF(I503&lt;=0,0,IF(AND(C503&gt;0,O503&lt;=0),"&gt;52",IF(I503/O503&gt;52,"&gt;52", MAX(0,I503/O503-2))))))</f>
        <v>&gt;52</v>
      </c>
      <c r="S503" s="130"/>
    </row>
    <row r="504" spans="1:19" ht="10.7" customHeight="1" x14ac:dyDescent="0.2">
      <c r="A504" s="122"/>
      <c r="B504" s="174" t="s">
        <v>142</v>
      </c>
      <c r="C504" s="162"/>
      <c r="D504" s="163">
        <f>F504-VLOOKUP(B504,[1]Quota!$B$32:$BJ$43,26,FALSE)</f>
        <v>0</v>
      </c>
      <c r="E504" s="163"/>
      <c r="F504" s="164">
        <f>VLOOKUP(B504,[1]Quota!$B$81:$BJ$92,26,FALSE)</f>
        <v>0</v>
      </c>
      <c r="G504" s="163"/>
      <c r="H504" s="165" t="str">
        <f>IF(AND(F504&lt;=0),"n/a",IF(F504=0,0,100*G504/F504))</f>
        <v>n/a</v>
      </c>
      <c r="I504" s="164">
        <f>F504-G504</f>
        <v>0</v>
      </c>
      <c r="J504" s="163"/>
      <c r="K504" s="163"/>
      <c r="L504" s="163"/>
      <c r="M504" s="163"/>
      <c r="N504" s="163"/>
      <c r="O504" s="163"/>
      <c r="P504" s="146"/>
      <c r="S504" s="130"/>
    </row>
    <row r="505" spans="1:19" ht="10.7" customHeight="1" x14ac:dyDescent="0.2">
      <c r="A505" s="122"/>
      <c r="B505" s="168" t="s">
        <v>143</v>
      </c>
      <c r="C505" s="162">
        <f>SUM(C500:C504)</f>
        <v>37.29999999999999</v>
      </c>
      <c r="D505" s="163">
        <f>SUM(D500:D504)</f>
        <v>0</v>
      </c>
      <c r="E505" s="163">
        <f t="shared" si="225"/>
        <v>0</v>
      </c>
      <c r="F505" s="217">
        <f t="shared" ref="F505:G505" si="232">SUM(F500:F504)</f>
        <v>37.29999999999999</v>
      </c>
      <c r="G505" s="173">
        <f t="shared" si="232"/>
        <v>0</v>
      </c>
      <c r="H505" s="165">
        <f t="shared" si="224"/>
        <v>0</v>
      </c>
      <c r="I505" s="164">
        <f t="shared" si="230"/>
        <v>37.29999999999999</v>
      </c>
      <c r="J505" s="163">
        <f t="shared" ref="J505:L505" si="233">SUM(J500:J503)</f>
        <v>0</v>
      </c>
      <c r="K505" s="163">
        <f t="shared" si="233"/>
        <v>0</v>
      </c>
      <c r="L505" s="163">
        <f t="shared" si="233"/>
        <v>0</v>
      </c>
      <c r="M505" s="163">
        <f>SUM(M500:M503)</f>
        <v>0</v>
      </c>
      <c r="N505" s="163">
        <f t="shared" si="227"/>
        <v>0</v>
      </c>
      <c r="O505" s="163">
        <f>SUM(J505:M505)/4</f>
        <v>0</v>
      </c>
      <c r="P505" s="146" t="str">
        <f>IF(ISNUMBER(VLOOKUP(B505,[1]Closures!B:BI,25,FALSE)),TEXT(VLOOKUP(B505,[1]Closures!B:BI,25,FALSE),"ddmmm"),IF(C505&lt;=0,0,IF(I505&lt;=0,0,IF(AND(C505&gt;0,O505&lt;=0),"&gt;52",IF(I505/O505&gt;52,"&gt;52", MAX(0,I505/O505-2))))))</f>
        <v>&gt;52</v>
      </c>
      <c r="S505" s="130"/>
    </row>
    <row r="506" spans="1:19" ht="10.7" customHeight="1" x14ac:dyDescent="0.2">
      <c r="A506" s="122"/>
      <c r="B506" s="168"/>
      <c r="C506" s="162"/>
      <c r="D506" s="163"/>
      <c r="E506" s="163"/>
      <c r="F506" s="164"/>
      <c r="G506" s="163"/>
      <c r="H506" s="165"/>
      <c r="I506" s="164"/>
      <c r="J506" s="163"/>
      <c r="K506" s="163"/>
      <c r="L506" s="163"/>
      <c r="M506" s="163"/>
      <c r="N506" s="163"/>
      <c r="O506" s="163"/>
      <c r="P506" s="146"/>
      <c r="S506" s="130"/>
    </row>
    <row r="507" spans="1:19" ht="10.7" customHeight="1" x14ac:dyDescent="0.2">
      <c r="A507" s="122"/>
      <c r="B507" s="175" t="s">
        <v>112</v>
      </c>
      <c r="C507" s="176">
        <f>C505+C498</f>
        <v>54.79999999999999</v>
      </c>
      <c r="D507" s="180">
        <f>D505+D498</f>
        <v>0</v>
      </c>
      <c r="E507" s="180">
        <f t="shared" si="225"/>
        <v>0</v>
      </c>
      <c r="F507" s="189">
        <f>F505+F498</f>
        <v>54.79999999999999</v>
      </c>
      <c r="G507" s="180">
        <f>G505+G498</f>
        <v>0</v>
      </c>
      <c r="H507" s="179">
        <f t="shared" si="224"/>
        <v>0</v>
      </c>
      <c r="I507" s="218">
        <f t="shared" si="230"/>
        <v>54.79999999999999</v>
      </c>
      <c r="J507" s="180">
        <f t="shared" ref="J507:L507" si="234">J498+J505</f>
        <v>0</v>
      </c>
      <c r="K507" s="180">
        <f t="shared" si="234"/>
        <v>0</v>
      </c>
      <c r="L507" s="180">
        <f t="shared" si="234"/>
        <v>0</v>
      </c>
      <c r="M507" s="180">
        <f>M498+M505</f>
        <v>0</v>
      </c>
      <c r="N507" s="180">
        <f t="shared" si="227"/>
        <v>0</v>
      </c>
      <c r="O507" s="180">
        <f>SUM(J507:M507)/4</f>
        <v>0</v>
      </c>
      <c r="P507" s="153" t="str">
        <f>IF(ISNUMBER(VLOOKUP(B507,[1]Closures!B:BI,25,FALSE)),TEXT(VLOOKUP(B507,[1]Closures!B:BI,25,FALSE),"ddmmm"),IF(C507&lt;=0,0,IF(I507&lt;=0,0,IF(AND(C507&gt;0,O507&lt;=0),"&gt;52",IF(I507/O507&gt;52,"&gt;52", MAX(0,I507/O507-2))))))</f>
        <v>&gt;52</v>
      </c>
      <c r="S507" s="130"/>
    </row>
    <row r="508" spans="1:19" ht="10.7" customHeight="1" x14ac:dyDescent="0.2">
      <c r="A508" s="122"/>
      <c r="B508" s="212"/>
      <c r="C508" s="173"/>
      <c r="D508" s="163"/>
      <c r="E508" s="163"/>
      <c r="F508" s="164"/>
      <c r="G508" s="163"/>
      <c r="H508" s="165"/>
      <c r="I508" s="164"/>
      <c r="J508" s="163"/>
      <c r="K508" s="163"/>
      <c r="L508" s="163"/>
      <c r="M508" s="163"/>
      <c r="N508" s="163"/>
      <c r="O508" s="163"/>
      <c r="P508" s="182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202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tr">
        <f>C5</f>
        <v>Initial Quota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203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203" t="s">
        <v>74</v>
      </c>
      <c r="I512" s="147" t="s">
        <v>75</v>
      </c>
      <c r="J512" s="151">
        <f>[1]weeks!$B$154</f>
        <v>43166</v>
      </c>
      <c r="K512" s="151">
        <f>[1]weeks!$B$105</f>
        <v>43173</v>
      </c>
      <c r="L512" s="151">
        <f>[1]weeks!$B$55</f>
        <v>43180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204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6"/>
      <c r="C514" s="193" t="s">
        <v>126</v>
      </c>
      <c r="D514" s="193"/>
      <c r="E514" s="193"/>
      <c r="F514" s="193"/>
      <c r="G514" s="193"/>
      <c r="H514" s="193"/>
      <c r="I514" s="193"/>
      <c r="J514" s="193"/>
      <c r="K514" s="193"/>
      <c r="L514" s="193"/>
      <c r="M514" s="193"/>
      <c r="N514" s="193"/>
      <c r="O514" s="194"/>
      <c r="P514" s="145"/>
      <c r="S514" s="130"/>
    </row>
    <row r="515" spans="1:19" ht="10.7" customHeight="1" x14ac:dyDescent="0.2">
      <c r="A515" s="122"/>
      <c r="B515" s="161" t="s">
        <v>132</v>
      </c>
      <c r="C515" s="162">
        <f>'[2]IV&amp;VI Combined'!$Y$29</f>
        <v>0.2</v>
      </c>
      <c r="D515" s="163">
        <f>F515-VLOOKUP(B515,[1]Quota!$B$103:$BJ$143,27,FALSE)</f>
        <v>0</v>
      </c>
      <c r="E515" s="163">
        <f>F515-C515</f>
        <v>0</v>
      </c>
      <c r="F515" s="164">
        <f>VLOOKUP(B515,[1]Quota!$B$81:$BJ$92,27,FALSE)</f>
        <v>0.2</v>
      </c>
      <c r="G515" s="163">
        <f>'[1]Cumulative '!AD221</f>
        <v>0</v>
      </c>
      <c r="H515" s="165">
        <f t="shared" ref="H515:H529" si="235">IF(AND(F515&lt;=0),"n/a",IF(F515=0,0,100*G515/F515))</f>
        <v>0</v>
      </c>
      <c r="I515" s="164">
        <f>F515-G515</f>
        <v>0.2</v>
      </c>
      <c r="J515" s="163">
        <f>VLOOKUP(B515,[1]weeks!$B$156:$BO$193,29,FALSE)-VLOOKUP(B515,[1]weeks!$B$206:$BO$243,29,FALSE)</f>
        <v>0</v>
      </c>
      <c r="K515" s="163">
        <f>VLOOKUP(B515,[1]weeks!$B$107:$BO$144,29,FALSE)-VLOOKUP(B515,[1]weeks!$B$156:$BO$193,29,FALSE)</f>
        <v>0</v>
      </c>
      <c r="L515" s="163">
        <f>VLOOKUP(B515,[1]weeks!$B$55:$BO$94,29,FALSE)-VLOOKUP(B515,[1]weeks!$B$107:$BO$144,29,FALSE)</f>
        <v>0</v>
      </c>
      <c r="M515" s="163">
        <f>VLOOKUP(B515,[1]weeks!$B$5:$BO$44,29,FALSE)-VLOOKUP(B515,[1]weeks!$B$55:$BO$94,29,FALSE)</f>
        <v>0</v>
      </c>
      <c r="N515" s="163">
        <f>IF(F515&gt;0,M515/F515*100,"-")</f>
        <v>0</v>
      </c>
      <c r="O515" s="163">
        <f>SUM(J515:M515)/4</f>
        <v>0</v>
      </c>
      <c r="P515" s="146" t="str">
        <f>IF(ISNUMBER(VLOOKUP(B515,[1]Closures!B:BI,26,FALSE)),TEXT(VLOOKUP(B515,[1]Closures!B:BI,26,FALSE),"ddmmm"),IF(C515&lt;=0,0,IF(I515&lt;=0,0,IF(AND(C515&gt;0,O515&lt;=0),"&gt;52",IF(I515/O515&gt;52,"&gt;52", MAX(0,I515/O515-2))))))</f>
        <v>&gt;52</v>
      </c>
      <c r="S515" s="130"/>
    </row>
    <row r="516" spans="1:19" ht="10.7" customHeight="1" x14ac:dyDescent="0.2">
      <c r="A516" s="122"/>
      <c r="B516" s="161" t="s">
        <v>133</v>
      </c>
      <c r="C516" s="162">
        <f>'[2]IV&amp;VI Combined'!$Y$30</f>
        <v>0</v>
      </c>
      <c r="D516" s="163">
        <f>F516-VLOOKUP(B516,[1]Quota!$B$103:$BJ$143,27,FALSE)</f>
        <v>0</v>
      </c>
      <c r="E516" s="163">
        <f t="shared" ref="E516:E529" si="236">F516-C516</f>
        <v>0</v>
      </c>
      <c r="F516" s="164">
        <f>VLOOKUP(B516,[1]Quota!$B$81:$BJ$92,27,FALSE)</f>
        <v>0</v>
      </c>
      <c r="G516" s="163">
        <f>'[1]Cumulative '!AD222</f>
        <v>0</v>
      </c>
      <c r="H516" s="165" t="str">
        <f t="shared" si="235"/>
        <v>n/a</v>
      </c>
      <c r="I516" s="164">
        <f t="shared" ref="I516:I519" si="237">F516-G516</f>
        <v>0</v>
      </c>
      <c r="J516" s="163">
        <f>VLOOKUP(B516,[1]weeks!$B$156:$BO$193,29,FALSE)-VLOOKUP(B516,[1]weeks!$B$206:$BO$243,29,FALSE)</f>
        <v>0</v>
      </c>
      <c r="K516" s="163">
        <f>VLOOKUP(B516,[1]weeks!$B$107:$BO$144,29,FALSE)-VLOOKUP(B516,[1]weeks!$B$156:$BO$193,29,FALSE)</f>
        <v>0</v>
      </c>
      <c r="L516" s="163">
        <f>VLOOKUP(B516,[1]weeks!$B$55:$BO$94,29,FALSE)-VLOOKUP(B516,[1]weeks!$B$107:$BO$144,29,FALSE)</f>
        <v>0</v>
      </c>
      <c r="M516" s="163">
        <f>VLOOKUP(B516,[1]weeks!$B$5:$BO$44,29,FALSE)-VLOOKUP(B516,[1]weeks!$B$55:$BO$94,29,FALSE)</f>
        <v>0</v>
      </c>
      <c r="N516" s="163" t="str">
        <f t="shared" ref="N516:N529" si="238">IF(F516&gt;0,M516/F516*100,"-")</f>
        <v>-</v>
      </c>
      <c r="O516" s="163">
        <f>SUM(J516:M516)/4</f>
        <v>0</v>
      </c>
      <c r="P516" s="146">
        <f>IF(ISNUMBER(VLOOKUP(B516,[1]Closures!B:BI,26,FALSE)),TEXT(VLOOKUP(B516,[1]Closures!B:BI,26,FALSE),"ddmmm"),IF(C516&lt;=0,0,IF(I516&lt;=0,0,IF(AND(C516&gt;0,O516&lt;=0),"&gt;52",IF(I516/O516&gt;52,"&gt;52", MAX(0,I516/O516-2))))))</f>
        <v>0</v>
      </c>
      <c r="S516" s="130"/>
    </row>
    <row r="517" spans="1:19" ht="10.7" customHeight="1" x14ac:dyDescent="0.2">
      <c r="A517" s="122"/>
      <c r="B517" s="161" t="s">
        <v>134</v>
      </c>
      <c r="C517" s="162">
        <f>'[2]IV&amp;VI Combined'!$Y$31</f>
        <v>0</v>
      </c>
      <c r="D517" s="163">
        <f>F517-VLOOKUP(B517,[1]Quota!$B$103:$BJ$143,27,FALSE)</f>
        <v>0</v>
      </c>
      <c r="E517" s="163">
        <f t="shared" si="236"/>
        <v>0</v>
      </c>
      <c r="F517" s="164">
        <f>VLOOKUP(B517,[1]Quota!$B$81:$BJ$92,27,FALSE)</f>
        <v>0</v>
      </c>
      <c r="G517" s="163">
        <f>'[1]Cumulative '!AD223</f>
        <v>0</v>
      </c>
      <c r="H517" s="165" t="str">
        <f t="shared" si="235"/>
        <v>n/a</v>
      </c>
      <c r="I517" s="164">
        <f t="shared" si="237"/>
        <v>0</v>
      </c>
      <c r="J517" s="163">
        <f>VLOOKUP(B517,[1]weeks!$B$156:$BO$193,29,FALSE)-VLOOKUP(B517,[1]weeks!$B$206:$BO$243,29,FALSE)</f>
        <v>0</v>
      </c>
      <c r="K517" s="163">
        <f>VLOOKUP(B517,[1]weeks!$B$107:$BO$144,29,FALSE)-VLOOKUP(B517,[1]weeks!$B$156:$BO$193,29,FALSE)</f>
        <v>0</v>
      </c>
      <c r="L517" s="163">
        <f>VLOOKUP(B517,[1]weeks!$B$55:$BO$94,29,FALSE)-VLOOKUP(B517,[1]weeks!$B$107:$BO$144,29,FALSE)</f>
        <v>0</v>
      </c>
      <c r="M517" s="163">
        <f>VLOOKUP(B517,[1]weeks!$B$5:$BO$44,29,FALSE)-VLOOKUP(B517,[1]weeks!$B$55:$BO$94,29,FALSE)</f>
        <v>0</v>
      </c>
      <c r="N517" s="163" t="str">
        <f t="shared" si="238"/>
        <v>-</v>
      </c>
      <c r="O517" s="163">
        <f>SUM(J517:M517)/4</f>
        <v>0</v>
      </c>
      <c r="P517" s="146">
        <f>IF(ISNUMBER(VLOOKUP(B517,[1]Closures!B:BI,26,FALSE)),TEXT(VLOOKUP(B517,[1]Closures!B:BI,26,FALSE),"ddmmm"),IF(C517&lt;=0,0,IF(I517&lt;=0,0,IF(AND(C517&gt;0,O517&lt;=0),"&gt;52",IF(I517/O517&gt;52,"&gt;52", MAX(0,I517/O517-2))))))</f>
        <v>0</v>
      </c>
      <c r="S517" s="130"/>
    </row>
    <row r="518" spans="1:19" ht="10.7" customHeight="1" x14ac:dyDescent="0.2">
      <c r="A518" s="122"/>
      <c r="B518" s="161" t="s">
        <v>135</v>
      </c>
      <c r="C518" s="162">
        <f>'[2]IV&amp;VI Combined'!$Y$32</f>
        <v>0</v>
      </c>
      <c r="D518" s="163">
        <f>F518-VLOOKUP(B518,[1]Quota!$B$103:$BJ$143,27,FALSE)</f>
        <v>0</v>
      </c>
      <c r="E518" s="163">
        <f t="shared" si="236"/>
        <v>0</v>
      </c>
      <c r="F518" s="164">
        <f>VLOOKUP(B518,[1]Quota!$B$81:$BJ$92,27,FALSE)</f>
        <v>0</v>
      </c>
      <c r="G518" s="163">
        <f>'[1]Cumulative '!AD224</f>
        <v>0</v>
      </c>
      <c r="H518" s="165" t="str">
        <f t="shared" si="235"/>
        <v>n/a</v>
      </c>
      <c r="I518" s="164">
        <f t="shared" si="237"/>
        <v>0</v>
      </c>
      <c r="J518" s="163">
        <f>VLOOKUP(B518,[1]weeks!$B$156:$BO$193,29,FALSE)-VLOOKUP(B518,[1]weeks!$B$206:$BO$243,29,FALSE)</f>
        <v>0</v>
      </c>
      <c r="K518" s="163">
        <f>VLOOKUP(B518,[1]weeks!$B$107:$BO$144,29,FALSE)-VLOOKUP(B518,[1]weeks!$B$156:$BO$193,29,FALSE)</f>
        <v>0</v>
      </c>
      <c r="L518" s="163">
        <f>VLOOKUP(B518,[1]weeks!$B$55:$BO$94,29,FALSE)-VLOOKUP(B518,[1]weeks!$B$107:$BO$144,29,FALSE)</f>
        <v>0</v>
      </c>
      <c r="M518" s="163">
        <f>VLOOKUP(B518,[1]weeks!$B$5:$BO$44,29,FALSE)-VLOOKUP(B518,[1]weeks!$B$55:$BO$94,29,FALSE)</f>
        <v>0</v>
      </c>
      <c r="N518" s="163" t="str">
        <f t="shared" si="238"/>
        <v>-</v>
      </c>
      <c r="O518" s="163">
        <f>SUM(J518:M518)/4</f>
        <v>0</v>
      </c>
      <c r="P518" s="146">
        <f>IF(ISNUMBER(VLOOKUP(B518,[1]Closures!B:BI,26,FALSE)),TEXT(VLOOKUP(B518,[1]Closures!B:BI,26,FALSE),"ddmmm"),IF(C518&lt;=0,0,IF(I518&lt;=0,0,IF(AND(C518&gt;0,O518&lt;=0),"&gt;52",IF(I518/O518&gt;52,"&gt;52", MAX(0,I518/O518-2))))))</f>
        <v>0</v>
      </c>
      <c r="S518" s="130"/>
    </row>
    <row r="519" spans="1:19" ht="10.7" customHeight="1" x14ac:dyDescent="0.2">
      <c r="A519" s="122"/>
      <c r="B519" s="161" t="s">
        <v>136</v>
      </c>
      <c r="C519" s="162"/>
      <c r="D519" s="163">
        <f>F519-VLOOKUP(B519,[1]Quota!$B$32:$BJ$43,27,FALSE)</f>
        <v>0</v>
      </c>
      <c r="E519" s="163"/>
      <c r="F519" s="164">
        <f>VLOOKUP(B519,[1]Quota!$B$81:$BJ$92,27,FALSE)</f>
        <v>0</v>
      </c>
      <c r="G519" s="163"/>
      <c r="H519" s="165" t="str">
        <f t="shared" si="235"/>
        <v>n/a</v>
      </c>
      <c r="I519" s="164">
        <f t="shared" si="237"/>
        <v>0</v>
      </c>
      <c r="J519" s="163"/>
      <c r="K519" s="163"/>
      <c r="L519" s="163"/>
      <c r="M519" s="163"/>
      <c r="N519" s="163"/>
      <c r="O519" s="163"/>
      <c r="P519" s="146"/>
      <c r="S519" s="130"/>
    </row>
    <row r="520" spans="1:19" ht="10.7" customHeight="1" x14ac:dyDescent="0.2">
      <c r="A520" s="122"/>
      <c r="B520" s="168" t="s">
        <v>137</v>
      </c>
      <c r="C520" s="162">
        <f>SUM(C515:C518)</f>
        <v>0.2</v>
      </c>
      <c r="D520" s="163">
        <f>SUM9</f>
        <v>0</v>
      </c>
      <c r="E520" s="163">
        <f t="shared" si="236"/>
        <v>0</v>
      </c>
      <c r="F520" s="217">
        <f t="shared" ref="F520" si="239">SUM(F515:F518)</f>
        <v>0.2</v>
      </c>
      <c r="G520" s="163">
        <f>SUM(G515:G518)</f>
        <v>0</v>
      </c>
      <c r="H520" s="165">
        <f t="shared" si="235"/>
        <v>0</v>
      </c>
      <c r="I520" s="217">
        <f t="shared" ref="I520:L520" si="240">SUM(I515:I518)</f>
        <v>0.2</v>
      </c>
      <c r="J520" s="163">
        <f t="shared" si="240"/>
        <v>0</v>
      </c>
      <c r="K520" s="163">
        <f t="shared" si="240"/>
        <v>0</v>
      </c>
      <c r="L520" s="163">
        <f t="shared" si="240"/>
        <v>0</v>
      </c>
      <c r="M520" s="163">
        <f>SUM(M515:M518)</f>
        <v>0</v>
      </c>
      <c r="N520" s="163">
        <f t="shared" si="238"/>
        <v>0</v>
      </c>
      <c r="O520" s="163">
        <f>SUM(J520:M520)/4</f>
        <v>0</v>
      </c>
      <c r="P520" s="146" t="str">
        <f>IF(ISNUMBER(VLOOKUP(B520,[1]Closures!B:BI,26,FALSE)),TEXT(VLOOKUP(B520,[1]Closures!B:BI,26,FALSE),"ddmmm"),IF(C520&lt;=0,0,IF(I520&lt;=0,0,IF(AND(C520&gt;0,O520&lt;=0),"&gt;52",IF(I520/O520&gt;52,"&gt;52", MAX(0,I520/O520-2))))))</f>
        <v>&gt;52</v>
      </c>
      <c r="S520" s="130"/>
    </row>
    <row r="521" spans="1:19" ht="10.7" customHeight="1" x14ac:dyDescent="0.2">
      <c r="A521" s="122"/>
      <c r="B521" s="168"/>
      <c r="C521" s="162"/>
      <c r="D521" s="163"/>
      <c r="E521" s="163"/>
      <c r="F521" s="164"/>
      <c r="G521" s="163"/>
      <c r="H521" s="165"/>
      <c r="I521" s="164"/>
      <c r="J521" s="163"/>
      <c r="K521" s="163"/>
      <c r="L521" s="163"/>
      <c r="M521" s="163"/>
      <c r="N521" s="163" t="str">
        <f t="shared" si="238"/>
        <v>-</v>
      </c>
      <c r="O521" s="163"/>
      <c r="P521" s="146"/>
      <c r="S521" s="130"/>
    </row>
    <row r="522" spans="1:19" ht="10.7" customHeight="1" x14ac:dyDescent="0.2">
      <c r="A522" s="122"/>
      <c r="B522" s="174" t="s">
        <v>138</v>
      </c>
      <c r="C522" s="162">
        <f>'[2]IV&amp;VI Combined'!$Y$36</f>
        <v>0.2</v>
      </c>
      <c r="D522" s="163">
        <f>F522-VLOOKUP(B522,[1]Quota!$B$103:$BJ$143,27,FALSE)</f>
        <v>0</v>
      </c>
      <c r="E522" s="163">
        <f t="shared" si="236"/>
        <v>0</v>
      </c>
      <c r="F522" s="164">
        <f>VLOOKUP(B522,[1]Quota!$B$81:$BJ$92,27,FALSE)</f>
        <v>0.2</v>
      </c>
      <c r="G522" s="163">
        <f>'[1]Cumulative '!AD228</f>
        <v>0</v>
      </c>
      <c r="H522" s="165">
        <f t="shared" si="235"/>
        <v>0</v>
      </c>
      <c r="I522" s="164">
        <f t="shared" ref="I522:I529" si="241">F522-G522</f>
        <v>0.2</v>
      </c>
      <c r="J522" s="163">
        <f>VLOOKUP(B522,[1]weeks!$B$156:$BO$193,29,FALSE)-VLOOKUP(B522,[1]weeks!$B$206:$BO$243,29,FALSE)</f>
        <v>0</v>
      </c>
      <c r="K522" s="163">
        <f>VLOOKUP(B522,[1]weeks!$B$107:$BO$144,29,FALSE)-VLOOKUP(B522,[1]weeks!$B$156:$BO$193,29,FALSE)</f>
        <v>0</v>
      </c>
      <c r="L522" s="163">
        <f>VLOOKUP(B522,[1]weeks!$B$55:$BO$94,29,FALSE)-VLOOKUP(B522,[1]weeks!$B$107:$BO$144,29,FALSE)</f>
        <v>0</v>
      </c>
      <c r="M522" s="163">
        <f>VLOOKUP(B522,[1]weeks!$B$5:$BO$44,29,FALSE)-VLOOKUP(B522,[1]weeks!$B$55:$BO$94,29,FALSE)</f>
        <v>0</v>
      </c>
      <c r="N522" s="163">
        <f t="shared" si="238"/>
        <v>0</v>
      </c>
      <c r="O522" s="163">
        <f>SUM(J522:M522)/4</f>
        <v>0</v>
      </c>
      <c r="P522" s="146" t="str">
        <f>IF(ISNUMBER(VLOOKUP(B522,[1]Closures!B:BI,26,FALSE)),TEXT(VLOOKUP(B522,[1]Closures!B:BI,26,FALSE),"ddmmm"),IF(C522&lt;=0,0,IF(I522&lt;=0,0,IF(AND(C522&gt;0,O522&lt;=0),"&gt;52",IF(I522/O522&gt;52,"&gt;52", MAX(0,I522/O522-2))))))</f>
        <v>&gt;52</v>
      </c>
      <c r="S522" s="130"/>
    </row>
    <row r="523" spans="1:19" ht="10.7" customHeight="1" x14ac:dyDescent="0.2">
      <c r="A523" s="122"/>
      <c r="B523" s="174" t="s">
        <v>139</v>
      </c>
      <c r="C523" s="162">
        <f>'[2]IV&amp;VI Combined'!$Y$37</f>
        <v>0</v>
      </c>
      <c r="D523" s="163">
        <f>F523-VLOOKUP(B523,[1]Quota!$B$103:$BJ$143,27,FALSE)</f>
        <v>0</v>
      </c>
      <c r="E523" s="163">
        <f t="shared" si="236"/>
        <v>0</v>
      </c>
      <c r="F523" s="164">
        <f>VLOOKUP(B523,[1]Quota!$B$81:$BJ$92,27,FALSE)</f>
        <v>0</v>
      </c>
      <c r="G523" s="163">
        <f>'[1]Cumulative '!AD229</f>
        <v>0</v>
      </c>
      <c r="H523" s="165" t="str">
        <f t="shared" si="235"/>
        <v>n/a</v>
      </c>
      <c r="I523" s="164">
        <f t="shared" si="241"/>
        <v>0</v>
      </c>
      <c r="J523" s="163">
        <f>VLOOKUP(B523,[1]weeks!$B$156:$BO$193,29,FALSE)-VLOOKUP(B523,[1]weeks!$B$206:$BO$243,29,FALSE)</f>
        <v>0</v>
      </c>
      <c r="K523" s="163">
        <f>VLOOKUP(B523,[1]weeks!$B$107:$BO$144,29,FALSE)-VLOOKUP(B523,[1]weeks!$B$156:$BO$193,29,FALSE)</f>
        <v>0</v>
      </c>
      <c r="L523" s="163">
        <f>VLOOKUP(B523,[1]weeks!$B$55:$BO$94,29,FALSE)-VLOOKUP(B523,[1]weeks!$B$107:$BO$144,29,FALSE)</f>
        <v>0</v>
      </c>
      <c r="M523" s="163">
        <f>VLOOKUP(B523,[1]weeks!$B$5:$BO$44,29,FALSE)-VLOOKUP(B523,[1]weeks!$B$55:$BO$94,29,FALSE)</f>
        <v>0</v>
      </c>
      <c r="N523" s="163" t="str">
        <f t="shared" si="238"/>
        <v>-</v>
      </c>
      <c r="O523" s="163">
        <f t="shared" ref="O523:O525" si="242">SUM(J523:M523)/4</f>
        <v>0</v>
      </c>
      <c r="P523" s="146">
        <f>IF(ISNUMBER(VLOOKUP(B523,[1]Closures!B:BI,26,FALSE)),TEXT(VLOOKUP(B523,[1]Closures!B:BI,26,FALSE),"ddmmm"),IF(C523&lt;=0,0,IF(I523&lt;=0,0,IF(AND(C523&gt;0,O523&lt;=0),"&gt;52",IF(I523/O523&gt;52,"&gt;52", MAX(0,I523/O523-2))))))</f>
        <v>0</v>
      </c>
      <c r="S523" s="130"/>
    </row>
    <row r="524" spans="1:19" ht="10.7" customHeight="1" x14ac:dyDescent="0.2">
      <c r="A524" s="122"/>
      <c r="B524" s="174" t="s">
        <v>140</v>
      </c>
      <c r="C524" s="162">
        <f>'[2]IV&amp;VI Combined'!$Y$38</f>
        <v>3.2</v>
      </c>
      <c r="D524" s="163">
        <f>F524-VLOOKUP(B524,[1]Quota!$B$103:$BJ$143,27,FALSE)</f>
        <v>0</v>
      </c>
      <c r="E524" s="163">
        <f t="shared" si="236"/>
        <v>0</v>
      </c>
      <c r="F524" s="164">
        <f>VLOOKUP(B524,[1]Quota!$B$81:$BJ$92,27,FALSE)</f>
        <v>3.2</v>
      </c>
      <c r="G524" s="163">
        <f>'[1]Cumulative '!AD230</f>
        <v>0</v>
      </c>
      <c r="H524" s="165">
        <f t="shared" si="235"/>
        <v>0</v>
      </c>
      <c r="I524" s="164">
        <f t="shared" si="241"/>
        <v>3.2</v>
      </c>
      <c r="J524" s="163">
        <f>VLOOKUP(B524,[1]weeks!$B$156:$BO$193,29,FALSE)-VLOOKUP(B524,[1]weeks!$B$206:$BO$243,29,FALSE)</f>
        <v>0</v>
      </c>
      <c r="K524" s="163">
        <f>VLOOKUP(B524,[1]weeks!$B$107:$BO$144,29,FALSE)-VLOOKUP(B524,[1]weeks!$B$156:$BO$193,29,FALSE)</f>
        <v>0</v>
      </c>
      <c r="L524" s="163">
        <f>VLOOKUP(B524,[1]weeks!$B$55:$BO$94,29,FALSE)-VLOOKUP(B524,[1]weeks!$B$107:$BO$144,29,FALSE)</f>
        <v>0</v>
      </c>
      <c r="M524" s="163">
        <f>VLOOKUP(B524,[1]weeks!$B$5:$BO$44,29,FALSE)-VLOOKUP(B524,[1]weeks!$B$55:$BO$94,29,FALSE)</f>
        <v>0</v>
      </c>
      <c r="N524" s="163">
        <f t="shared" si="238"/>
        <v>0</v>
      </c>
      <c r="O524" s="163">
        <f t="shared" si="242"/>
        <v>0</v>
      </c>
      <c r="P524" s="146" t="str">
        <f>IF(ISNUMBER(VLOOKUP(B524,[1]Closures!B:BI,26,FALSE)),TEXT(VLOOKUP(B524,[1]Closures!B:BI,26,FALSE),"ddmmm"),IF(C524&lt;=0,0,IF(I524&lt;=0,0,IF(AND(C524&gt;0,O524&lt;=0),"&gt;52",IF(I524/O524&gt;52,"&gt;52", MAX(0,I524/O524-2))))))</f>
        <v>&gt;52</v>
      </c>
      <c r="S524" s="130"/>
    </row>
    <row r="525" spans="1:19" ht="10.7" customHeight="1" x14ac:dyDescent="0.2">
      <c r="A525" s="122"/>
      <c r="B525" s="174" t="s">
        <v>141</v>
      </c>
      <c r="C525" s="162">
        <f>'[2]IV&amp;VI Combined'!$Y$39</f>
        <v>1.6</v>
      </c>
      <c r="D525" s="163">
        <f>F525-VLOOKUP(B525,[1]Quota!$B$103:$BJ$143,27,FALSE)</f>
        <v>0</v>
      </c>
      <c r="E525" s="163">
        <f t="shared" si="236"/>
        <v>0</v>
      </c>
      <c r="F525" s="164">
        <f>VLOOKUP(B525,[1]Quota!$B$81:$BJ$92,27,FALSE)</f>
        <v>1.6</v>
      </c>
      <c r="G525" s="163">
        <f>'[1]Cumulative '!AD231</f>
        <v>0</v>
      </c>
      <c r="H525" s="165">
        <f>IF(AND(F525&lt;=0),"n/a",IF(F525=0,0,100*G525/F525))</f>
        <v>0</v>
      </c>
      <c r="I525" s="164">
        <f t="shared" si="241"/>
        <v>1.6</v>
      </c>
      <c r="J525" s="163">
        <f>VLOOKUP(B525,[1]weeks!$B$156:$BO$193,29,FALSE)-VLOOKUP(B525,[1]weeks!$B$206:$BO$243,29,FALSE)</f>
        <v>0</v>
      </c>
      <c r="K525" s="163">
        <f>VLOOKUP(B525,[1]weeks!$B$107:$BO$144,29,FALSE)-VLOOKUP(B525,[1]weeks!$B$156:$BO$193,29,FALSE)</f>
        <v>0</v>
      </c>
      <c r="L525" s="163">
        <f>VLOOKUP(B525,[1]weeks!$B$55:$BO$94,29,FALSE)-VLOOKUP(B525,[1]weeks!$B$107:$BO$144,29,FALSE)</f>
        <v>0</v>
      </c>
      <c r="M525" s="163">
        <f>VLOOKUP(B525,[1]weeks!$B$5:$BO$44,29,FALSE)-VLOOKUP(B525,[1]weeks!$B$55:$BO$94,29,FALSE)</f>
        <v>0</v>
      </c>
      <c r="N525" s="163">
        <f t="shared" si="238"/>
        <v>0</v>
      </c>
      <c r="O525" s="163">
        <f t="shared" si="242"/>
        <v>0</v>
      </c>
      <c r="P525" s="146" t="str">
        <f>IF(ISNUMBER(VLOOKUP(B525,[1]Closures!B:BI,26,FALSE)),TEXT(VLOOKUP(B525,[1]Closures!B:BI,26,FALSE),"ddmmm"),IF(C525&lt;=0,0,IF(I525&lt;=0,0,IF(AND(C525&gt;0,O525&lt;=0),"&gt;52",IF(I525/O525&gt;52,"&gt;52", MAX(0,I525/O525-2))))))</f>
        <v>&gt;52</v>
      </c>
      <c r="S525" s="130"/>
    </row>
    <row r="526" spans="1:19" ht="10.7" customHeight="1" x14ac:dyDescent="0.2">
      <c r="A526" s="122"/>
      <c r="B526" s="174" t="s">
        <v>142</v>
      </c>
      <c r="C526" s="162"/>
      <c r="D526" s="163">
        <f>F526-VLOOKUP(B526,[1]Quota!$B$32:$BJ$43,27,FALSE)</f>
        <v>0</v>
      </c>
      <c r="E526" s="163"/>
      <c r="F526" s="164">
        <f>VLOOKUP(B526,[1]Quota!$B$81:$BJ$92,27,FALSE)</f>
        <v>0</v>
      </c>
      <c r="G526" s="163"/>
      <c r="H526" s="165" t="str">
        <f>IF(AND(F526&lt;=0),"n/a",IF(F526=0,0,100*G526/F526))</f>
        <v>n/a</v>
      </c>
      <c r="I526" s="164">
        <f>F526-G526</f>
        <v>0</v>
      </c>
      <c r="J526" s="163"/>
      <c r="K526" s="163"/>
      <c r="L526" s="163"/>
      <c r="M526" s="163"/>
      <c r="N526" s="163"/>
      <c r="O526" s="163"/>
      <c r="P526" s="146"/>
      <c r="S526" s="130"/>
    </row>
    <row r="527" spans="1:19" ht="10.7" customHeight="1" x14ac:dyDescent="0.2">
      <c r="A527" s="122"/>
      <c r="B527" s="168" t="s">
        <v>143</v>
      </c>
      <c r="C527" s="162">
        <f>SUM(C522:C526)</f>
        <v>5</v>
      </c>
      <c r="D527" s="163">
        <f>SUM(D522:D526)</f>
        <v>0</v>
      </c>
      <c r="E527" s="163">
        <f t="shared" si="236"/>
        <v>0</v>
      </c>
      <c r="F527" s="217">
        <f t="shared" ref="F527:G527" si="243">SUM(F522:F526)</f>
        <v>5</v>
      </c>
      <c r="G527" s="173">
        <f t="shared" si="243"/>
        <v>0</v>
      </c>
      <c r="H527" s="165">
        <f t="shared" si="235"/>
        <v>0</v>
      </c>
      <c r="I527" s="164">
        <f t="shared" si="241"/>
        <v>5</v>
      </c>
      <c r="J527" s="163">
        <f t="shared" ref="J527:L527" si="244">SUM(J522:J525)</f>
        <v>0</v>
      </c>
      <c r="K527" s="163">
        <f t="shared" si="244"/>
        <v>0</v>
      </c>
      <c r="L527" s="163">
        <f t="shared" si="244"/>
        <v>0</v>
      </c>
      <c r="M527" s="163">
        <f>SUM(M522:M525)</f>
        <v>0</v>
      </c>
      <c r="N527" s="163">
        <f t="shared" si="238"/>
        <v>0</v>
      </c>
      <c r="O527" s="163">
        <f>SUM(J527:M527)/4</f>
        <v>0</v>
      </c>
      <c r="P527" s="146" t="str">
        <f>IF(ISNUMBER(VLOOKUP(B527,[1]Closures!B:BI,26,FALSE)),TEXT(VLOOKUP(B527,[1]Closures!B:BI,26,FALSE),"ddmmm"),IF(C527&lt;=0,0,IF(I527&lt;=0,0,IF(AND(C527&gt;0,O527&lt;=0),"&gt;52",IF(I527/O527&gt;52,"&gt;52", MAX(0,I527/O527-2))))))</f>
        <v>&gt;52</v>
      </c>
      <c r="S527" s="130"/>
    </row>
    <row r="528" spans="1:19" ht="10.7" customHeight="1" x14ac:dyDescent="0.2">
      <c r="A528" s="122"/>
      <c r="B528" s="168"/>
      <c r="C528" s="162"/>
      <c r="D528" s="163"/>
      <c r="E528" s="163"/>
      <c r="F528" s="164"/>
      <c r="G528" s="163"/>
      <c r="H528" s="165"/>
      <c r="I528" s="164"/>
      <c r="J528" s="163"/>
      <c r="K528" s="163"/>
      <c r="L528" s="163"/>
      <c r="M528" s="163"/>
      <c r="N528" s="163"/>
      <c r="O528" s="163"/>
      <c r="P528" s="146"/>
      <c r="S528" s="130"/>
    </row>
    <row r="529" spans="1:19" ht="10.7" customHeight="1" x14ac:dyDescent="0.2">
      <c r="A529" s="122"/>
      <c r="B529" s="175" t="s">
        <v>112</v>
      </c>
      <c r="C529" s="176">
        <f>C527+C520</f>
        <v>5.2</v>
      </c>
      <c r="D529" s="180">
        <f>D527+D520</f>
        <v>0</v>
      </c>
      <c r="E529" s="180">
        <f t="shared" si="236"/>
        <v>0</v>
      </c>
      <c r="F529" s="189">
        <f>F527+F520</f>
        <v>5.2</v>
      </c>
      <c r="G529" s="180">
        <f>G527+G520</f>
        <v>0</v>
      </c>
      <c r="H529" s="179">
        <f t="shared" si="235"/>
        <v>0</v>
      </c>
      <c r="I529" s="218">
        <f t="shared" si="241"/>
        <v>5.2</v>
      </c>
      <c r="J529" s="180">
        <f t="shared" ref="J529:L529" si="245">J520+J527</f>
        <v>0</v>
      </c>
      <c r="K529" s="180">
        <f t="shared" si="245"/>
        <v>0</v>
      </c>
      <c r="L529" s="180">
        <f t="shared" si="245"/>
        <v>0</v>
      </c>
      <c r="M529" s="180">
        <f>M520+M527</f>
        <v>0</v>
      </c>
      <c r="N529" s="180">
        <f t="shared" si="238"/>
        <v>0</v>
      </c>
      <c r="O529" s="180">
        <f>SUM(J529:M529)/4</f>
        <v>0</v>
      </c>
      <c r="P529" s="153" t="str">
        <f>IF(ISNUMBER(VLOOKUP(B529,[1]Closures!B:BI,26,FALSE)),TEXT(VLOOKUP(B529,[1]Closures!B:BI,26,FALSE),"ddmmm"),IF(C529&lt;=0,0,IF(I529&lt;=0,0,IF(AND(C529&gt;0,O529&lt;=0),"&gt;52",IF(I529/O529&gt;52,"&gt;52", MAX(0,I529/O529-2))))))</f>
        <v>&gt;52</v>
      </c>
      <c r="S529" s="130"/>
    </row>
    <row r="530" spans="1:19" ht="10.7" customHeight="1" x14ac:dyDescent="0.2">
      <c r="A530" s="122"/>
      <c r="B530" s="212"/>
      <c r="C530" s="173"/>
      <c r="D530" s="163"/>
      <c r="E530" s="163"/>
      <c r="F530" s="164"/>
      <c r="G530" s="163"/>
      <c r="H530" s="165"/>
      <c r="I530" s="164"/>
      <c r="J530" s="163"/>
      <c r="K530" s="163"/>
      <c r="L530" s="163"/>
      <c r="M530" s="163"/>
      <c r="N530" s="163"/>
      <c r="O530" s="163"/>
      <c r="P530" s="182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tr">
        <f>C5</f>
        <v>Initial Quota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f>[1]weeks!$B$154</f>
        <v>43166</v>
      </c>
      <c r="K534" s="151">
        <f>[1]weeks!$B$105</f>
        <v>43173</v>
      </c>
      <c r="L534" s="151">
        <f>[1]weeks!$B$55</f>
        <v>43180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6"/>
      <c r="C536" s="193" t="s">
        <v>127</v>
      </c>
      <c r="D536" s="193"/>
      <c r="E536" s="193"/>
      <c r="F536" s="193"/>
      <c r="G536" s="193"/>
      <c r="H536" s="193"/>
      <c r="I536" s="193"/>
      <c r="J536" s="193"/>
      <c r="K536" s="193"/>
      <c r="L536" s="193"/>
      <c r="M536" s="193"/>
      <c r="N536" s="193"/>
      <c r="O536" s="194"/>
      <c r="P536" s="145"/>
      <c r="S536" s="130"/>
    </row>
    <row r="537" spans="1:19" ht="10.7" customHeight="1" x14ac:dyDescent="0.2">
      <c r="A537" s="122"/>
      <c r="B537" s="161" t="s">
        <v>132</v>
      </c>
      <c r="C537" s="162">
        <f>'[2]IV&amp;VI Combined'!$Z$29</f>
        <v>0</v>
      </c>
      <c r="D537" s="163">
        <f>F537-VLOOKUP(B537,[1]Quota!$B$32:$BJ$43,28,FALSE)</f>
        <v>0</v>
      </c>
      <c r="E537" s="163">
        <f>F537-C537</f>
        <v>0</v>
      </c>
      <c r="F537" s="164">
        <f>VLOOKUP(B537,[1]Quota!$B$81:$BJ$93,28,FALSE)</f>
        <v>0</v>
      </c>
      <c r="G537" s="163">
        <f>'[1]Cumulative '!AE221</f>
        <v>0</v>
      </c>
      <c r="H537" s="165" t="str">
        <f t="shared" ref="H537:H551" si="246">IF(AND(F537&lt;=0),"n/a",IF(F537=0,0,100*G537/F537))</f>
        <v>n/a</v>
      </c>
      <c r="I537" s="164">
        <f>F537-G537</f>
        <v>0</v>
      </c>
      <c r="J537" s="163">
        <f>VLOOKUP(B537,[1]weeks!$B$156:$BO$193,30,FALSE)-VLOOKUP(B537,[1]weeks!$B$206:$BO$243,30,FALSE)</f>
        <v>0</v>
      </c>
      <c r="K537" s="163">
        <f>VLOOKUP(B537,[1]weeks!$B$107:$BO$144,30,FALSE)-VLOOKUP(B537,[1]weeks!$B$156:$BO$193,30,FALSE)</f>
        <v>0</v>
      </c>
      <c r="L537" s="163">
        <f>VLOOKUP(B537,[1]weeks!$B$55:$BO$94,30,FALSE)-VLOOKUP(B537,[1]weeks!$B$107:$BO$144,30,FALSE)</f>
        <v>0</v>
      </c>
      <c r="M537" s="163">
        <f>VLOOKUP(B537,[1]weeks!$B$5:$BO$44,30,FALSE)-VLOOKUP(B537,[1]weeks!$B$55:$BO$94,30,FALSE)</f>
        <v>0</v>
      </c>
      <c r="N537" s="163" t="str">
        <f>IF(F537&gt;0,M537/F537*100,"-")</f>
        <v>-</v>
      </c>
      <c r="O537" s="163">
        <f>SUM(J537:M537)/4</f>
        <v>0</v>
      </c>
      <c r="P537" s="146">
        <f>IF(ISNUMBER(VLOOKUP(B537,[1]Closures!B:BI,27,FALSE)),TEXT(VLOOKUP(B537,[1]Closures!B:BI,27,FALSE),"ddmmm"),IF(C537&lt;=0,0,IF(I537&lt;=0,0,IF(AND(C537&gt;0,O537&lt;=0),"&gt;52",IF(I537/O537&gt;52,"&gt;52", MAX(0,I537/O537-2))))))</f>
        <v>0</v>
      </c>
      <c r="S537" s="130"/>
    </row>
    <row r="538" spans="1:19" ht="10.7" customHeight="1" x14ac:dyDescent="0.2">
      <c r="A538" s="122"/>
      <c r="B538" s="161" t="s">
        <v>133</v>
      </c>
      <c r="C538" s="162">
        <f>'[2]IV&amp;VI Combined'!$Z$30</f>
        <v>0</v>
      </c>
      <c r="D538" s="163">
        <f>F538-VLOOKUP(B538,[1]Quota!$B$32:$BJ$43,28,FALSE)</f>
        <v>0</v>
      </c>
      <c r="E538" s="163">
        <f t="shared" ref="E538:E551" si="247">F538-C538</f>
        <v>0</v>
      </c>
      <c r="F538" s="164">
        <f>VLOOKUP(B538,[1]Quota!$B$81:$BJ$93,28,FALSE)</f>
        <v>0</v>
      </c>
      <c r="G538" s="163">
        <f>'[1]Cumulative '!AE222</f>
        <v>0</v>
      </c>
      <c r="H538" s="165" t="str">
        <f t="shared" si="246"/>
        <v>n/a</v>
      </c>
      <c r="I538" s="164">
        <f t="shared" ref="I538:I541" si="248">F538-G538</f>
        <v>0</v>
      </c>
      <c r="J538" s="163">
        <f>VLOOKUP(B538,[1]weeks!$B$156:$BO$193,30,FALSE)-VLOOKUP(B538,[1]weeks!$B$206:$BO$243,30,FALSE)</f>
        <v>0</v>
      </c>
      <c r="K538" s="163">
        <f>VLOOKUP(B538,[1]weeks!$B$107:$BO$144,30,FALSE)-VLOOKUP(B538,[1]weeks!$B$156:$BO$193,30,FALSE)</f>
        <v>0</v>
      </c>
      <c r="L538" s="163">
        <f>VLOOKUP(B538,[1]weeks!$B$55:$BO$94,30,FALSE)-VLOOKUP(B538,[1]weeks!$B$107:$BO$144,30,FALSE)</f>
        <v>0</v>
      </c>
      <c r="M538" s="163">
        <f>VLOOKUP(B538,[1]weeks!$B$5:$BO$44,30,FALSE)-VLOOKUP(B538,[1]weeks!$B$55:$BO$94,30,FALSE)</f>
        <v>0</v>
      </c>
      <c r="N538" s="163" t="str">
        <f t="shared" ref="N538:N551" si="249">IF(F538&gt;0,M538/F538*100,"-")</f>
        <v>-</v>
      </c>
      <c r="O538" s="163">
        <f t="shared" ref="O538:O547" si="250">SUM(J538:M538)/4</f>
        <v>0</v>
      </c>
      <c r="P538" s="146">
        <f>IF(ISNUMBER(VLOOKUP(B538,[1]Closures!B:BI,27,FALSE)),TEXT(VLOOKUP(B538,[1]Closures!B:BI,27,FALSE),"ddmmm"),IF(C538&lt;=0,0,IF(I538&lt;=0,0,IF(AND(C538&gt;0,O538&lt;=0),"&gt;52",IF(I538/O538&gt;52,"&gt;52", MAX(0,I538/O538-2))))))</f>
        <v>0</v>
      </c>
      <c r="S538" s="130"/>
    </row>
    <row r="539" spans="1:19" ht="10.7" customHeight="1" x14ac:dyDescent="0.2">
      <c r="A539" s="122"/>
      <c r="B539" s="161" t="s">
        <v>134</v>
      </c>
      <c r="C539" s="162">
        <f>'[2]IV&amp;VI Combined'!$Z$31</f>
        <v>0</v>
      </c>
      <c r="D539" s="163">
        <f>F539-VLOOKUP(B539,[1]Quota!$B$32:$BJ$43,28,FALSE)</f>
        <v>0</v>
      </c>
      <c r="E539" s="163">
        <f t="shared" si="247"/>
        <v>0</v>
      </c>
      <c r="F539" s="164">
        <f>VLOOKUP(B539,[1]Quota!$B$81:$BJ$93,28,FALSE)</f>
        <v>0</v>
      </c>
      <c r="G539" s="163">
        <f>'[1]Cumulative '!AE223</f>
        <v>0</v>
      </c>
      <c r="H539" s="165" t="str">
        <f t="shared" si="246"/>
        <v>n/a</v>
      </c>
      <c r="I539" s="164">
        <f t="shared" si="248"/>
        <v>0</v>
      </c>
      <c r="J539" s="163">
        <f>VLOOKUP(B539,[1]weeks!$B$156:$BO$193,30,FALSE)-VLOOKUP(B539,[1]weeks!$B$206:$BO$243,30,FALSE)</f>
        <v>0</v>
      </c>
      <c r="K539" s="163">
        <f>VLOOKUP(B539,[1]weeks!$B$107:$BO$144,30,FALSE)-VLOOKUP(B539,[1]weeks!$B$156:$BO$193,30,FALSE)</f>
        <v>0</v>
      </c>
      <c r="L539" s="163">
        <f>VLOOKUP(B539,[1]weeks!$B$55:$BO$94,30,FALSE)-VLOOKUP(B539,[1]weeks!$B$107:$BO$144,30,FALSE)</f>
        <v>0</v>
      </c>
      <c r="M539" s="163">
        <f>VLOOKUP(B539,[1]weeks!$B$5:$BO$44,30,FALSE)-VLOOKUP(B539,[1]weeks!$B$55:$BO$94,30,FALSE)</f>
        <v>0</v>
      </c>
      <c r="N539" s="163" t="str">
        <f t="shared" si="249"/>
        <v>-</v>
      </c>
      <c r="O539" s="163">
        <f t="shared" si="250"/>
        <v>0</v>
      </c>
      <c r="P539" s="146">
        <f>IF(ISNUMBER(VLOOKUP(B539,[1]Closures!B:BI,27,FALSE)),TEXT(VLOOKUP(B539,[1]Closures!B:BI,27,FALSE),"ddmmm"),IF(C539&lt;=0,0,IF(I539&lt;=0,0,IF(AND(C539&gt;0,O539&lt;=0),"&gt;52",IF(I539/O539&gt;52,"&gt;52", MAX(0,I539/O539-2))))))</f>
        <v>0</v>
      </c>
      <c r="S539" s="130"/>
    </row>
    <row r="540" spans="1:19" ht="10.7" customHeight="1" x14ac:dyDescent="0.2">
      <c r="A540" s="122"/>
      <c r="B540" s="161" t="s">
        <v>135</v>
      </c>
      <c r="C540" s="162">
        <f>'[2]IV&amp;VI Combined'!$Z$32</f>
        <v>0</v>
      </c>
      <c r="D540" s="163">
        <f>F540-VLOOKUP(B540,[1]Quota!$B$32:$BJ$43,28,FALSE)</f>
        <v>0</v>
      </c>
      <c r="E540" s="163">
        <f t="shared" si="247"/>
        <v>0</v>
      </c>
      <c r="F540" s="164">
        <f>VLOOKUP(B540,[1]Quota!$B$81:$BJ$93,28,FALSE)</f>
        <v>0</v>
      </c>
      <c r="G540" s="163">
        <f>'[1]Cumulative '!AE224</f>
        <v>0</v>
      </c>
      <c r="H540" s="165" t="str">
        <f t="shared" si="246"/>
        <v>n/a</v>
      </c>
      <c r="I540" s="164">
        <f t="shared" si="248"/>
        <v>0</v>
      </c>
      <c r="J540" s="163">
        <f>VLOOKUP(B540,[1]weeks!$B$156:$BO$193,30,FALSE)-VLOOKUP(B540,[1]weeks!$B$206:$BO$243,30,FALSE)</f>
        <v>0</v>
      </c>
      <c r="K540" s="163">
        <f>VLOOKUP(B540,[1]weeks!$B$107:$BO$144,30,FALSE)-VLOOKUP(B540,[1]weeks!$B$156:$BO$193,30,FALSE)</f>
        <v>0</v>
      </c>
      <c r="L540" s="163">
        <f>VLOOKUP(B540,[1]weeks!$B$55:$BO$94,30,FALSE)-VLOOKUP(B540,[1]weeks!$B$107:$BO$144,30,FALSE)</f>
        <v>0</v>
      </c>
      <c r="M540" s="163">
        <f>VLOOKUP(B540,[1]weeks!$B$5:$BO$44,30,FALSE)-VLOOKUP(B540,[1]weeks!$B$55:$BO$94,30,FALSE)</f>
        <v>0</v>
      </c>
      <c r="N540" s="163" t="str">
        <f t="shared" si="249"/>
        <v>-</v>
      </c>
      <c r="O540" s="163">
        <f t="shared" si="250"/>
        <v>0</v>
      </c>
      <c r="P540" s="146">
        <f>IF(ISNUMBER(VLOOKUP(B540,[1]Closures!B:BI,27,FALSE)),TEXT(VLOOKUP(B540,[1]Closures!B:BI,27,FALSE),"ddmmm"),IF(C540&lt;=0,0,IF(I540&lt;=0,0,IF(AND(C540&gt;0,O540&lt;=0),"&gt;52",IF(I540/O540&gt;52,"&gt;52", MAX(0,I540/O540-2))))))</f>
        <v>0</v>
      </c>
      <c r="S540" s="130"/>
    </row>
    <row r="541" spans="1:19" ht="10.7" customHeight="1" x14ac:dyDescent="0.2">
      <c r="A541" s="122"/>
      <c r="B541" s="161" t="s">
        <v>136</v>
      </c>
      <c r="C541" s="162"/>
      <c r="D541" s="163">
        <f>F541-VLOOKUP(B541,[1]Quota!$B$32:$BJ$43,28,FALSE)</f>
        <v>0</v>
      </c>
      <c r="E541" s="163"/>
      <c r="F541" s="164">
        <f>VLOOKUP(B541,[1]Quota!$B$81:$BJ$93,28,FALSE)</f>
        <v>0</v>
      </c>
      <c r="G541" s="163"/>
      <c r="H541" s="165" t="str">
        <f t="shared" si="246"/>
        <v>n/a</v>
      </c>
      <c r="I541" s="164">
        <f t="shared" si="248"/>
        <v>0</v>
      </c>
      <c r="J541" s="163"/>
      <c r="K541" s="163"/>
      <c r="L541" s="163"/>
      <c r="M541" s="163"/>
      <c r="N541" s="163"/>
      <c r="O541" s="163"/>
      <c r="P541" s="146"/>
      <c r="S541" s="130"/>
    </row>
    <row r="542" spans="1:19" ht="10.7" customHeight="1" x14ac:dyDescent="0.2">
      <c r="A542" s="122"/>
      <c r="B542" s="168" t="s">
        <v>137</v>
      </c>
      <c r="C542" s="162">
        <f>SUM(C537:C540)</f>
        <v>0</v>
      </c>
      <c r="D542" s="163">
        <f>SUM(D537:D541)</f>
        <v>0</v>
      </c>
      <c r="E542" s="163">
        <f t="shared" si="247"/>
        <v>0</v>
      </c>
      <c r="F542" s="217">
        <f t="shared" ref="F542" si="251">SUM(F537:F540)</f>
        <v>0</v>
      </c>
      <c r="G542" s="163">
        <f>SUM(G537:G540)</f>
        <v>0</v>
      </c>
      <c r="H542" s="165" t="str">
        <f t="shared" si="246"/>
        <v>n/a</v>
      </c>
      <c r="I542" s="217">
        <f t="shared" ref="I542:L542" si="252">SUM(I537:I540)</f>
        <v>0</v>
      </c>
      <c r="J542" s="163">
        <f t="shared" si="252"/>
        <v>0</v>
      </c>
      <c r="K542" s="163">
        <f t="shared" si="252"/>
        <v>0</v>
      </c>
      <c r="L542" s="163">
        <f t="shared" si="252"/>
        <v>0</v>
      </c>
      <c r="M542" s="163">
        <f>SUM(M537:M540)</f>
        <v>0</v>
      </c>
      <c r="N542" s="163" t="str">
        <f t="shared" si="249"/>
        <v>-</v>
      </c>
      <c r="O542" s="163">
        <f t="shared" si="250"/>
        <v>0</v>
      </c>
      <c r="P542" s="146">
        <f>IF(ISNUMBER(VLOOKUP(B542,[1]Closures!B:BI,27,FALSE)),TEXT(VLOOKUP(B542,[1]Closures!B:BI,27,FALSE),"ddmmm"),IF(C542&lt;=0,0,IF(I542&lt;=0,0,IF(AND(C542&gt;0,O542&lt;=0),"&gt;52",IF(I542/O542&gt;52,"&gt;52", MAX(0,I542/O542-2))))))</f>
        <v>0</v>
      </c>
      <c r="S542" s="130"/>
    </row>
    <row r="543" spans="1:19" ht="10.7" customHeight="1" x14ac:dyDescent="0.2">
      <c r="A543" s="122"/>
      <c r="B543" s="168"/>
      <c r="C543" s="162"/>
      <c r="D543" s="163"/>
      <c r="E543" s="163"/>
      <c r="F543" s="164"/>
      <c r="G543" s="163"/>
      <c r="H543" s="165"/>
      <c r="I543" s="164"/>
      <c r="J543" s="163"/>
      <c r="K543" s="163"/>
      <c r="L543" s="163"/>
      <c r="M543" s="163"/>
      <c r="N543" s="163" t="str">
        <f t="shared" si="249"/>
        <v>-</v>
      </c>
      <c r="O543" s="163"/>
      <c r="P543" s="146"/>
      <c r="S543" s="130"/>
    </row>
    <row r="544" spans="1:19" ht="10.7" customHeight="1" x14ac:dyDescent="0.2">
      <c r="A544" s="122"/>
      <c r="B544" s="174" t="s">
        <v>138</v>
      </c>
      <c r="C544" s="162">
        <f>'[2]IV&amp;VI Combined'!$Z$36</f>
        <v>0</v>
      </c>
      <c r="D544" s="163">
        <f>F544-VLOOKUP(B544,[1]Quota!$B$32:$BJ$43,28,FALSE)</f>
        <v>0</v>
      </c>
      <c r="E544" s="163">
        <f t="shared" si="247"/>
        <v>0</v>
      </c>
      <c r="F544" s="164">
        <f>VLOOKUP(B544,[1]Quota!$B$81:$BJ$93,28,FALSE)</f>
        <v>0</v>
      </c>
      <c r="G544" s="163">
        <f>'[1]Cumulative '!AE228</f>
        <v>0</v>
      </c>
      <c r="H544" s="165" t="str">
        <f t="shared" si="246"/>
        <v>n/a</v>
      </c>
      <c r="I544" s="164">
        <f t="shared" ref="I544:I551" si="253">F544-G544</f>
        <v>0</v>
      </c>
      <c r="J544" s="163">
        <f>VLOOKUP(B544,[1]weeks!$B$156:$BO$193,30,FALSE)-VLOOKUP(B544,[1]weeks!$B$206:$BO$243,30,FALSE)</f>
        <v>0</v>
      </c>
      <c r="K544" s="163">
        <f>VLOOKUP(B544,[1]weeks!$B$107:$BO$144,30,FALSE)-VLOOKUP(B544,[1]weeks!$B$156:$BO$193,30,FALSE)</f>
        <v>0</v>
      </c>
      <c r="L544" s="163">
        <f>VLOOKUP(B544,[1]weeks!$B$55:$BO$94,30,FALSE)-VLOOKUP(B544,[1]weeks!$B$107:$BO$144,30,FALSE)</f>
        <v>0</v>
      </c>
      <c r="M544" s="163">
        <f>VLOOKUP(B544,[1]weeks!$B$5:$BO$44,30,FALSE)-VLOOKUP(B544,[1]weeks!$B$55:$BO$94,30,FALSE)</f>
        <v>0</v>
      </c>
      <c r="N544" s="163" t="str">
        <f t="shared" si="249"/>
        <v>-</v>
      </c>
      <c r="O544" s="163">
        <f t="shared" si="250"/>
        <v>0</v>
      </c>
      <c r="P544" s="146" t="str">
        <f>IF(ISNUMBER(VLOOKUP(B544,[1]Closures!B:BI,27,FALSE)),TEXT(VLOOKUP(B544,[1]Closures!B:BI,27,FALSE),"ddmmm"),IF(C544&lt;=0,0,IF(I544&lt;=0,0,IF(AND(C544&gt;0,O544&lt;=0),"&gt;52",IF(I544/O544&gt;52,"&gt;52", MAX(0,I544/O544-2))))))</f>
        <v>01Jan</v>
      </c>
      <c r="S544" s="130"/>
    </row>
    <row r="545" spans="1:19" ht="10.7" customHeight="1" x14ac:dyDescent="0.2">
      <c r="A545" s="122"/>
      <c r="B545" s="174" t="s">
        <v>139</v>
      </c>
      <c r="C545" s="162">
        <f>'[2]IV&amp;VI Combined'!$Z$37</f>
        <v>0</v>
      </c>
      <c r="D545" s="163">
        <f>F545-VLOOKUP(B545,[1]Quota!$B$32:$BJ$43,28,FALSE)</f>
        <v>0</v>
      </c>
      <c r="E545" s="163">
        <f t="shared" si="247"/>
        <v>0</v>
      </c>
      <c r="F545" s="164">
        <f>VLOOKUP(B545,[1]Quota!$B$81:$BJ$93,28,FALSE)</f>
        <v>0</v>
      </c>
      <c r="G545" s="163">
        <f>'[1]Cumulative '!AE229</f>
        <v>0</v>
      </c>
      <c r="H545" s="165" t="str">
        <f t="shared" si="246"/>
        <v>n/a</v>
      </c>
      <c r="I545" s="164">
        <f t="shared" si="253"/>
        <v>0</v>
      </c>
      <c r="J545" s="163">
        <f>VLOOKUP(B545,[1]weeks!$B$156:$BO$193,30,FALSE)-VLOOKUP(B545,[1]weeks!$B$206:$BO$243,30,FALSE)</f>
        <v>0</v>
      </c>
      <c r="K545" s="163">
        <f>VLOOKUP(B545,[1]weeks!$B$107:$BO$144,30,FALSE)-VLOOKUP(B545,[1]weeks!$B$156:$BO$193,30,FALSE)</f>
        <v>0</v>
      </c>
      <c r="L545" s="163">
        <f>VLOOKUP(B545,[1]weeks!$B$55:$BO$94,30,FALSE)-VLOOKUP(B545,[1]weeks!$B$107:$BO$144,30,FALSE)</f>
        <v>0</v>
      </c>
      <c r="M545" s="163">
        <f>VLOOKUP(B545,[1]weeks!$B$5:$BO$44,30,FALSE)-VLOOKUP(B545,[1]weeks!$B$55:$BO$94,30,FALSE)</f>
        <v>0</v>
      </c>
      <c r="N545" s="163" t="str">
        <f t="shared" si="249"/>
        <v>-</v>
      </c>
      <c r="O545" s="163">
        <f t="shared" si="250"/>
        <v>0</v>
      </c>
      <c r="P545" s="146" t="str">
        <f>IF(ISNUMBER(VLOOKUP(B545,[1]Closures!B:BI,27,FALSE)),TEXT(VLOOKUP(B545,[1]Closures!B:BI,27,FALSE),"ddmmm"),IF(C545&lt;=0,0,IF(I545&lt;=0,0,IF(AND(C545&gt;0,O545&lt;=0),"&gt;52",IF(I545/O545&gt;52,"&gt;52", MAX(0,I545/O545-2))))))</f>
        <v>01Jan</v>
      </c>
      <c r="S545" s="130"/>
    </row>
    <row r="546" spans="1:19" ht="11.25" customHeight="1" x14ac:dyDescent="0.2">
      <c r="A546" s="122"/>
      <c r="B546" s="174" t="s">
        <v>140</v>
      </c>
      <c r="C546" s="162">
        <f>'[2]IV&amp;VI Combined'!$Z$38</f>
        <v>0</v>
      </c>
      <c r="D546" s="163">
        <f>F546-VLOOKUP(B546,[1]Quota!$B$32:$BJ$43,28,FALSE)</f>
        <v>0</v>
      </c>
      <c r="E546" s="163">
        <f t="shared" si="247"/>
        <v>0</v>
      </c>
      <c r="F546" s="164">
        <f>VLOOKUP(B546,[1]Quota!$B$81:$BJ$93,28,FALSE)</f>
        <v>0</v>
      </c>
      <c r="G546" s="163">
        <f>'[1]Cumulative '!AE230</f>
        <v>0</v>
      </c>
      <c r="H546" s="165" t="str">
        <f t="shared" si="246"/>
        <v>n/a</v>
      </c>
      <c r="I546" s="164">
        <f t="shared" si="253"/>
        <v>0</v>
      </c>
      <c r="J546" s="163">
        <f>VLOOKUP(B546,[1]weeks!$B$156:$BO$193,30,FALSE)-VLOOKUP(B546,[1]weeks!$B$206:$BO$243,30,FALSE)</f>
        <v>0</v>
      </c>
      <c r="K546" s="163">
        <f>VLOOKUP(B546,[1]weeks!$B$107:$BO$144,30,FALSE)-VLOOKUP(B546,[1]weeks!$B$156:$BO$193,30,FALSE)</f>
        <v>0</v>
      </c>
      <c r="L546" s="163">
        <f>VLOOKUP(B546,[1]weeks!$B$55:$BO$94,30,FALSE)-VLOOKUP(B546,[1]weeks!$B$107:$BO$144,30,FALSE)</f>
        <v>0</v>
      </c>
      <c r="M546" s="163">
        <f>VLOOKUP(B546,[1]weeks!$B$5:$BO$44,30,FALSE)-VLOOKUP(B546,[1]weeks!$B$55:$BO$94,30,FALSE)</f>
        <v>0</v>
      </c>
      <c r="N546" s="163" t="str">
        <f t="shared" si="249"/>
        <v>-</v>
      </c>
      <c r="O546" s="163">
        <f t="shared" si="250"/>
        <v>0</v>
      </c>
      <c r="P546" s="146" t="str">
        <f>IF(ISNUMBER(VLOOKUP(B546,[1]Closures!B:BI,27,FALSE)),TEXT(VLOOKUP(B546,[1]Closures!B:BI,27,FALSE),"ddmmm"),IF(C546&lt;=0,0,IF(I546&lt;=0,0,IF(AND(C546&gt;0,O546&lt;=0),"&gt;52",IF(I546/O546&gt;52,"&gt;52", MAX(0,I546/O546-2))))))</f>
        <v>01Jan</v>
      </c>
      <c r="S546" s="130"/>
    </row>
    <row r="547" spans="1:19" ht="11.25" customHeight="1" x14ac:dyDescent="0.2">
      <c r="A547" s="122"/>
      <c r="B547" s="174" t="s">
        <v>141</v>
      </c>
      <c r="C547" s="162">
        <f>'[2]IV&amp;VI Combined'!$Z$39</f>
        <v>0.1</v>
      </c>
      <c r="D547" s="163">
        <f>F547-VLOOKUP(B547,[1]Quota!$B$32:$BJ$43,28,FALSE)</f>
        <v>0</v>
      </c>
      <c r="E547" s="163">
        <f t="shared" si="247"/>
        <v>0</v>
      </c>
      <c r="F547" s="164">
        <f>VLOOKUP(B547,[1]Quota!$B$81:$BJ$93,28,FALSE)</f>
        <v>0.1</v>
      </c>
      <c r="G547" s="163">
        <f>'[1]Cumulative '!AE231</f>
        <v>0</v>
      </c>
      <c r="H547" s="165">
        <f>IF(AND(F547&lt;=0),"n/a",IF(F547=0,0,100*G547/F547))</f>
        <v>0</v>
      </c>
      <c r="I547" s="164">
        <f t="shared" si="253"/>
        <v>0.1</v>
      </c>
      <c r="J547" s="163">
        <f>VLOOKUP(B547,[1]weeks!$B$156:$BO$193,30,FALSE)-VLOOKUP(B547,[1]weeks!$B$206:$BO$243,30,FALSE)</f>
        <v>0</v>
      </c>
      <c r="K547" s="163">
        <f>VLOOKUP(B547,[1]weeks!$B$107:$BO$144,30,FALSE)-VLOOKUP(B547,[1]weeks!$B$156:$BO$193,30,FALSE)</f>
        <v>0</v>
      </c>
      <c r="L547" s="163">
        <f>VLOOKUP(B547,[1]weeks!$B$55:$BO$94,30,FALSE)-VLOOKUP(B547,[1]weeks!$B$107:$BO$144,30,FALSE)</f>
        <v>0</v>
      </c>
      <c r="M547" s="163">
        <f>VLOOKUP(B547,[1]weeks!$B$5:$BO$44,30,FALSE)-VLOOKUP(B547,[1]weeks!$B$55:$BO$94,30,FALSE)</f>
        <v>0</v>
      </c>
      <c r="N547" s="163">
        <f t="shared" si="249"/>
        <v>0</v>
      </c>
      <c r="O547" s="163">
        <f t="shared" si="250"/>
        <v>0</v>
      </c>
      <c r="P547" s="146" t="str">
        <f>IF(ISNUMBER(VLOOKUP(B547,[1]Closures!B:BI,27,FALSE)),TEXT(VLOOKUP(B547,[1]Closures!B:BI,27,FALSE),"ddmmm"),IF(C547&lt;=0,0,IF(I547&lt;=0,0,IF(AND(C547&gt;0,O547&lt;=0),"&gt;52",IF(I547/O547&gt;52,"&gt;52", MAX(0,I547/O547-2))))))</f>
        <v>01Jan</v>
      </c>
      <c r="S547" s="130"/>
    </row>
    <row r="548" spans="1:19" ht="10.7" customHeight="1" x14ac:dyDescent="0.2">
      <c r="A548" s="122"/>
      <c r="B548" s="174" t="s">
        <v>142</v>
      </c>
      <c r="C548" s="162"/>
      <c r="D548" s="163">
        <f>F548-VLOOKUP(B548,[1]Quota!$B$32:$BJ$43,28,FALSE)</f>
        <v>0</v>
      </c>
      <c r="E548" s="163"/>
      <c r="F548" s="164">
        <f>VLOOKUP(B548,[1]Quota!$B$81:$BJ$93,28,FALSE)</f>
        <v>0</v>
      </c>
      <c r="G548" s="163"/>
      <c r="H548" s="165" t="str">
        <f>IF(AND(F548&lt;=0),"n/a",IF(F548=0,0,100*G548/F548))</f>
        <v>n/a</v>
      </c>
      <c r="I548" s="164">
        <f>F548-G548</f>
        <v>0</v>
      </c>
      <c r="J548" s="163"/>
      <c r="K548" s="163"/>
      <c r="L548" s="163"/>
      <c r="M548" s="163"/>
      <c r="N548" s="163"/>
      <c r="O548" s="163"/>
      <c r="P548" s="146"/>
      <c r="S548" s="130"/>
    </row>
    <row r="549" spans="1:19" ht="10.7" customHeight="1" x14ac:dyDescent="0.2">
      <c r="A549" s="122"/>
      <c r="B549" s="168" t="s">
        <v>143</v>
      </c>
      <c r="C549" s="162">
        <f>SUM(C544:C548)</f>
        <v>0.1</v>
      </c>
      <c r="D549" s="163">
        <f>SUM(D544:D548)</f>
        <v>0</v>
      </c>
      <c r="E549" s="163">
        <f t="shared" si="247"/>
        <v>0</v>
      </c>
      <c r="F549" s="217">
        <f t="shared" ref="F549:G549" si="254">SUM(F544:F548)</f>
        <v>0.1</v>
      </c>
      <c r="G549" s="173">
        <f t="shared" si="254"/>
        <v>0</v>
      </c>
      <c r="H549" s="165">
        <f t="shared" si="246"/>
        <v>0</v>
      </c>
      <c r="I549" s="164">
        <f t="shared" si="253"/>
        <v>0.1</v>
      </c>
      <c r="J549" s="163">
        <f t="shared" ref="J549:L549" si="255">SUM(J544:J547)</f>
        <v>0</v>
      </c>
      <c r="K549" s="163">
        <f t="shared" si="255"/>
        <v>0</v>
      </c>
      <c r="L549" s="163">
        <f t="shared" si="255"/>
        <v>0</v>
      </c>
      <c r="M549" s="163">
        <f>SUM(M544:M547)</f>
        <v>0</v>
      </c>
      <c r="N549" s="163">
        <f t="shared" si="249"/>
        <v>0</v>
      </c>
      <c r="O549" s="163">
        <f>SUM(J549:M549)/4</f>
        <v>0</v>
      </c>
      <c r="P549" s="146" t="str">
        <f>IF(ISNUMBER(VLOOKUP(B549,[1]Closures!B:BI,27,FALSE)),TEXT(VLOOKUP(B549,[1]Closures!B:BI,27,FALSE),"ddmmm"),IF(C549&lt;=0,0,IF(I549&lt;=0,0,IF(AND(C549&gt;0,O549&lt;=0),"&gt;52",IF(I549/O549&gt;52,"&gt;52", MAX(0,I549/O549-2))))))</f>
        <v>&gt;52</v>
      </c>
      <c r="S549" s="130"/>
    </row>
    <row r="550" spans="1:19" ht="10.7" customHeight="1" x14ac:dyDescent="0.2">
      <c r="A550" s="122"/>
      <c r="B550" s="168"/>
      <c r="C550" s="162"/>
      <c r="D550" s="163"/>
      <c r="E550" s="163"/>
      <c r="F550" s="164"/>
      <c r="G550" s="163"/>
      <c r="H550" s="165"/>
      <c r="I550" s="164"/>
      <c r="J550" s="163"/>
      <c r="K550" s="163"/>
      <c r="L550" s="163"/>
      <c r="M550" s="163"/>
      <c r="N550" s="163"/>
      <c r="O550" s="163"/>
      <c r="P550" s="146"/>
      <c r="S550" s="130"/>
    </row>
    <row r="551" spans="1:19" ht="10.7" customHeight="1" x14ac:dyDescent="0.2">
      <c r="A551" s="122"/>
      <c r="B551" s="175" t="s">
        <v>112</v>
      </c>
      <c r="C551" s="176">
        <f>C549+C542</f>
        <v>0.1</v>
      </c>
      <c r="D551" s="180">
        <f>D549+D542</f>
        <v>0</v>
      </c>
      <c r="E551" s="180">
        <f t="shared" si="247"/>
        <v>0</v>
      </c>
      <c r="F551" s="189">
        <f>F549+F542</f>
        <v>0.1</v>
      </c>
      <c r="G551" s="180">
        <f>G549+G542</f>
        <v>0</v>
      </c>
      <c r="H551" s="179">
        <f t="shared" si="246"/>
        <v>0</v>
      </c>
      <c r="I551" s="218">
        <f t="shared" si="253"/>
        <v>0.1</v>
      </c>
      <c r="J551" s="180">
        <f t="shared" ref="J551:L551" si="256">J542+J549</f>
        <v>0</v>
      </c>
      <c r="K551" s="180">
        <f t="shared" si="256"/>
        <v>0</v>
      </c>
      <c r="L551" s="180">
        <f t="shared" si="256"/>
        <v>0</v>
      </c>
      <c r="M551" s="180">
        <f>M542+M549</f>
        <v>0</v>
      </c>
      <c r="N551" s="180">
        <f t="shared" si="249"/>
        <v>0</v>
      </c>
      <c r="O551" s="180">
        <f>SUM(J551:M551)/4</f>
        <v>0</v>
      </c>
      <c r="P551" s="153" t="str">
        <f>IF(ISNUMBER(VLOOKUP(B551,[1]Closures!B:BI,27,FALSE)),TEXT(VLOOKUP(B551,[1]Closures!B:BI,27,FALSE),"ddmmm"),IF(C551&lt;=0,0,IF(I551&lt;=0,0,IF(AND(C551&gt;0,O551&lt;=0),"&gt;52",IF(I551/O551&gt;52,"&gt;52", MAX(0,I551/O551-2))))))</f>
        <v>&gt;52</v>
      </c>
      <c r="S551" s="130"/>
    </row>
    <row r="552" spans="1:19" ht="10.7" customHeight="1" x14ac:dyDescent="0.2">
      <c r="A552" s="122"/>
      <c r="B552" s="191"/>
      <c r="C552" s="181"/>
      <c r="D552" s="163"/>
      <c r="E552" s="163"/>
      <c r="F552" s="164"/>
      <c r="G552" s="163"/>
      <c r="H552" s="2"/>
      <c r="I552" s="164"/>
      <c r="J552" s="163"/>
      <c r="K552" s="163"/>
      <c r="L552" s="163"/>
      <c r="M552" s="163"/>
      <c r="N552" s="163"/>
      <c r="O552" s="163"/>
      <c r="P552" s="182"/>
      <c r="S552" s="130"/>
    </row>
    <row r="553" spans="1:19" ht="10.7" customHeight="1" x14ac:dyDescent="0.2">
      <c r="A553" s="122"/>
      <c r="B553" s="131"/>
      <c r="C553" s="181"/>
      <c r="D553" s="183"/>
      <c r="E553" s="183"/>
      <c r="F553" s="184"/>
      <c r="G553" s="183"/>
      <c r="H553" s="163"/>
      <c r="I553" s="184"/>
      <c r="J553" s="185"/>
      <c r="K553" s="185"/>
      <c r="L553" s="185"/>
      <c r="M553" s="185"/>
      <c r="N553" s="173"/>
      <c r="O553" s="183"/>
      <c r="P553" s="182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202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tr">
        <f>C5</f>
        <v>Initial Quota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203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203" t="s">
        <v>74</v>
      </c>
      <c r="I556" s="147" t="s">
        <v>75</v>
      </c>
      <c r="J556" s="151">
        <f>[1]weeks!$B$154</f>
        <v>43166</v>
      </c>
      <c r="K556" s="151">
        <f>[1]weeks!$B$105</f>
        <v>43173</v>
      </c>
      <c r="L556" s="151">
        <f>[1]weeks!$B$55</f>
        <v>43180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204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6"/>
      <c r="C558" s="209" t="s">
        <v>179</v>
      </c>
      <c r="D558" s="209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10"/>
      <c r="P558" s="145"/>
      <c r="S558" s="130"/>
    </row>
    <row r="559" spans="1:19" ht="10.7" customHeight="1" x14ac:dyDescent="0.2">
      <c r="A559" s="122"/>
      <c r="B559" s="161" t="s">
        <v>132</v>
      </c>
      <c r="C559" s="162">
        <f>'[2]IV&amp;VI Combined'!$AA$29</f>
        <v>99.4</v>
      </c>
      <c r="D559" s="163">
        <f>F559-VLOOKUP(B559,[1]Quota!$B$103:$BJ$143,31,FALSE)</f>
        <v>0</v>
      </c>
      <c r="E559" s="163">
        <f>F559-C559</f>
        <v>0</v>
      </c>
      <c r="F559" s="164">
        <f>VLOOKUP(B559,[1]Quota!$B$81:$BJ$92,31,FALSE)</f>
        <v>99.4</v>
      </c>
      <c r="G559" s="163">
        <f>'[1]Cumulative '!AH221</f>
        <v>0</v>
      </c>
      <c r="H559" s="165">
        <f t="shared" ref="H559:H571" si="257">IF(AND(F559&lt;=0),"n/a",IF(F559=0,0,100*G559/F559))</f>
        <v>0</v>
      </c>
      <c r="I559" s="164">
        <f>F559-G559</f>
        <v>99.4</v>
      </c>
      <c r="J559" s="163">
        <f>VLOOKUP(B559,[1]weeks!$B$156:$BO$193,33,FALSE)-VLOOKUP(B559,[1]weeks!$B$206:$BO$243,33,FALSE)</f>
        <v>0</v>
      </c>
      <c r="K559" s="163">
        <f>VLOOKUP(B559,[1]weeks!$B$107:$BO$144,33,FALSE)-VLOOKUP(B559,[1]weeks!$B$156:$BO$193,33,FALSE)</f>
        <v>0</v>
      </c>
      <c r="L559" s="163">
        <f>VLOOKUP(B559,[1]weeks!$B$55:$BO$94,33,FALSE)-VLOOKUP(B559,[1]weeks!$B$107:$BO$144,33,FALSE)</f>
        <v>0</v>
      </c>
      <c r="M559" s="163">
        <f>VLOOKUP(B559,[1]weeks!$B$5:$BO$44,33,FALSE)-VLOOKUP(B559,[1]weeks!$B$55:$BO$94,33,FALSE)</f>
        <v>0</v>
      </c>
      <c r="N559" s="163">
        <f>IF(F559&gt;0,M559/F559*100,"-")</f>
        <v>0</v>
      </c>
      <c r="O559" s="163">
        <f>SUM(J559:M559)/4</f>
        <v>0</v>
      </c>
      <c r="P559" s="146" t="str">
        <f>IF(ISNUMBER(VLOOKUP(B559,[1]Closures!B:BI,30,FALSE)),TEXT(VLOOKUP(B559,[1]Closures!B:BI,30,FALSE),"ddmmm"),IF(C559&lt;=0,0,IF(I559&lt;=0,0,IF(AND(C559&gt;0,O559&lt;=0),"&gt;52",IF(I559/O559&gt;52,"&gt;52", MAX(0,I559/O559-2))))))</f>
        <v>&gt;52</v>
      </c>
      <c r="S559" s="130"/>
    </row>
    <row r="560" spans="1:19" ht="10.7" customHeight="1" x14ac:dyDescent="0.2">
      <c r="A560" s="122"/>
      <c r="B560" s="161" t="s">
        <v>133</v>
      </c>
      <c r="C560" s="162">
        <f>'[2]IV&amp;VI Combined'!$AA$30</f>
        <v>6.3</v>
      </c>
      <c r="D560" s="163">
        <f>F560-VLOOKUP(B560,[1]Quota!$B$103:$BJ$143,31,FALSE)</f>
        <v>0</v>
      </c>
      <c r="E560" s="163">
        <f t="shared" ref="E560:E573" si="258">F560-C560</f>
        <v>0</v>
      </c>
      <c r="F560" s="164">
        <f>VLOOKUP(B560,[1]Quota!$B$81:$BJ$92,31,FALSE)</f>
        <v>6.3</v>
      </c>
      <c r="G560" s="163">
        <f>'[1]Cumulative '!AH222</f>
        <v>0</v>
      </c>
      <c r="H560" s="165">
        <f t="shared" si="257"/>
        <v>0</v>
      </c>
      <c r="I560" s="164">
        <f t="shared" ref="I560:I563" si="259">F560-G560</f>
        <v>6.3</v>
      </c>
      <c r="J560" s="163">
        <f>VLOOKUP(B560,[1]weeks!$B$156:$BO$193,33,FALSE)-VLOOKUP(B560,[1]weeks!$B$206:$BO$243,33,FALSE)</f>
        <v>0</v>
      </c>
      <c r="K560" s="163">
        <f>VLOOKUP(B560,[1]weeks!$B$107:$BO$144,33,FALSE)-VLOOKUP(B560,[1]weeks!$B$156:$BO$193,33,FALSE)</f>
        <v>0</v>
      </c>
      <c r="L560" s="163">
        <f>VLOOKUP(B560,[1]weeks!$B$55:$BO$94,33,FALSE)-VLOOKUP(B560,[1]weeks!$B$107:$BO$144,33,FALSE)</f>
        <v>0</v>
      </c>
      <c r="M560" s="163">
        <f>VLOOKUP(B560,[1]weeks!$B$5:$BO$44,33,FALSE)-VLOOKUP(B560,[1]weeks!$B$55:$BO$94,33,FALSE)</f>
        <v>0</v>
      </c>
      <c r="N560" s="163">
        <f t="shared" ref="N560:N573" si="260">IF(F560&gt;0,M560/F560*100,"-")</f>
        <v>0</v>
      </c>
      <c r="O560" s="163">
        <f>SUM(J560:M560)/4</f>
        <v>0</v>
      </c>
      <c r="P560" s="146" t="str">
        <f>IF(ISNUMBER(VLOOKUP(B560,[1]Closures!B:BI,30,FALSE)),TEXT(VLOOKUP(B560,[1]Closures!B:BI,30,FALSE),"ddmmm"),IF(C560&lt;=0,0,IF(I560&lt;=0,0,IF(AND(C560&gt;0,O560&lt;=0),"&gt;52",IF(I560/O560&gt;52,"&gt;52", MAX(0,I560/O560-2))))))</f>
        <v>&gt;52</v>
      </c>
      <c r="S560" s="130"/>
    </row>
    <row r="561" spans="1:19" ht="10.7" customHeight="1" x14ac:dyDescent="0.2">
      <c r="A561" s="122"/>
      <c r="B561" s="161" t="s">
        <v>134</v>
      </c>
      <c r="C561" s="162">
        <f>'[2]IV&amp;VI Combined'!$AA$31</f>
        <v>539.29999999999995</v>
      </c>
      <c r="D561" s="163">
        <f>F561-VLOOKUP(B561,[1]Quota!$B$103:$BJ$143,31,FALSE)</f>
        <v>0</v>
      </c>
      <c r="E561" s="163">
        <f t="shared" si="258"/>
        <v>0</v>
      </c>
      <c r="F561" s="164">
        <f>VLOOKUP(B561,[1]Quota!$B$81:$BJ$92,31,FALSE)</f>
        <v>539.29999999999995</v>
      </c>
      <c r="G561" s="163">
        <f>'[1]Cumulative '!AH223</f>
        <v>33.304000000000002</v>
      </c>
      <c r="H561" s="165">
        <f t="shared" si="257"/>
        <v>6.1754125718524016</v>
      </c>
      <c r="I561" s="164">
        <f t="shared" si="259"/>
        <v>505.99599999999998</v>
      </c>
      <c r="J561" s="163">
        <f>VLOOKUP(B561,[1]weeks!$B$156:$BO$193,33,FALSE)-VLOOKUP(B561,[1]weeks!$B$206:$BO$243,33,FALSE)</f>
        <v>3.1509999999999998</v>
      </c>
      <c r="K561" s="163">
        <f>VLOOKUP(B561,[1]weeks!$B$107:$BO$144,33,FALSE)-VLOOKUP(B561,[1]weeks!$B$156:$BO$193,33,FALSE)</f>
        <v>4.9959999999999987</v>
      </c>
      <c r="L561" s="163">
        <f>VLOOKUP(B561,[1]weeks!$B$55:$BO$94,33,FALSE)-VLOOKUP(B561,[1]weeks!$B$107:$BO$144,33,FALSE)</f>
        <v>5.1870000000000012</v>
      </c>
      <c r="M561" s="163">
        <f>VLOOKUP(B561,[1]weeks!$B$5:$BO$44,33,FALSE)-VLOOKUP(B561,[1]weeks!$B$55:$BO$94,33,FALSE)</f>
        <v>6.6990000000000016</v>
      </c>
      <c r="N561" s="163">
        <f t="shared" si="260"/>
        <v>1.2421657704431674</v>
      </c>
      <c r="O561" s="163">
        <f>SUM(J561:M561)/4</f>
        <v>5.0082500000000003</v>
      </c>
      <c r="P561" s="146" t="str">
        <f>IF(ISNUMBER(VLOOKUP(B561,[1]Closures!B:BI,30,FALSE)),TEXT(VLOOKUP(B561,[1]Closures!B:BI,30,FALSE),"ddmmm"),IF(C561&lt;=0,0,IF(I561&lt;=0,0,IF(AND(C561&gt;0,O561&lt;=0),"&gt;52",IF(I561/O561&gt;52,"&gt;52", MAX(0,I561/O561-2))))))</f>
        <v>&gt;52</v>
      </c>
      <c r="S561" s="130"/>
    </row>
    <row r="562" spans="1:19" ht="10.7" customHeight="1" x14ac:dyDescent="0.2">
      <c r="A562" s="122"/>
      <c r="B562" s="161" t="s">
        <v>135</v>
      </c>
      <c r="C562" s="162">
        <f>'[2]IV&amp;VI Combined'!$AA$32</f>
        <v>22.9</v>
      </c>
      <c r="D562" s="163">
        <f>F562-VLOOKUP(B562,[1]Quota!$B$103:$BJ$143,31,FALSE)</f>
        <v>0</v>
      </c>
      <c r="E562" s="163">
        <f t="shared" si="258"/>
        <v>0</v>
      </c>
      <c r="F562" s="164">
        <f>VLOOKUP(B562,[1]Quota!$B$81:$BJ$92,31,FALSE)</f>
        <v>22.9</v>
      </c>
      <c r="G562" s="163">
        <f>'[1]Cumulative '!AH224</f>
        <v>0</v>
      </c>
      <c r="H562" s="165">
        <f t="shared" si="257"/>
        <v>0</v>
      </c>
      <c r="I562" s="164">
        <f t="shared" si="259"/>
        <v>22.9</v>
      </c>
      <c r="J562" s="163">
        <f>VLOOKUP(B562,[1]weeks!$B$156:$BO$193,33,FALSE)-VLOOKUP(B562,[1]weeks!$B$206:$BO$243,33,FALSE)</f>
        <v>0</v>
      </c>
      <c r="K562" s="163">
        <f>VLOOKUP(B562,[1]weeks!$B$107:$BO$144,33,FALSE)-VLOOKUP(B562,[1]weeks!$B$156:$BO$193,33,FALSE)</f>
        <v>0</v>
      </c>
      <c r="L562" s="163">
        <f>VLOOKUP(B562,[1]weeks!$B$55:$BO$94,33,FALSE)-VLOOKUP(B562,[1]weeks!$B$107:$BO$144,33,FALSE)</f>
        <v>0</v>
      </c>
      <c r="M562" s="163">
        <f>VLOOKUP(B562,[1]weeks!$B$5:$BO$44,33,FALSE)-VLOOKUP(B562,[1]weeks!$B$55:$BO$94,33,FALSE)</f>
        <v>0</v>
      </c>
      <c r="N562" s="163">
        <f t="shared" si="260"/>
        <v>0</v>
      </c>
      <c r="O562" s="163">
        <f>SUM(J562:M562)/4</f>
        <v>0</v>
      </c>
      <c r="P562" s="146" t="str">
        <f>IF(ISNUMBER(VLOOKUP(B562,[1]Closures!B:BI,30,FALSE)),TEXT(VLOOKUP(B562,[1]Closures!B:BI,30,FALSE),"ddmmm"),IF(C562&lt;=0,0,IF(I562&lt;=0,0,IF(AND(C562&gt;0,O562&lt;=0),"&gt;52",IF(I562/O562&gt;52,"&gt;52", MAX(0,I562/O562-2))))))</f>
        <v>&gt;52</v>
      </c>
      <c r="S562" s="130"/>
    </row>
    <row r="563" spans="1:19" ht="10.7" customHeight="1" x14ac:dyDescent="0.2">
      <c r="A563" s="122"/>
      <c r="B563" s="161" t="s">
        <v>136</v>
      </c>
      <c r="C563" s="162"/>
      <c r="D563" s="163">
        <f>F563-VLOOKUP(B563,[1]Quota!$B$32:$BJ$43,31,FALSE)</f>
        <v>0</v>
      </c>
      <c r="E563" s="163"/>
      <c r="F563" s="164">
        <f>VLOOKUP(B563,[1]Quota!$B$81:$BJ$92,31,FALSE)</f>
        <v>0</v>
      </c>
      <c r="G563" s="163"/>
      <c r="H563" s="165" t="str">
        <f t="shared" si="257"/>
        <v>n/a</v>
      </c>
      <c r="I563" s="164">
        <f t="shared" si="259"/>
        <v>0</v>
      </c>
      <c r="J563" s="163"/>
      <c r="K563" s="163"/>
      <c r="L563" s="163"/>
      <c r="M563" s="163"/>
      <c r="N563" s="163"/>
      <c r="O563" s="163"/>
      <c r="P563" s="146"/>
      <c r="S563" s="130"/>
    </row>
    <row r="564" spans="1:19" ht="10.7" customHeight="1" x14ac:dyDescent="0.2">
      <c r="A564" s="122"/>
      <c r="B564" s="168" t="s">
        <v>137</v>
      </c>
      <c r="C564" s="162">
        <f>SUM(C559:C562)</f>
        <v>667.9</v>
      </c>
      <c r="D564" s="163">
        <f>SUM(D559:D563)</f>
        <v>0</v>
      </c>
      <c r="E564" s="163">
        <f t="shared" si="258"/>
        <v>0</v>
      </c>
      <c r="F564" s="217">
        <f t="shared" ref="F564" si="261">SUM(F559:F562)</f>
        <v>667.9</v>
      </c>
      <c r="G564" s="163">
        <f>SUM(G559:G562)</f>
        <v>33.304000000000002</v>
      </c>
      <c r="H564" s="165">
        <f t="shared" si="257"/>
        <v>4.986375205869142</v>
      </c>
      <c r="I564" s="217">
        <f t="shared" ref="I564:L564" si="262">SUM(I559:I562)</f>
        <v>634.596</v>
      </c>
      <c r="J564" s="163">
        <f t="shared" si="262"/>
        <v>3.1509999999999998</v>
      </c>
      <c r="K564" s="163">
        <f t="shared" si="262"/>
        <v>4.9959999999999987</v>
      </c>
      <c r="L564" s="163">
        <f t="shared" si="262"/>
        <v>5.1870000000000012</v>
      </c>
      <c r="M564" s="163">
        <f>SUM(M559:M562)</f>
        <v>6.6990000000000016</v>
      </c>
      <c r="N564" s="163">
        <f t="shared" si="260"/>
        <v>1.0029944602485403</v>
      </c>
      <c r="O564" s="163">
        <f>SUM(J564:M564)/4</f>
        <v>5.0082500000000003</v>
      </c>
      <c r="P564" s="146" t="str">
        <f>IF(ISNUMBER(VLOOKUP(B564,[1]Closures!B:BI,30,FALSE)),TEXT(VLOOKUP(B564,[1]Closures!B:BI,30,FALSE),"ddmmm"),IF(C564&lt;=0,0,IF(I564&lt;=0,0,IF(AND(C564&gt;0,O564&lt;=0),"&gt;52",IF(I564/O564&gt;52,"&gt;52", MAX(0,I564/O564-2))))))</f>
        <v>&gt;52</v>
      </c>
      <c r="S564" s="130"/>
    </row>
    <row r="565" spans="1:19" ht="10.7" customHeight="1" x14ac:dyDescent="0.2">
      <c r="A565" s="122"/>
      <c r="B565" s="168"/>
      <c r="C565" s="162"/>
      <c r="D565" s="163"/>
      <c r="E565" s="163"/>
      <c r="F565" s="164"/>
      <c r="G565" s="163"/>
      <c r="H565" s="165"/>
      <c r="I565" s="164"/>
      <c r="J565" s="163"/>
      <c r="K565" s="163"/>
      <c r="L565" s="163"/>
      <c r="M565" s="163"/>
      <c r="N565" s="163" t="str">
        <f t="shared" si="260"/>
        <v>-</v>
      </c>
      <c r="O565" s="163"/>
      <c r="P565" s="146"/>
      <c r="S565" s="130"/>
    </row>
    <row r="566" spans="1:19" ht="10.7" customHeight="1" x14ac:dyDescent="0.2">
      <c r="A566" s="122"/>
      <c r="B566" s="174" t="s">
        <v>138</v>
      </c>
      <c r="C566" s="162">
        <f>'[2]IV&amp;VI Combined'!$AA$36</f>
        <v>60.4</v>
      </c>
      <c r="D566" s="163">
        <f>F566-VLOOKUP(B566,[1]Quota!$B$103:$BJ$143,31,FALSE)</f>
        <v>0</v>
      </c>
      <c r="E566" s="163">
        <f t="shared" si="258"/>
        <v>0</v>
      </c>
      <c r="F566" s="164">
        <f>VLOOKUP(B566,[1]Quota!$B$81:$BJ$92,31,FALSE)</f>
        <v>60.4</v>
      </c>
      <c r="G566" s="163">
        <f>'[1]Cumulative '!AH228</f>
        <v>0</v>
      </c>
      <c r="H566" s="165">
        <f t="shared" si="257"/>
        <v>0</v>
      </c>
      <c r="I566" s="164">
        <f t="shared" ref="I566:I573" si="263">F566-G566</f>
        <v>60.4</v>
      </c>
      <c r="J566" s="163">
        <f>VLOOKUP(B566,[1]weeks!$B$156:$BO$193,33,FALSE)-VLOOKUP(B566,[1]weeks!$B$206:$BO$243,33,FALSE)</f>
        <v>0</v>
      </c>
      <c r="K566" s="163">
        <f>VLOOKUP(B566,[1]weeks!$B$107:$BO$144,33,FALSE)-VLOOKUP(B566,[1]weeks!$B$156:$BO$193,33,FALSE)</f>
        <v>0</v>
      </c>
      <c r="L566" s="163">
        <f>VLOOKUP(B566,[1]weeks!$B$55:$BO$94,33,FALSE)-VLOOKUP(B566,[1]weeks!$B$107:$BO$144,33,FALSE)</f>
        <v>0</v>
      </c>
      <c r="M566" s="163">
        <f>VLOOKUP(B566,[1]weeks!$B$5:$BO$44,33,FALSE)-VLOOKUP(B566,[1]weeks!$B$55:$BO$94,33,FALSE)</f>
        <v>0</v>
      </c>
      <c r="N566" s="163">
        <f t="shared" si="260"/>
        <v>0</v>
      </c>
      <c r="O566" s="163">
        <f>SUM(J566:M566)/4</f>
        <v>0</v>
      </c>
      <c r="P566" s="146" t="str">
        <f>IF(ISNUMBER(VLOOKUP(B566,[1]Closures!B:BI,30,FALSE)),TEXT(VLOOKUP(B566,[1]Closures!B:BI,30,FALSE),"ddmmm"),IF(C566&lt;=0,0,IF(I566&lt;=0,0,IF(AND(C566&gt;0,O566&lt;=0),"&gt;52",IF(I566/O566&gt;52,"&gt;52", MAX(0,I566/O566-2))))))</f>
        <v>&gt;52</v>
      </c>
      <c r="S566" s="130"/>
    </row>
    <row r="567" spans="1:19" ht="10.7" customHeight="1" x14ac:dyDescent="0.2">
      <c r="A567" s="122"/>
      <c r="B567" s="174" t="s">
        <v>139</v>
      </c>
      <c r="C567" s="162">
        <f>'[2]IV&amp;VI Combined'!$AA$37</f>
        <v>18.899999999999999</v>
      </c>
      <c r="D567" s="163">
        <f>F567-VLOOKUP(B567,[1]Quota!$B$103:$BJ$143,31,FALSE)</f>
        <v>0</v>
      </c>
      <c r="E567" s="163">
        <f t="shared" si="258"/>
        <v>0</v>
      </c>
      <c r="F567" s="164">
        <f>VLOOKUP(B567,[1]Quota!$B$81:$BJ$92,31,FALSE)</f>
        <v>18.899999999999999</v>
      </c>
      <c r="G567" s="163">
        <f>'[1]Cumulative '!AH229</f>
        <v>0</v>
      </c>
      <c r="H567" s="165">
        <f t="shared" si="257"/>
        <v>0</v>
      </c>
      <c r="I567" s="164">
        <f t="shared" si="263"/>
        <v>18.899999999999999</v>
      </c>
      <c r="J567" s="163">
        <f>VLOOKUP(B567,[1]weeks!$B$156:$BO$193,33,FALSE)-VLOOKUP(B567,[1]weeks!$B$206:$BO$243,33,FALSE)</f>
        <v>0</v>
      </c>
      <c r="K567" s="163">
        <f>VLOOKUP(B567,[1]weeks!$B$107:$BO$144,33,FALSE)-VLOOKUP(B567,[1]weeks!$B$156:$BO$193,33,FALSE)</f>
        <v>0</v>
      </c>
      <c r="L567" s="163">
        <f>VLOOKUP(B567,[1]weeks!$B$55:$BO$94,33,FALSE)-VLOOKUP(B567,[1]weeks!$B$107:$BO$144,33,FALSE)</f>
        <v>0</v>
      </c>
      <c r="M567" s="163">
        <f>VLOOKUP(B567,[1]weeks!$B$5:$BO$44,33,FALSE)-VLOOKUP(B567,[1]weeks!$B$55:$BO$94,33,FALSE)</f>
        <v>0</v>
      </c>
      <c r="N567" s="163">
        <f t="shared" si="260"/>
        <v>0</v>
      </c>
      <c r="O567" s="163">
        <f t="shared" ref="O567:O569" si="264">SUM(J567:M567)/4</f>
        <v>0</v>
      </c>
      <c r="P567" s="146" t="str">
        <f>IF(ISNUMBER(VLOOKUP(B567,[1]Closures!B:BI,30,FALSE)),TEXT(VLOOKUP(B567,[1]Closures!B:BI,30,FALSE),"ddmmm"),IF(C567&lt;=0,0,IF(I567&lt;=0,0,IF(AND(C567&gt;0,O567&lt;=0),"&gt;52",IF(I567/O567&gt;52,"&gt;52", MAX(0,I567/O567-2))))))</f>
        <v>&gt;52</v>
      </c>
      <c r="S567" s="130"/>
    </row>
    <row r="568" spans="1:19" ht="10.7" customHeight="1" x14ac:dyDescent="0.2">
      <c r="A568" s="122"/>
      <c r="B568" s="174" t="s">
        <v>140</v>
      </c>
      <c r="C568" s="162">
        <f>'[2]IV&amp;VI Combined'!$AA$38</f>
        <v>1288.0999999999999</v>
      </c>
      <c r="D568" s="163">
        <f>F568-VLOOKUP(B568,[1]Quota!$B$103:$BJ$143,31,FALSE)</f>
        <v>0</v>
      </c>
      <c r="E568" s="163">
        <f t="shared" si="258"/>
        <v>0</v>
      </c>
      <c r="F568" s="164">
        <f>VLOOKUP(B568,[1]Quota!$B$81:$BJ$92,31,FALSE)</f>
        <v>1288.0999999999999</v>
      </c>
      <c r="G568" s="163">
        <f>'[1]Cumulative '!AH230</f>
        <v>102.89700000000001</v>
      </c>
      <c r="H568" s="165">
        <f t="shared" si="257"/>
        <v>7.9882773076624494</v>
      </c>
      <c r="I568" s="164">
        <f t="shared" si="263"/>
        <v>1185.203</v>
      </c>
      <c r="J568" s="163">
        <f>VLOOKUP(B568,[1]weeks!$B$156:$BO$193,33,FALSE)-VLOOKUP(B568,[1]weeks!$B$206:$BO$243,33,FALSE)</f>
        <v>16.136000000000003</v>
      </c>
      <c r="K568" s="163">
        <f>VLOOKUP(B568,[1]weeks!$B$107:$BO$144,33,FALSE)-VLOOKUP(B568,[1]weeks!$B$156:$BO$193,33,FALSE)</f>
        <v>19.486000000000004</v>
      </c>
      <c r="L568" s="163">
        <f>VLOOKUP(B568,[1]weeks!$B$55:$BO$94,33,FALSE)-VLOOKUP(B568,[1]weeks!$B$107:$BO$144,33,FALSE)</f>
        <v>17.159999999999997</v>
      </c>
      <c r="M568" s="163">
        <f>VLOOKUP(B568,[1]weeks!$B$5:$BO$44,33,FALSE)-VLOOKUP(B568,[1]weeks!$B$55:$BO$94,33,FALSE)</f>
        <v>12.712000000000003</v>
      </c>
      <c r="N568" s="163">
        <f t="shared" si="260"/>
        <v>0.98687990062883357</v>
      </c>
      <c r="O568" s="163">
        <f t="shared" si="264"/>
        <v>16.3735</v>
      </c>
      <c r="P568" s="146" t="str">
        <f>IF(ISNUMBER(VLOOKUP(B568,[1]Closures!B:BI,30,FALSE)),TEXT(VLOOKUP(B568,[1]Closures!B:BI,30,FALSE),"ddmmm"),IF(C568&lt;=0,0,IF(I568&lt;=0,0,IF(AND(C568&gt;0,O568&lt;=0),"&gt;52",IF(I568/O568&gt;52,"&gt;52", MAX(0,I568/O568-2))))))</f>
        <v>&gt;52</v>
      </c>
      <c r="S568" s="130"/>
    </row>
    <row r="569" spans="1:19" ht="10.7" customHeight="1" x14ac:dyDescent="0.2">
      <c r="A569" s="122"/>
      <c r="B569" s="174" t="s">
        <v>141</v>
      </c>
      <c r="C569" s="162">
        <f>'[2]IV&amp;VI Combined'!$AA$39</f>
        <v>16.5</v>
      </c>
      <c r="D569" s="163">
        <f>F569-VLOOKUP(B569,[1]Quota!$B$103:$BJ$143,31,FALSE)</f>
        <v>0</v>
      </c>
      <c r="E569" s="163">
        <f t="shared" si="258"/>
        <v>0</v>
      </c>
      <c r="F569" s="164">
        <f>VLOOKUP(B569,[1]Quota!$B$81:$BJ$92,31,FALSE)</f>
        <v>16.5</v>
      </c>
      <c r="G569" s="163">
        <f>'[1]Cumulative '!AH231</f>
        <v>0</v>
      </c>
      <c r="H569" s="165">
        <f>IF(AND(F569&lt;=0),"n/a",IF(F569=0,0,100*G569/F569))</f>
        <v>0</v>
      </c>
      <c r="I569" s="164">
        <f t="shared" si="263"/>
        <v>16.5</v>
      </c>
      <c r="J569" s="163">
        <f>VLOOKUP(B569,[1]weeks!$B$156:$BO$193,33,FALSE)-VLOOKUP(B569,[1]weeks!$B$206:$BO$243,33,FALSE)</f>
        <v>0</v>
      </c>
      <c r="K569" s="163">
        <f>VLOOKUP(B569,[1]weeks!$B$107:$BO$144,33,FALSE)-VLOOKUP(B569,[1]weeks!$B$156:$BO$193,33,FALSE)</f>
        <v>0</v>
      </c>
      <c r="L569" s="163">
        <f>VLOOKUP(B569,[1]weeks!$B$55:$BO$94,33,FALSE)-VLOOKUP(B569,[1]weeks!$B$107:$BO$144,33,FALSE)</f>
        <v>0</v>
      </c>
      <c r="M569" s="163">
        <f>VLOOKUP(B569,[1]weeks!$B$5:$BO$44,33,FALSE)-VLOOKUP(B569,[1]weeks!$B$55:$BO$94,33,FALSE)</f>
        <v>0</v>
      </c>
      <c r="N569" s="163">
        <f t="shared" si="260"/>
        <v>0</v>
      </c>
      <c r="O569" s="163">
        <f t="shared" si="264"/>
        <v>0</v>
      </c>
      <c r="P569" s="146" t="str">
        <f>IF(ISNUMBER(VLOOKUP(B569,[1]Closures!B:BI,30,FALSE)),TEXT(VLOOKUP(B569,[1]Closures!B:BI,30,FALSE),"ddmmm"),IF(C569&lt;=0,0,IF(I569&lt;=0,0,IF(AND(C569&gt;0,O569&lt;=0),"&gt;52",IF(I569/O569&gt;52,"&gt;52", MAX(0,I569/O569-2))))))</f>
        <v>&gt;52</v>
      </c>
      <c r="S569" s="130"/>
    </row>
    <row r="570" spans="1:19" ht="10.7" customHeight="1" x14ac:dyDescent="0.2">
      <c r="A570" s="122"/>
      <c r="B570" s="174" t="s">
        <v>142</v>
      </c>
      <c r="C570" s="162"/>
      <c r="D570" s="163">
        <f>F570-VLOOKUP(B570,[1]Quota!$B$32:$BJ$43,31,FALSE)</f>
        <v>0</v>
      </c>
      <c r="E570" s="163"/>
      <c r="F570" s="164">
        <f>VLOOKUP(B570,[1]Quota!$B$81:$BJ$92,31,FALSE)</f>
        <v>0</v>
      </c>
      <c r="G570" s="163"/>
      <c r="H570" s="165" t="str">
        <f>IF(AND(F570&lt;=0),"n/a",IF(F570=0,0,100*G570/F570))</f>
        <v>n/a</v>
      </c>
      <c r="I570" s="164">
        <f>F570-G570</f>
        <v>0</v>
      </c>
      <c r="J570" s="163"/>
      <c r="K570" s="163"/>
      <c r="L570" s="163"/>
      <c r="M570" s="163"/>
      <c r="N570" s="163"/>
      <c r="O570" s="163"/>
      <c r="P570" s="146"/>
      <c r="S570" s="130"/>
    </row>
    <row r="571" spans="1:19" ht="10.7" customHeight="1" x14ac:dyDescent="0.2">
      <c r="A571" s="122"/>
      <c r="B571" s="168" t="s">
        <v>143</v>
      </c>
      <c r="C571" s="162">
        <f>SUM(C566:C570)</f>
        <v>1383.8999999999999</v>
      </c>
      <c r="D571" s="163">
        <f>SUM(D566:D570)</f>
        <v>0</v>
      </c>
      <c r="E571" s="163">
        <f t="shared" si="258"/>
        <v>0</v>
      </c>
      <c r="F571" s="217">
        <f t="shared" ref="F571:G571" si="265">SUM(F566:F570)</f>
        <v>1383.8999999999999</v>
      </c>
      <c r="G571" s="173">
        <f t="shared" si="265"/>
        <v>102.89700000000001</v>
      </c>
      <c r="H571" s="165">
        <f t="shared" si="257"/>
        <v>7.4352915673097781</v>
      </c>
      <c r="I571" s="164">
        <f t="shared" si="263"/>
        <v>1281.0029999999999</v>
      </c>
      <c r="J571" s="163">
        <f t="shared" ref="J571:L571" si="266">SUM(J566:J569)</f>
        <v>16.136000000000003</v>
      </c>
      <c r="K571" s="163">
        <f t="shared" si="266"/>
        <v>19.486000000000004</v>
      </c>
      <c r="L571" s="163">
        <f t="shared" si="266"/>
        <v>17.159999999999997</v>
      </c>
      <c r="M571" s="163">
        <f>SUM(M566:M569)</f>
        <v>12.712000000000003</v>
      </c>
      <c r="N571" s="163">
        <f t="shared" si="260"/>
        <v>0.91856348002023291</v>
      </c>
      <c r="O571" s="163">
        <f>SUM(J571:M571)/4</f>
        <v>16.3735</v>
      </c>
      <c r="P571" s="146" t="str">
        <f>IF(ISNUMBER(VLOOKUP(B571,[1]Closures!B:BI,30,FALSE)),TEXT(VLOOKUP(B571,[1]Closures!B:BI,30,FALSE),"ddmmm"),IF(C571&lt;=0,0,IF(I571&lt;=0,0,IF(AND(C571&gt;0,O571&lt;=0),"&gt;52",IF(I571/O571&gt;52,"&gt;52", MAX(0,I571/O571-2))))))</f>
        <v>&gt;52</v>
      </c>
      <c r="S571" s="130"/>
    </row>
    <row r="572" spans="1:19" ht="10.7" customHeight="1" x14ac:dyDescent="0.2">
      <c r="A572" s="122"/>
      <c r="B572" s="168"/>
      <c r="C572" s="162"/>
      <c r="D572" s="163"/>
      <c r="E572" s="163"/>
      <c r="F572" s="164"/>
      <c r="G572" s="163"/>
      <c r="H572" s="165"/>
      <c r="I572" s="164"/>
      <c r="J572" s="163"/>
      <c r="K572" s="163"/>
      <c r="L572" s="163"/>
      <c r="M572" s="163"/>
      <c r="N572" s="163"/>
      <c r="O572" s="163"/>
      <c r="P572" s="146"/>
      <c r="S572" s="130"/>
    </row>
    <row r="573" spans="1:19" ht="10.7" customHeight="1" x14ac:dyDescent="0.2">
      <c r="A573" s="122"/>
      <c r="B573" s="175" t="s">
        <v>112</v>
      </c>
      <c r="C573" s="176">
        <f>C571+C564</f>
        <v>2051.7999999999997</v>
      </c>
      <c r="D573" s="180">
        <f>D571+D564</f>
        <v>0</v>
      </c>
      <c r="E573" s="180">
        <f t="shared" si="258"/>
        <v>0</v>
      </c>
      <c r="F573" s="189">
        <f>F571+F564</f>
        <v>2051.7999999999997</v>
      </c>
      <c r="G573" s="180">
        <f>G571+G564</f>
        <v>136.20100000000002</v>
      </c>
      <c r="H573" s="179">
        <f>IF(AND(F573&lt;=0),"n/a",IF(F573=0,0,100*G573/F573))</f>
        <v>6.6381226240374325</v>
      </c>
      <c r="I573" s="218">
        <f t="shared" si="263"/>
        <v>1915.5989999999997</v>
      </c>
      <c r="J573" s="180">
        <f t="shared" ref="J573:L573" si="267">J564+J571</f>
        <v>19.287000000000003</v>
      </c>
      <c r="K573" s="180">
        <f t="shared" si="267"/>
        <v>24.482000000000003</v>
      </c>
      <c r="L573" s="180">
        <f t="shared" si="267"/>
        <v>22.346999999999998</v>
      </c>
      <c r="M573" s="180">
        <f>M564+M571</f>
        <v>19.411000000000005</v>
      </c>
      <c r="N573" s="180">
        <f t="shared" si="260"/>
        <v>0.94604737303830821</v>
      </c>
      <c r="O573" s="180">
        <f>SUM(J573:M573)/4</f>
        <v>21.38175</v>
      </c>
      <c r="P573" s="153" t="str">
        <f>IF(ISNUMBER(VLOOKUP(B573,[1]Closures!B:BI,30,FALSE)),TEXT(VLOOKUP(B573,[1]Closures!B:BI,30,FALSE),"ddmmm"),IF(C573&lt;=0,0,IF(I573&lt;=0,0,IF(AND(C573&gt;0,O573&lt;=0),"&gt;52",IF(I573/O573&gt;52,"&gt;52", MAX(0,I573/O573-2))))))</f>
        <v>&gt;52</v>
      </c>
      <c r="S573" s="130"/>
    </row>
    <row r="574" spans="1:19" ht="10.7" customHeight="1" x14ac:dyDescent="0.2">
      <c r="A574" s="122"/>
      <c r="B574" s="212"/>
      <c r="C574" s="173"/>
      <c r="D574" s="163"/>
      <c r="E574" s="163"/>
      <c r="F574" s="164"/>
      <c r="G574" s="163"/>
      <c r="H574" s="165"/>
      <c r="I574" s="164"/>
      <c r="J574" s="163"/>
      <c r="K574" s="163"/>
      <c r="L574" s="163"/>
      <c r="M574" s="163"/>
      <c r="N574" s="163"/>
      <c r="O574" s="163"/>
      <c r="P574" s="182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tr">
        <f>C5</f>
        <v>Initial Quota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f>[1]weeks!$B$154</f>
        <v>43166</v>
      </c>
      <c r="K578" s="151">
        <f>[1]weeks!$B$105</f>
        <v>43173</v>
      </c>
      <c r="L578" s="151">
        <f>[1]weeks!$B$55</f>
        <v>43180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6"/>
      <c r="C580" s="193" t="s">
        <v>128</v>
      </c>
      <c r="D580" s="193"/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4"/>
      <c r="P580" s="145"/>
      <c r="S580" s="130"/>
    </row>
    <row r="581" spans="1:19" ht="10.7" customHeight="1" x14ac:dyDescent="0.2">
      <c r="A581" s="122"/>
      <c r="B581" s="161" t="s">
        <v>132</v>
      </c>
      <c r="C581" s="162">
        <f>'[2]IV&amp;VI Combined'!$AB$29</f>
        <v>0.6</v>
      </c>
      <c r="D581" s="163">
        <f>F581-VLOOKUP(B581,[1]Quota!$B$103:$BJ$143,30,FALSE)</f>
        <v>0</v>
      </c>
      <c r="E581" s="163">
        <f>F581-C581</f>
        <v>0</v>
      </c>
      <c r="F581" s="164">
        <f>VLOOKUP(B581,[1]Quota!$B$81:$BJ$92,30,FALSE)</f>
        <v>0.6</v>
      </c>
      <c r="G581" s="163">
        <f>'[1]Cumulative '!AG221</f>
        <v>0</v>
      </c>
      <c r="H581" s="165">
        <f t="shared" ref="H581:H595" si="268">IF(AND(F581&lt;=0),"n/a",IF(F581=0,0,100*G581/F581))</f>
        <v>0</v>
      </c>
      <c r="I581" s="164">
        <f>F581-G581</f>
        <v>0.6</v>
      </c>
      <c r="J581" s="163">
        <f>VLOOKUP(B581,[1]weeks!$B$156:$BO$193,32,FALSE)-VLOOKUP(B581,[1]weeks!$B$206:$BO$243,32,FALSE)</f>
        <v>0</v>
      </c>
      <c r="K581" s="163">
        <f>VLOOKUP(B581,[1]weeks!$B$107:$BO$144,32,FALSE)-VLOOKUP(B581,[1]weeks!$B$156:$BO$193,32,FALSE)</f>
        <v>0</v>
      </c>
      <c r="L581" s="163">
        <f>VLOOKUP(B581,[1]weeks!$B$55:$BO$94,32,FALSE)-VLOOKUP(B581,[1]weeks!$B$107:$BO$144,32,FALSE)</f>
        <v>0</v>
      </c>
      <c r="M581" s="163">
        <f>VLOOKUP(B581,[1]weeks!$B$5:$BO$44,32,FALSE)-VLOOKUP(B581,[1]weeks!$B$55:$BO$94,32,FALSE)</f>
        <v>0</v>
      </c>
      <c r="N581" s="163">
        <f>IF(F581&gt;0,M581/F581*100,"-")</f>
        <v>0</v>
      </c>
      <c r="O581" s="163">
        <f>SUM(J581:M581)/4</f>
        <v>0</v>
      </c>
      <c r="P581" s="146" t="str">
        <f>IF(ISNUMBER(VLOOKUP(B581,[1]Closures!B:BI,29,FALSE)),TEXT(VLOOKUP(B581,[1]Closures!B:BI,29,FALSE),"ddmmm"),IF(C581&lt;=0,0,IF(I581&lt;=0,0,IF(AND(C581&gt;0,O581&lt;=0),"&gt;52",IF(I581/O581&gt;52,"&gt;52", MAX(0,I581/O581-2))))))</f>
        <v>&gt;52</v>
      </c>
      <c r="S581" s="130"/>
    </row>
    <row r="582" spans="1:19" ht="10.7" customHeight="1" x14ac:dyDescent="0.2">
      <c r="A582" s="122"/>
      <c r="B582" s="161" t="s">
        <v>133</v>
      </c>
      <c r="C582" s="162">
        <f>'[2]IV&amp;VI Combined'!$AB$30</f>
        <v>0</v>
      </c>
      <c r="D582" s="163">
        <f>F582-VLOOKUP(B582,[1]Quota!$B$103:$BJ$143,30,FALSE)</f>
        <v>0</v>
      </c>
      <c r="E582" s="163">
        <f t="shared" ref="E582:E595" si="269">F582-C582</f>
        <v>0</v>
      </c>
      <c r="F582" s="164">
        <f>VLOOKUP(B582,[1]Quota!$B$81:$BJ$92,30,FALSE)</f>
        <v>0</v>
      </c>
      <c r="G582" s="163">
        <f>'[1]Cumulative '!AG222</f>
        <v>0</v>
      </c>
      <c r="H582" s="165" t="str">
        <f t="shared" si="268"/>
        <v>n/a</v>
      </c>
      <c r="I582" s="164">
        <f t="shared" ref="I582:I585" si="270">F582-G582</f>
        <v>0</v>
      </c>
      <c r="J582" s="163">
        <f>VLOOKUP(B582,[1]weeks!$B$156:$BO$193,32,FALSE)-VLOOKUP(B582,[1]weeks!$B$206:$BO$243,32,FALSE)</f>
        <v>0</v>
      </c>
      <c r="K582" s="163">
        <f>VLOOKUP(B582,[1]weeks!$B$107:$BO$144,32,FALSE)-VLOOKUP(B582,[1]weeks!$B$156:$BO$193,32,FALSE)</f>
        <v>0</v>
      </c>
      <c r="L582" s="163">
        <f>VLOOKUP(B582,[1]weeks!$B$55:$BO$94,32,FALSE)-VLOOKUP(B582,[1]weeks!$B$107:$BO$144,32,FALSE)</f>
        <v>0</v>
      </c>
      <c r="M582" s="163">
        <f>VLOOKUP(B582,[1]weeks!$B$5:$BO$44,32,FALSE)-VLOOKUP(B582,[1]weeks!$B$55:$BO$94,32,FALSE)</f>
        <v>0</v>
      </c>
      <c r="N582" s="163" t="str">
        <f t="shared" ref="N582:N595" si="271">IF(F582&gt;0,M582/F582*100,"-")</f>
        <v>-</v>
      </c>
      <c r="O582" s="163">
        <f t="shared" ref="O582:O591" si="272">SUM(J582:M582)/4</f>
        <v>0</v>
      </c>
      <c r="P582" s="146">
        <f>IF(ISNUMBER(VLOOKUP(B582,[1]Closures!B:BI,29,FALSE)),TEXT(VLOOKUP(B582,[1]Closures!B:BI,29,FALSE),"ddmmm"),IF(C582&lt;=0,0,IF(I582&lt;=0,0,IF(AND(C582&gt;0,O582&lt;=0),"&gt;52",IF(I582/O582&gt;52,"&gt;52", MAX(0,I582/O582-2))))))</f>
        <v>0</v>
      </c>
      <c r="S582" s="130"/>
    </row>
    <row r="583" spans="1:19" ht="10.7" customHeight="1" x14ac:dyDescent="0.2">
      <c r="A583" s="122"/>
      <c r="B583" s="161" t="s">
        <v>134</v>
      </c>
      <c r="C583" s="162">
        <f>'[2]IV&amp;VI Combined'!$AB$31</f>
        <v>0.6</v>
      </c>
      <c r="D583" s="163">
        <f>F583-VLOOKUP(B583,[1]Quota!$B$103:$BJ$143,30,FALSE)</f>
        <v>0</v>
      </c>
      <c r="E583" s="163">
        <f t="shared" si="269"/>
        <v>0</v>
      </c>
      <c r="F583" s="164">
        <f>VLOOKUP(B583,[1]Quota!$B$81:$BJ$92,30,FALSE)</f>
        <v>0.6</v>
      </c>
      <c r="G583" s="163">
        <f>'[1]Cumulative '!AG223</f>
        <v>0</v>
      </c>
      <c r="H583" s="165">
        <f t="shared" si="268"/>
        <v>0</v>
      </c>
      <c r="I583" s="164">
        <f t="shared" si="270"/>
        <v>0.6</v>
      </c>
      <c r="J583" s="163">
        <f>VLOOKUP(B583,[1]weeks!$B$156:$BO$193,32,FALSE)-VLOOKUP(B583,[1]weeks!$B$206:$BO$243,32,FALSE)</f>
        <v>0</v>
      </c>
      <c r="K583" s="163">
        <f>VLOOKUP(B583,[1]weeks!$B$107:$BO$144,32,FALSE)-VLOOKUP(B583,[1]weeks!$B$156:$BO$193,32,FALSE)</f>
        <v>0</v>
      </c>
      <c r="L583" s="163">
        <f>VLOOKUP(B583,[1]weeks!$B$55:$BO$94,32,FALSE)-VLOOKUP(B583,[1]weeks!$B$107:$BO$144,32,FALSE)</f>
        <v>0</v>
      </c>
      <c r="M583" s="163">
        <f>VLOOKUP(B583,[1]weeks!$B$5:$BO$44,32,FALSE)-VLOOKUP(B583,[1]weeks!$B$55:$BO$94,32,FALSE)</f>
        <v>0</v>
      </c>
      <c r="N583" s="163">
        <f t="shared" si="271"/>
        <v>0</v>
      </c>
      <c r="O583" s="163">
        <f t="shared" si="272"/>
        <v>0</v>
      </c>
      <c r="P583" s="146" t="str">
        <f>IF(ISNUMBER(VLOOKUP(B583,[1]Closures!B:BI,29,FALSE)),TEXT(VLOOKUP(B583,[1]Closures!B:BI,29,FALSE),"ddmmm"),IF(C583&lt;=0,0,IF(I583&lt;=0,0,IF(AND(C583&gt;0,O583&lt;=0),"&gt;52",IF(I583/O583&gt;52,"&gt;52", MAX(0,I583/O583-2))))))</f>
        <v>&gt;52</v>
      </c>
      <c r="S583" s="130"/>
    </row>
    <row r="584" spans="1:19" ht="10.7" customHeight="1" x14ac:dyDescent="0.2">
      <c r="A584" s="122"/>
      <c r="B584" s="161" t="s">
        <v>135</v>
      </c>
      <c r="C584" s="162">
        <f>'[2]IV&amp;VI Combined'!$AB$32</f>
        <v>0.3</v>
      </c>
      <c r="D584" s="163">
        <f>F584-VLOOKUP(B584,[1]Quota!$B$103:$BJ$143,30,FALSE)</f>
        <v>0</v>
      </c>
      <c r="E584" s="163">
        <f t="shared" si="269"/>
        <v>0</v>
      </c>
      <c r="F584" s="164">
        <f>VLOOKUP(B584,[1]Quota!$B$81:$BJ$92,30,FALSE)</f>
        <v>0.3</v>
      </c>
      <c r="G584" s="163">
        <f>'[1]Cumulative '!AG224</f>
        <v>0</v>
      </c>
      <c r="H584" s="165">
        <f t="shared" si="268"/>
        <v>0</v>
      </c>
      <c r="I584" s="164">
        <f t="shared" si="270"/>
        <v>0.3</v>
      </c>
      <c r="J584" s="163">
        <f>VLOOKUP(B584,[1]weeks!$B$156:$BO$193,32,FALSE)-VLOOKUP(B584,[1]weeks!$B$206:$BO$243,32,FALSE)</f>
        <v>0</v>
      </c>
      <c r="K584" s="163">
        <f>VLOOKUP(B584,[1]weeks!$B$107:$BO$144,32,FALSE)-VLOOKUP(B584,[1]weeks!$B$156:$BO$193,32,FALSE)</f>
        <v>0</v>
      </c>
      <c r="L584" s="163">
        <f>VLOOKUP(B584,[1]weeks!$B$55:$BO$94,32,FALSE)-VLOOKUP(B584,[1]weeks!$B$107:$BO$144,32,FALSE)</f>
        <v>0</v>
      </c>
      <c r="M584" s="163">
        <f>VLOOKUP(B584,[1]weeks!$B$5:$BO$44,32,FALSE)-VLOOKUP(B584,[1]weeks!$B$55:$BO$94,32,FALSE)</f>
        <v>0</v>
      </c>
      <c r="N584" s="163">
        <f t="shared" si="271"/>
        <v>0</v>
      </c>
      <c r="O584" s="163">
        <f t="shared" si="272"/>
        <v>0</v>
      </c>
      <c r="P584" s="146" t="str">
        <f>IF(ISNUMBER(VLOOKUP(B584,[1]Closures!B:BI,29,FALSE)),TEXT(VLOOKUP(B584,[1]Closures!B:BI,29,FALSE),"ddmmm"),IF(C584&lt;=0,0,IF(I584&lt;=0,0,IF(AND(C584&gt;0,O584&lt;=0),"&gt;52",IF(I584/O584&gt;52,"&gt;52", MAX(0,I584/O584-2))))))</f>
        <v>&gt;52</v>
      </c>
      <c r="S584" s="130"/>
    </row>
    <row r="585" spans="1:19" ht="10.7" customHeight="1" x14ac:dyDescent="0.2">
      <c r="A585" s="122"/>
      <c r="B585" s="161" t="s">
        <v>136</v>
      </c>
      <c r="C585" s="162"/>
      <c r="D585" s="163">
        <f>F585-VLOOKUP(B585,[1]Quota!$B$32:$BJ$43,30,FALSE)</f>
        <v>0</v>
      </c>
      <c r="E585" s="163"/>
      <c r="F585" s="164">
        <f>VLOOKUP(B585,[1]Quota!$B$81:$BJ$92,30,FALSE)</f>
        <v>0</v>
      </c>
      <c r="G585" s="163"/>
      <c r="H585" s="165" t="str">
        <f t="shared" si="268"/>
        <v>n/a</v>
      </c>
      <c r="I585" s="164">
        <f t="shared" si="270"/>
        <v>0</v>
      </c>
      <c r="J585" s="163"/>
      <c r="K585" s="163"/>
      <c r="L585" s="163"/>
      <c r="M585" s="163"/>
      <c r="N585" s="163"/>
      <c r="O585" s="163"/>
      <c r="P585" s="146"/>
      <c r="S585" s="130"/>
    </row>
    <row r="586" spans="1:19" ht="10.7" customHeight="1" x14ac:dyDescent="0.2">
      <c r="A586" s="122"/>
      <c r="B586" s="168" t="s">
        <v>137</v>
      </c>
      <c r="C586" s="162">
        <f>SUM(C581:C584)</f>
        <v>1.5</v>
      </c>
      <c r="D586" s="163">
        <f>SUM(D581:D585)</f>
        <v>0</v>
      </c>
      <c r="E586" s="163">
        <f t="shared" si="269"/>
        <v>0</v>
      </c>
      <c r="F586" s="217">
        <f t="shared" ref="F586" si="273">SUM(F581:F584)</f>
        <v>1.5</v>
      </c>
      <c r="G586" s="163">
        <f>SUM(G581:G584)</f>
        <v>0</v>
      </c>
      <c r="H586" s="165">
        <f t="shared" si="268"/>
        <v>0</v>
      </c>
      <c r="I586" s="217">
        <f t="shared" ref="I586:L586" si="274">SUM(I581:I584)</f>
        <v>1.5</v>
      </c>
      <c r="J586" s="163">
        <f t="shared" si="274"/>
        <v>0</v>
      </c>
      <c r="K586" s="163">
        <f t="shared" si="274"/>
        <v>0</v>
      </c>
      <c r="L586" s="163">
        <f t="shared" si="274"/>
        <v>0</v>
      </c>
      <c r="M586" s="163">
        <f>SUM(M581:M584)</f>
        <v>0</v>
      </c>
      <c r="N586" s="163">
        <f t="shared" si="271"/>
        <v>0</v>
      </c>
      <c r="O586" s="163">
        <f t="shared" si="272"/>
        <v>0</v>
      </c>
      <c r="P586" s="146" t="str">
        <f>IF(ISNUMBER(VLOOKUP(B586,[1]Closures!B:BI,29,FALSE)),TEXT(VLOOKUP(B586,[1]Closures!B:BI,29,FALSE),"ddmmm"),IF(C586&lt;=0,0,IF(I586&lt;=0,0,IF(AND(C586&gt;0,O586&lt;=0),"&gt;52",IF(I586/O586&gt;52,"&gt;52", MAX(0,I586/O586-2))))))</f>
        <v>&gt;52</v>
      </c>
      <c r="S586" s="130"/>
    </row>
    <row r="587" spans="1:19" ht="10.7" customHeight="1" x14ac:dyDescent="0.2">
      <c r="A587" s="122"/>
      <c r="B587" s="168"/>
      <c r="C587" s="162"/>
      <c r="D587" s="163"/>
      <c r="E587" s="163"/>
      <c r="F587" s="164"/>
      <c r="G587" s="163"/>
      <c r="H587" s="165"/>
      <c r="I587" s="164"/>
      <c r="J587" s="163"/>
      <c r="K587" s="163"/>
      <c r="L587" s="163"/>
      <c r="M587" s="163"/>
      <c r="N587" s="163" t="str">
        <f t="shared" si="271"/>
        <v>-</v>
      </c>
      <c r="O587" s="163"/>
      <c r="P587" s="146"/>
      <c r="S587" s="130"/>
    </row>
    <row r="588" spans="1:19" ht="10.7" customHeight="1" x14ac:dyDescent="0.2">
      <c r="A588" s="122"/>
      <c r="B588" s="174" t="s">
        <v>138</v>
      </c>
      <c r="C588" s="162">
        <f>'[2]IV&amp;VI Combined'!$AB$36</f>
        <v>0.1</v>
      </c>
      <c r="D588" s="163">
        <f>F588-VLOOKUP(B588,[1]Quota!$B$103:$BJ$143,30,FALSE)</f>
        <v>0</v>
      </c>
      <c r="E588" s="163">
        <f t="shared" si="269"/>
        <v>-0.7</v>
      </c>
      <c r="F588" s="164">
        <f>VLOOKUP(B588,[1]Quota!$B$81:$BJ$92,30,FALSE)</f>
        <v>-0.6</v>
      </c>
      <c r="G588" s="163">
        <f>'[1]Cumulative '!AG228</f>
        <v>0</v>
      </c>
      <c r="H588" s="165" t="str">
        <f t="shared" si="268"/>
        <v>n/a</v>
      </c>
      <c r="I588" s="164">
        <f t="shared" ref="I588:I595" si="275">F588-G588</f>
        <v>-0.6</v>
      </c>
      <c r="J588" s="163">
        <f>VLOOKUP(B588,[1]weeks!$B$156:$BO$193,32,FALSE)-VLOOKUP(B588,[1]weeks!$B$206:$BO$243,32,FALSE)</f>
        <v>0</v>
      </c>
      <c r="K588" s="163">
        <f>VLOOKUP(B588,[1]weeks!$B$107:$BO$144,32,FALSE)-VLOOKUP(B588,[1]weeks!$B$156:$BO$193,32,FALSE)</f>
        <v>0</v>
      </c>
      <c r="L588" s="163">
        <f>VLOOKUP(B588,[1]weeks!$B$55:$BO$94,32,FALSE)-VLOOKUP(B588,[1]weeks!$B$107:$BO$144,32,FALSE)</f>
        <v>0</v>
      </c>
      <c r="M588" s="163">
        <f>VLOOKUP(B588,[1]weeks!$B$5:$BO$44,32,FALSE)-VLOOKUP(B588,[1]weeks!$B$55:$BO$94,32,FALSE)</f>
        <v>0</v>
      </c>
      <c r="N588" s="163" t="str">
        <f t="shared" si="271"/>
        <v>-</v>
      </c>
      <c r="O588" s="163">
        <f t="shared" si="272"/>
        <v>0</v>
      </c>
      <c r="P588" s="146">
        <f>IF(ISNUMBER(VLOOKUP(B588,[1]Closures!B:BI,29,FALSE)),TEXT(VLOOKUP(B588,[1]Closures!B:BI,29,FALSE),"ddmmm"),IF(C588&lt;=0,0,IF(I588&lt;=0,0,IF(AND(C588&gt;0,O588&lt;=0),"&gt;52",IF(I588/O588&gt;52,"&gt;52", MAX(0,I588/O588-2))))))</f>
        <v>0</v>
      </c>
      <c r="S588" s="130"/>
    </row>
    <row r="589" spans="1:19" ht="10.7" customHeight="1" x14ac:dyDescent="0.2">
      <c r="A589" s="122"/>
      <c r="B589" s="174" t="s">
        <v>139</v>
      </c>
      <c r="C589" s="162">
        <f>'[2]IV&amp;VI Combined'!$AB$37</f>
        <v>0.3</v>
      </c>
      <c r="D589" s="163">
        <f>F589-VLOOKUP(B589,[1]Quota!$B$103:$BJ$143,30,FALSE)</f>
        <v>0</v>
      </c>
      <c r="E589" s="163">
        <f t="shared" si="269"/>
        <v>0</v>
      </c>
      <c r="F589" s="164">
        <f>VLOOKUP(B589,[1]Quota!$B$81:$BJ$92,30,FALSE)</f>
        <v>0.3</v>
      </c>
      <c r="G589" s="163">
        <f>'[1]Cumulative '!AG229</f>
        <v>0</v>
      </c>
      <c r="H589" s="165">
        <f t="shared" si="268"/>
        <v>0</v>
      </c>
      <c r="I589" s="164">
        <f t="shared" si="275"/>
        <v>0.3</v>
      </c>
      <c r="J589" s="163">
        <f>VLOOKUP(B589,[1]weeks!$B$156:$BO$193,32,FALSE)-VLOOKUP(B589,[1]weeks!$B$206:$BO$243,32,FALSE)</f>
        <v>0</v>
      </c>
      <c r="K589" s="163">
        <f>VLOOKUP(B589,[1]weeks!$B$107:$BO$144,32,FALSE)-VLOOKUP(B589,[1]weeks!$B$156:$BO$193,32,FALSE)</f>
        <v>0</v>
      </c>
      <c r="L589" s="163">
        <f>VLOOKUP(B589,[1]weeks!$B$55:$BO$94,32,FALSE)-VLOOKUP(B589,[1]weeks!$B$107:$BO$144,32,FALSE)</f>
        <v>0</v>
      </c>
      <c r="M589" s="163">
        <f>VLOOKUP(B589,[1]weeks!$B$5:$BO$44,32,FALSE)-VLOOKUP(B589,[1]weeks!$B$55:$BO$94,32,FALSE)</f>
        <v>0</v>
      </c>
      <c r="N589" s="163">
        <f t="shared" si="271"/>
        <v>0</v>
      </c>
      <c r="O589" s="163">
        <f t="shared" si="272"/>
        <v>0</v>
      </c>
      <c r="P589" s="146" t="str">
        <f>IF(ISNUMBER(VLOOKUP(B589,[1]Closures!B:BI,29,FALSE)),TEXT(VLOOKUP(B589,[1]Closures!B:BI,29,FALSE),"ddmmm"),IF(C589&lt;=0,0,IF(I589&lt;=0,0,IF(AND(C589&gt;0,O589&lt;=0),"&gt;52",IF(I589/O589&gt;52,"&gt;52", MAX(0,I589/O589-2))))))</f>
        <v>&gt;52</v>
      </c>
      <c r="S589" s="130"/>
    </row>
    <row r="590" spans="1:19" ht="10.7" customHeight="1" x14ac:dyDescent="0.2">
      <c r="A590" s="122"/>
      <c r="B590" s="174" t="s">
        <v>140</v>
      </c>
      <c r="C590" s="162">
        <f>'[2]IV&amp;VI Combined'!$AB$38</f>
        <v>1.6</v>
      </c>
      <c r="D590" s="163">
        <f>F590-VLOOKUP(B590,[1]Quota!$B$103:$BJ$143,30,FALSE)</f>
        <v>0</v>
      </c>
      <c r="E590" s="163">
        <f t="shared" si="269"/>
        <v>0</v>
      </c>
      <c r="F590" s="164">
        <f>VLOOKUP(B590,[1]Quota!$B$81:$BJ$92,30,FALSE)</f>
        <v>1.6</v>
      </c>
      <c r="G590" s="163">
        <f>'[1]Cumulative '!AG230</f>
        <v>0</v>
      </c>
      <c r="H590" s="165">
        <f t="shared" si="268"/>
        <v>0</v>
      </c>
      <c r="I590" s="164">
        <f t="shared" si="275"/>
        <v>1.6</v>
      </c>
      <c r="J590" s="163">
        <f>VLOOKUP(B590,[1]weeks!$B$156:$BO$193,32,FALSE)-VLOOKUP(B590,[1]weeks!$B$206:$BO$243,32,FALSE)</f>
        <v>0</v>
      </c>
      <c r="K590" s="163">
        <f>VLOOKUP(B590,[1]weeks!$B$107:$BO$144,32,FALSE)-VLOOKUP(B590,[1]weeks!$B$156:$BO$193,32,FALSE)</f>
        <v>0</v>
      </c>
      <c r="L590" s="163">
        <f>VLOOKUP(B590,[1]weeks!$B$55:$BO$94,32,FALSE)-VLOOKUP(B590,[1]weeks!$B$107:$BO$144,32,FALSE)</f>
        <v>0</v>
      </c>
      <c r="M590" s="163">
        <f>VLOOKUP(B590,[1]weeks!$B$5:$BO$44,32,FALSE)-VLOOKUP(B590,[1]weeks!$B$55:$BO$94,32,FALSE)</f>
        <v>0</v>
      </c>
      <c r="N590" s="163">
        <f t="shared" si="271"/>
        <v>0</v>
      </c>
      <c r="O590" s="163">
        <f t="shared" si="272"/>
        <v>0</v>
      </c>
      <c r="P590" s="146" t="str">
        <f>IF(ISNUMBER(VLOOKUP(B590,[1]Closures!B:BI,29,FALSE)),TEXT(VLOOKUP(B590,[1]Closures!B:BI,29,FALSE),"ddmmm"),IF(C590&lt;=0,0,IF(I590&lt;=0,0,IF(AND(C590&gt;0,O590&lt;=0),"&gt;52",IF(I590/O590&gt;52,"&gt;52", MAX(0,I590/O590-2))))))</f>
        <v>&gt;52</v>
      </c>
      <c r="S590" s="130"/>
    </row>
    <row r="591" spans="1:19" ht="10.7" customHeight="1" x14ac:dyDescent="0.2">
      <c r="A591" s="122"/>
      <c r="B591" s="174" t="s">
        <v>141</v>
      </c>
      <c r="C591" s="162">
        <f>'[2]IV&amp;VI Combined'!$AB$39</f>
        <v>3</v>
      </c>
      <c r="D591" s="163">
        <f>F591-VLOOKUP(B591,[1]Quota!$B$103:$BJ$143,30,FALSE)</f>
        <v>0</v>
      </c>
      <c r="E591" s="163">
        <f t="shared" si="269"/>
        <v>0</v>
      </c>
      <c r="F591" s="164">
        <f>VLOOKUP(B591,[1]Quota!$B$81:$BJ$92,30,FALSE)</f>
        <v>3</v>
      </c>
      <c r="G591" s="163">
        <f>'[1]Cumulative '!AG231</f>
        <v>0</v>
      </c>
      <c r="H591" s="165">
        <f>IF(AND(F591&lt;=0),"n/a",IF(F591=0,0,100*G591/F591))</f>
        <v>0</v>
      </c>
      <c r="I591" s="164">
        <f t="shared" si="275"/>
        <v>3</v>
      </c>
      <c r="J591" s="163">
        <f>VLOOKUP(B591,[1]weeks!$B$156:$BO$193,32,FALSE)-VLOOKUP(B591,[1]weeks!$B$206:$BO$243,32,FALSE)</f>
        <v>0</v>
      </c>
      <c r="K591" s="163">
        <f>VLOOKUP(B591,[1]weeks!$B$107:$BO$144,32,FALSE)-VLOOKUP(B591,[1]weeks!$B$156:$BO$193,32,FALSE)</f>
        <v>0</v>
      </c>
      <c r="L591" s="163">
        <f>VLOOKUP(B591,[1]weeks!$B$55:$BO$94,32,FALSE)-VLOOKUP(B591,[1]weeks!$B$107:$BO$144,32,FALSE)</f>
        <v>0</v>
      </c>
      <c r="M591" s="163">
        <f>VLOOKUP(B591,[1]weeks!$B$5:$BO$44,32,FALSE)-VLOOKUP(B591,[1]weeks!$B$55:$BO$94,32,FALSE)</f>
        <v>0</v>
      </c>
      <c r="N591" s="163">
        <f t="shared" si="271"/>
        <v>0</v>
      </c>
      <c r="O591" s="163">
        <f t="shared" si="272"/>
        <v>0</v>
      </c>
      <c r="P591" s="146" t="str">
        <f>IF(ISNUMBER(VLOOKUP(B591,[1]Closures!B:BI,29,FALSE)),TEXT(VLOOKUP(B591,[1]Closures!B:BI,29,FALSE),"ddmmm"),IF(C591&lt;=0,0,IF(I591&lt;=0,0,IF(AND(C591&gt;0,O591&lt;=0),"&gt;52",IF(I591/O591&gt;52,"&gt;52", MAX(0,I591/O591-2))))))</f>
        <v>&gt;52</v>
      </c>
      <c r="S591" s="130"/>
    </row>
    <row r="592" spans="1:19" ht="10.7" customHeight="1" x14ac:dyDescent="0.2">
      <c r="A592" s="122"/>
      <c r="B592" s="174" t="s">
        <v>142</v>
      </c>
      <c r="C592" s="162"/>
      <c r="D592" s="163">
        <f>F592-VLOOKUP(B592,[1]Quota!$B$32:$BJ$43,30,FALSE)</f>
        <v>0</v>
      </c>
      <c r="E592" s="163"/>
      <c r="F592" s="164">
        <f>VLOOKUP(B592,[1]Quota!$B$81:$BJ$92,30,FALSE)</f>
        <v>0</v>
      </c>
      <c r="G592" s="163"/>
      <c r="H592" s="165" t="str">
        <f>IF(AND(F592&lt;=0),"n/a",IF(F592=0,0,100*G592/F592))</f>
        <v>n/a</v>
      </c>
      <c r="I592" s="164">
        <f>F592-G592</f>
        <v>0</v>
      </c>
      <c r="J592" s="163"/>
      <c r="K592" s="163"/>
      <c r="L592" s="163"/>
      <c r="M592" s="163"/>
      <c r="N592" s="163"/>
      <c r="O592" s="163"/>
      <c r="P592" s="146"/>
      <c r="S592" s="130"/>
    </row>
    <row r="593" spans="1:19" ht="10.7" customHeight="1" x14ac:dyDescent="0.2">
      <c r="A593" s="122"/>
      <c r="B593" s="168" t="s">
        <v>143</v>
      </c>
      <c r="C593" s="162">
        <f>SUM(C588:C592)</f>
        <v>5</v>
      </c>
      <c r="D593" s="163">
        <f>SUM(D588:D592)</f>
        <v>0</v>
      </c>
      <c r="E593" s="163">
        <f t="shared" si="269"/>
        <v>-0.70000000000000018</v>
      </c>
      <c r="F593" s="217">
        <f t="shared" ref="F593:G593" si="276">SUM(F588:F592)</f>
        <v>4.3</v>
      </c>
      <c r="G593" s="173">
        <f t="shared" si="276"/>
        <v>0</v>
      </c>
      <c r="H593" s="165">
        <f>IF(AND(F593&lt;=0),"n/a",IF(F593=0,0,100*G593/F593))</f>
        <v>0</v>
      </c>
      <c r="I593" s="164">
        <f t="shared" si="275"/>
        <v>4.3</v>
      </c>
      <c r="J593" s="163">
        <f t="shared" ref="J593:L593" si="277">SUM(J588:J591)</f>
        <v>0</v>
      </c>
      <c r="K593" s="163">
        <f t="shared" si="277"/>
        <v>0</v>
      </c>
      <c r="L593" s="163">
        <f t="shared" si="277"/>
        <v>0</v>
      </c>
      <c r="M593" s="163">
        <f>SUM(M588:M591)</f>
        <v>0</v>
      </c>
      <c r="N593" s="163">
        <f t="shared" si="271"/>
        <v>0</v>
      </c>
      <c r="O593" s="163">
        <f>SUM(J593:M593)/4</f>
        <v>0</v>
      </c>
      <c r="P593" s="146" t="str">
        <f>IF(ISNUMBER(VLOOKUP(B593,[1]Closures!B:BI,29,FALSE)),TEXT(VLOOKUP(B593,[1]Closures!B:BI,29,FALSE),"ddmmm"),IF(C593&lt;=0,0,IF(I593&lt;=0,0,IF(AND(C593&gt;0,O593&lt;=0),"&gt;52",IF(I593/O593&gt;52,"&gt;52", MAX(0,I593/O593-2))))))</f>
        <v>&gt;52</v>
      </c>
      <c r="S593" s="130"/>
    </row>
    <row r="594" spans="1:19" ht="10.7" customHeight="1" x14ac:dyDescent="0.2">
      <c r="A594" s="122"/>
      <c r="B594" s="168"/>
      <c r="C594" s="162"/>
      <c r="D594" s="163"/>
      <c r="E594" s="163"/>
      <c r="F594" s="164"/>
      <c r="G594" s="163"/>
      <c r="H594" s="165"/>
      <c r="I594" s="164"/>
      <c r="J594" s="163"/>
      <c r="K594" s="163"/>
      <c r="L594" s="163"/>
      <c r="M594" s="163"/>
      <c r="N594" s="163"/>
      <c r="O594" s="163"/>
      <c r="P594" s="146"/>
      <c r="S594" s="130"/>
    </row>
    <row r="595" spans="1:19" ht="10.7" customHeight="1" x14ac:dyDescent="0.2">
      <c r="A595" s="122"/>
      <c r="B595" s="175" t="s">
        <v>112</v>
      </c>
      <c r="C595" s="176">
        <f>C593+C586</f>
        <v>6.5</v>
      </c>
      <c r="D595" s="180">
        <f>D593+D586</f>
        <v>0</v>
      </c>
      <c r="E595" s="180">
        <f t="shared" si="269"/>
        <v>-0.70000000000000018</v>
      </c>
      <c r="F595" s="189">
        <f>F593+F586</f>
        <v>5.8</v>
      </c>
      <c r="G595" s="180">
        <f>G593+G586</f>
        <v>0</v>
      </c>
      <c r="H595" s="179">
        <f t="shared" si="268"/>
        <v>0</v>
      </c>
      <c r="I595" s="218">
        <f t="shared" si="275"/>
        <v>5.8</v>
      </c>
      <c r="J595" s="180">
        <f t="shared" ref="J595:L595" si="278">J586+J593</f>
        <v>0</v>
      </c>
      <c r="K595" s="180">
        <f t="shared" si="278"/>
        <v>0</v>
      </c>
      <c r="L595" s="180">
        <f t="shared" si="278"/>
        <v>0</v>
      </c>
      <c r="M595" s="180">
        <f>M586+M593</f>
        <v>0</v>
      </c>
      <c r="N595" s="180">
        <f t="shared" si="271"/>
        <v>0</v>
      </c>
      <c r="O595" s="180">
        <f>SUM(J595:M595)/4</f>
        <v>0</v>
      </c>
      <c r="P595" s="153" t="str">
        <f>IF(ISNUMBER(VLOOKUP(B595,[1]Closures!B:BI,29,FALSE)),TEXT(VLOOKUP(B595,[1]Closures!B:BI,29,FALSE),"ddmmm"),IF(C595&lt;=0,0,IF(I595&lt;=0,0,IF(AND(C595&gt;0,O595&lt;=0),"&gt;52",IF(I595/O595&gt;52,"&gt;52", MAX(0,I595/O595-2))))))</f>
        <v>&gt;52</v>
      </c>
      <c r="S595" s="130"/>
    </row>
    <row r="596" spans="1:19" ht="10.7" customHeight="1" x14ac:dyDescent="0.2">
      <c r="A596" s="122"/>
      <c r="B596" s="191"/>
      <c r="C596" s="173"/>
      <c r="D596" s="163"/>
      <c r="E596" s="163"/>
      <c r="F596" s="164"/>
      <c r="G596" s="163"/>
      <c r="H596" s="2"/>
      <c r="I596" s="164"/>
      <c r="J596" s="163"/>
      <c r="K596" s="163"/>
      <c r="L596" s="163"/>
      <c r="M596" s="163"/>
      <c r="N596" s="163"/>
      <c r="O596" s="163"/>
      <c r="P596" s="182"/>
      <c r="S596" s="130"/>
    </row>
    <row r="597" spans="1:19" ht="10.7" customHeight="1" x14ac:dyDescent="0.2">
      <c r="A597" s="122"/>
      <c r="B597" s="181"/>
      <c r="C597" s="173"/>
      <c r="D597" s="163"/>
      <c r="E597" s="163"/>
      <c r="F597" s="164"/>
      <c r="G597" s="163"/>
      <c r="H597" s="2"/>
      <c r="I597" s="164"/>
      <c r="J597" s="163"/>
      <c r="K597" s="163"/>
      <c r="L597" s="163"/>
      <c r="M597" s="163"/>
      <c r="N597" s="163"/>
      <c r="O597" s="163"/>
      <c r="P597" s="182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202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tr">
        <f>C5</f>
        <v>Initial Quota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203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203" t="s">
        <v>74</v>
      </c>
      <c r="I600" s="147" t="s">
        <v>75</v>
      </c>
      <c r="J600" s="151">
        <f>[1]weeks!$B$154</f>
        <v>43166</v>
      </c>
      <c r="K600" s="151">
        <f>[1]weeks!$B$105</f>
        <v>43173</v>
      </c>
      <c r="L600" s="151">
        <f>[1]weeks!$B$55</f>
        <v>43180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204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6"/>
      <c r="C602" s="193" t="s">
        <v>180</v>
      </c>
      <c r="D602" s="193"/>
      <c r="E602" s="193"/>
      <c r="F602" s="193"/>
      <c r="G602" s="193"/>
      <c r="H602" s="193"/>
      <c r="I602" s="193"/>
      <c r="J602" s="193"/>
      <c r="K602" s="193"/>
      <c r="L602" s="193"/>
      <c r="M602" s="193"/>
      <c r="N602" s="193"/>
      <c r="O602" s="194"/>
      <c r="P602" s="145"/>
      <c r="S602" s="130"/>
    </row>
    <row r="603" spans="1:19" ht="10.7" customHeight="1" x14ac:dyDescent="0.2">
      <c r="A603" s="122"/>
      <c r="B603" s="161" t="s">
        <v>132</v>
      </c>
      <c r="C603" s="162">
        <f>'[2]IV&amp;VI Combined'!$AC$29</f>
        <v>15.2</v>
      </c>
      <c r="D603" s="163">
        <f>F603-VLOOKUP(B603,[1]Quota!$B$103:$BJ$143,32,FALSE)</f>
        <v>0</v>
      </c>
      <c r="E603" s="163">
        <f>F603-C603</f>
        <v>0</v>
      </c>
      <c r="F603" s="164">
        <f>VLOOKUP(B603,[1]Quota!$B$81:$BJ$92,32,FALSE)</f>
        <v>15.2</v>
      </c>
      <c r="G603" s="163">
        <f>'[1]Cumulative '!AI221</f>
        <v>0</v>
      </c>
      <c r="H603" s="165">
        <f t="shared" ref="H603:H617" si="279">IF(AND(F603&lt;=0),"n/a",IF(F603=0,0,100*G603/F603))</f>
        <v>0</v>
      </c>
      <c r="I603" s="164">
        <f>F603-G603</f>
        <v>15.2</v>
      </c>
      <c r="J603" s="163">
        <f>VLOOKUP(B603,[1]weeks!$B$156:$BO$193,34,FALSE)-VLOOKUP(B603,[1]weeks!$B$206:$BO$243,34,FALSE)</f>
        <v>0</v>
      </c>
      <c r="K603" s="163">
        <f>VLOOKUP(B603,[1]weeks!$B$107:$BO$144,34,FALSE)-VLOOKUP(B603,[1]weeks!$B$156:$BO$193,34,FALSE)</f>
        <v>0</v>
      </c>
      <c r="L603" s="163">
        <f>VLOOKUP(B603,[1]weeks!$B$55:$BO$94,34,FALSE)-VLOOKUP(B603,[1]weeks!$B$107:$BO$144,34,FALSE)</f>
        <v>0</v>
      </c>
      <c r="M603" s="163">
        <f>VLOOKUP(B603,[1]weeks!$B$5:$BO$44,34,FALSE)-VLOOKUP(B603,[1]weeks!$B$55:$BO$94,34,FALSE)</f>
        <v>0</v>
      </c>
      <c r="N603" s="163">
        <f>IF(F603&gt;0,M603/F603*100,"-")</f>
        <v>0</v>
      </c>
      <c r="O603" s="163">
        <f>SUM(J603:M603)/4</f>
        <v>0</v>
      </c>
      <c r="P603" s="146" t="str">
        <f>IF(ISNUMBER(VLOOKUP(B603,[1]Closures!B:BI,31,FALSE)),TEXT(VLOOKUP(B603,[1]Closures!B:BI,31,FALSE),"ddmmm"),IF(C603&lt;=0,0,IF(I603&lt;=0,0,IF(AND(C603&gt;0,O603&lt;=0),"&gt;52",IF(I603/O603&gt;52,"&gt;52", MAX(0,I603/O603-2))))))</f>
        <v>&gt;52</v>
      </c>
      <c r="S603" s="130"/>
    </row>
    <row r="604" spans="1:19" ht="10.7" customHeight="1" x14ac:dyDescent="0.2">
      <c r="A604" s="122"/>
      <c r="B604" s="161" t="s">
        <v>133</v>
      </c>
      <c r="C604" s="162">
        <f>'[2]IV&amp;VI Combined'!$AC$30</f>
        <v>0</v>
      </c>
      <c r="D604" s="163">
        <f>F604-VLOOKUP(B604,[1]Quota!$B$103:$BJ$143,32,FALSE)</f>
        <v>0</v>
      </c>
      <c r="E604" s="163">
        <f t="shared" ref="E604:E617" si="280">F604-C604</f>
        <v>0</v>
      </c>
      <c r="F604" s="164">
        <f>VLOOKUP(B604,[1]Quota!$B$81:$BJ$92,32,FALSE)</f>
        <v>0</v>
      </c>
      <c r="G604" s="163">
        <f>'[1]Cumulative '!AI222</f>
        <v>0</v>
      </c>
      <c r="H604" s="165" t="str">
        <f t="shared" si="279"/>
        <v>n/a</v>
      </c>
      <c r="I604" s="164">
        <f t="shared" ref="I604:I607" si="281">F604-G604</f>
        <v>0</v>
      </c>
      <c r="J604" s="163">
        <f>VLOOKUP(B604,[1]weeks!$B$156:$BO$193,34,FALSE)-VLOOKUP(B604,[1]weeks!$B$206:$BO$243,34,FALSE)</f>
        <v>0</v>
      </c>
      <c r="K604" s="163">
        <f>VLOOKUP(B604,[1]weeks!$B$107:$BO$144,34,FALSE)-VLOOKUP(B604,[1]weeks!$B$156:$BO$193,34,FALSE)</f>
        <v>0</v>
      </c>
      <c r="L604" s="163">
        <f>VLOOKUP(B604,[1]weeks!$B$55:$BO$94,34,FALSE)-VLOOKUP(B604,[1]weeks!$B$107:$BO$144,34,FALSE)</f>
        <v>0</v>
      </c>
      <c r="M604" s="163">
        <f>VLOOKUP(B604,[1]weeks!$B$5:$BO$44,34,FALSE)-VLOOKUP(B604,[1]weeks!$B$55:$BO$94,34,FALSE)</f>
        <v>0</v>
      </c>
      <c r="N604" s="163" t="str">
        <f t="shared" ref="N604:N617" si="282">IF(F604&gt;0,M604/F604*100,"-")</f>
        <v>-</v>
      </c>
      <c r="O604" s="163">
        <f>SUM(J604:M604)/4</f>
        <v>0</v>
      </c>
      <c r="P604" s="146">
        <f>IF(ISNUMBER(VLOOKUP(B604,[1]Closures!B:BI,31,FALSE)),TEXT(VLOOKUP(B604,[1]Closures!B:BI,31,FALSE),"ddmmm"),IF(C604&lt;=0,0,IF(I604&lt;=0,0,IF(AND(C604&gt;0,O604&lt;=0),"&gt;52",IF(I604/O604&gt;52,"&gt;52", MAX(0,I604/O604-2))))))</f>
        <v>0</v>
      </c>
      <c r="S604" s="130"/>
    </row>
    <row r="605" spans="1:19" ht="10.7" customHeight="1" x14ac:dyDescent="0.2">
      <c r="A605" s="122"/>
      <c r="B605" s="161" t="s">
        <v>134</v>
      </c>
      <c r="C605" s="162">
        <f>'[2]IV&amp;VI Combined'!$AC$31</f>
        <v>1.4</v>
      </c>
      <c r="D605" s="163">
        <f>F605-VLOOKUP(B605,[1]Quota!$B$103:$BJ$143,32,FALSE)</f>
        <v>0</v>
      </c>
      <c r="E605" s="163">
        <f t="shared" si="280"/>
        <v>0</v>
      </c>
      <c r="F605" s="164">
        <f>VLOOKUP(B605,[1]Quota!$B$81:$BJ$92,32,FALSE)</f>
        <v>1.4</v>
      </c>
      <c r="G605" s="163">
        <f>'[1]Cumulative '!AI223</f>
        <v>0</v>
      </c>
      <c r="H605" s="165">
        <f t="shared" si="279"/>
        <v>0</v>
      </c>
      <c r="I605" s="164">
        <f t="shared" si="281"/>
        <v>1.4</v>
      </c>
      <c r="J605" s="163">
        <f>VLOOKUP(B605,[1]weeks!$B$156:$BO$193,34,FALSE)-VLOOKUP(B605,[1]weeks!$B$206:$BO$243,34,FALSE)</f>
        <v>0</v>
      </c>
      <c r="K605" s="163">
        <f>VLOOKUP(B605,[1]weeks!$B$107:$BO$144,34,FALSE)-VLOOKUP(B605,[1]weeks!$B$156:$BO$193,34,FALSE)</f>
        <v>0</v>
      </c>
      <c r="L605" s="163">
        <f>VLOOKUP(B605,[1]weeks!$B$55:$BO$94,34,FALSE)-VLOOKUP(B605,[1]weeks!$B$107:$BO$144,34,FALSE)</f>
        <v>0</v>
      </c>
      <c r="M605" s="163">
        <f>VLOOKUP(B605,[1]weeks!$B$5:$BO$44,34,FALSE)-VLOOKUP(B605,[1]weeks!$B$55:$BO$94,34,FALSE)</f>
        <v>0</v>
      </c>
      <c r="N605" s="163">
        <f t="shared" si="282"/>
        <v>0</v>
      </c>
      <c r="O605" s="163">
        <f>SUM(J605:M605)/4</f>
        <v>0</v>
      </c>
      <c r="P605" s="146" t="str">
        <f>IF(ISNUMBER(VLOOKUP(B605,[1]Closures!B:BI,31,FALSE)),TEXT(VLOOKUP(B605,[1]Closures!B:BI,31,FALSE),"ddmmm"),IF(C605&lt;=0,0,IF(I605&lt;=0,0,IF(AND(C605&gt;0,O605&lt;=0),"&gt;52",IF(I605/O605&gt;52,"&gt;52", MAX(0,I605/O605-2))))))</f>
        <v>&gt;52</v>
      </c>
      <c r="S605" s="130"/>
    </row>
    <row r="606" spans="1:19" ht="10.7" customHeight="1" x14ac:dyDescent="0.2">
      <c r="A606" s="122"/>
      <c r="B606" s="161" t="s">
        <v>135</v>
      </c>
      <c r="C606" s="162">
        <f>'[2]IV&amp;VI Combined'!$AC$32</f>
        <v>0</v>
      </c>
      <c r="D606" s="163">
        <f>F606-VLOOKUP(B606,[1]Quota!$B$103:$BJ$143,32,FALSE)</f>
        <v>0</v>
      </c>
      <c r="E606" s="163">
        <f t="shared" si="280"/>
        <v>0</v>
      </c>
      <c r="F606" s="164">
        <f>VLOOKUP(B606,[1]Quota!$B$81:$BJ$92,32,FALSE)</f>
        <v>0</v>
      </c>
      <c r="G606" s="163">
        <f>'[1]Cumulative '!AI224</f>
        <v>0</v>
      </c>
      <c r="H606" s="165" t="str">
        <f t="shared" si="279"/>
        <v>n/a</v>
      </c>
      <c r="I606" s="164">
        <f t="shared" si="281"/>
        <v>0</v>
      </c>
      <c r="J606" s="163">
        <f>VLOOKUP(B606,[1]weeks!$B$156:$BO$193,34,FALSE)-VLOOKUP(B606,[1]weeks!$B$206:$BO$243,34,FALSE)</f>
        <v>0</v>
      </c>
      <c r="K606" s="163">
        <f>VLOOKUP(B606,[1]weeks!$B$107:$BO$144,34,FALSE)-VLOOKUP(B606,[1]weeks!$B$156:$BO$193,34,FALSE)</f>
        <v>0</v>
      </c>
      <c r="L606" s="163">
        <f>VLOOKUP(B606,[1]weeks!$B$55:$BO$94,34,FALSE)-VLOOKUP(B606,[1]weeks!$B$107:$BO$144,34,FALSE)</f>
        <v>0</v>
      </c>
      <c r="M606" s="163">
        <f>VLOOKUP(B606,[1]weeks!$B$5:$BO$44,34,FALSE)-VLOOKUP(B606,[1]weeks!$B$55:$BO$94,34,FALSE)</f>
        <v>0</v>
      </c>
      <c r="N606" s="163" t="str">
        <f t="shared" si="282"/>
        <v>-</v>
      </c>
      <c r="O606" s="163">
        <f>SUM(J606:M606)/4</f>
        <v>0</v>
      </c>
      <c r="P606" s="146">
        <f>IF(ISNUMBER(VLOOKUP(B606,[1]Closures!B:BI,31,FALSE)),TEXT(VLOOKUP(B606,[1]Closures!B:BI,31,FALSE),"ddmmm"),IF(C606&lt;=0,0,IF(I606&lt;=0,0,IF(AND(C606&gt;0,O606&lt;=0),"&gt;52",IF(I606/O606&gt;52,"&gt;52", MAX(0,I606/O606-2))))))</f>
        <v>0</v>
      </c>
      <c r="S606" s="130"/>
    </row>
    <row r="607" spans="1:19" ht="10.7" customHeight="1" x14ac:dyDescent="0.2">
      <c r="A607" s="122"/>
      <c r="B607" s="161" t="s">
        <v>136</v>
      </c>
      <c r="C607" s="162"/>
      <c r="D607" s="163">
        <f>F607-VLOOKUP(B607,[1]Quota!$B$32:$BJ$43,32,FALSE)</f>
        <v>0</v>
      </c>
      <c r="E607" s="163"/>
      <c r="F607" s="164">
        <f>VLOOKUP(B607,[1]Quota!$B$81:$BJ$92,32,FALSE)</f>
        <v>0</v>
      </c>
      <c r="G607" s="163"/>
      <c r="H607" s="165" t="str">
        <f t="shared" si="279"/>
        <v>n/a</v>
      </c>
      <c r="I607" s="164">
        <f t="shared" si="281"/>
        <v>0</v>
      </c>
      <c r="J607" s="163"/>
      <c r="K607" s="163"/>
      <c r="L607" s="163"/>
      <c r="M607" s="163"/>
      <c r="N607" s="163"/>
      <c r="O607" s="163"/>
      <c r="P607" s="146"/>
      <c r="S607" s="130"/>
    </row>
    <row r="608" spans="1:19" ht="10.7" customHeight="1" x14ac:dyDescent="0.2">
      <c r="A608" s="122"/>
      <c r="B608" s="168" t="s">
        <v>137</v>
      </c>
      <c r="C608" s="162">
        <f>SUM(C603:C606)</f>
        <v>16.599999999999998</v>
      </c>
      <c r="D608" s="163">
        <f>SUM(D603:D607)</f>
        <v>0</v>
      </c>
      <c r="E608" s="163">
        <f t="shared" si="280"/>
        <v>0</v>
      </c>
      <c r="F608" s="217">
        <f t="shared" ref="F608" si="283">SUM(F603:F606)</f>
        <v>16.599999999999998</v>
      </c>
      <c r="G608" s="163">
        <f>SUM(G603:G606)</f>
        <v>0</v>
      </c>
      <c r="H608" s="165">
        <f t="shared" si="279"/>
        <v>0</v>
      </c>
      <c r="I608" s="217">
        <f t="shared" ref="I608:L608" si="284">SUM(I603:I606)</f>
        <v>16.599999999999998</v>
      </c>
      <c r="J608" s="163">
        <f t="shared" si="284"/>
        <v>0</v>
      </c>
      <c r="K608" s="163">
        <f t="shared" si="284"/>
        <v>0</v>
      </c>
      <c r="L608" s="163">
        <f t="shared" si="284"/>
        <v>0</v>
      </c>
      <c r="M608" s="163">
        <f>SUM(M603:M606)</f>
        <v>0</v>
      </c>
      <c r="N608" s="163">
        <f t="shared" si="282"/>
        <v>0</v>
      </c>
      <c r="O608" s="163">
        <f>SUM(J608:M608)/4</f>
        <v>0</v>
      </c>
      <c r="P608" s="146" t="str">
        <f>IF(ISNUMBER(VLOOKUP(B608,[1]Closures!B:BI,31,FALSE)),TEXT(VLOOKUP(B608,[1]Closures!B:BI,31,FALSE),"ddmmm"),IF(C608&lt;=0,0,IF(I608&lt;=0,0,IF(AND(C608&gt;0,O608&lt;=0),"&gt;52",IF(I608/O608&gt;52,"&gt;52", MAX(0,I608/O608-2))))))</f>
        <v>&gt;52</v>
      </c>
      <c r="S608" s="130"/>
    </row>
    <row r="609" spans="1:19" ht="10.7" customHeight="1" x14ac:dyDescent="0.2">
      <c r="A609" s="122"/>
      <c r="B609" s="168"/>
      <c r="C609" s="162"/>
      <c r="D609" s="163"/>
      <c r="E609" s="163"/>
      <c r="F609" s="164"/>
      <c r="G609" s="163"/>
      <c r="H609" s="165"/>
      <c r="I609" s="164"/>
      <c r="J609" s="163"/>
      <c r="K609" s="163"/>
      <c r="L609" s="163"/>
      <c r="M609" s="163"/>
      <c r="N609" s="163" t="str">
        <f t="shared" si="282"/>
        <v>-</v>
      </c>
      <c r="O609" s="163"/>
      <c r="P609" s="146"/>
      <c r="S609" s="130"/>
    </row>
    <row r="610" spans="1:19" ht="10.7" customHeight="1" x14ac:dyDescent="0.2">
      <c r="A610" s="122"/>
      <c r="B610" s="174" t="s">
        <v>138</v>
      </c>
      <c r="C610" s="162">
        <f>'[2]IV&amp;VI Combined'!$AC$36</f>
        <v>15.2</v>
      </c>
      <c r="D610" s="163">
        <f>F610-VLOOKUP(B610,[1]Quota!$B$103:$BJ$143,32,FALSE)</f>
        <v>0</v>
      </c>
      <c r="E610" s="163">
        <f t="shared" si="280"/>
        <v>0</v>
      </c>
      <c r="F610" s="164">
        <f>VLOOKUP(B610,[1]Quota!$B$81:$BJ$92,32,FALSE)</f>
        <v>15.2</v>
      </c>
      <c r="G610" s="163">
        <f>'[1]Cumulative '!AI228</f>
        <v>0</v>
      </c>
      <c r="H610" s="165">
        <f t="shared" si="279"/>
        <v>0</v>
      </c>
      <c r="I610" s="164">
        <f t="shared" ref="I610:I617" si="285">F610-G610</f>
        <v>15.2</v>
      </c>
      <c r="J610" s="163">
        <f>VLOOKUP(B610,[1]weeks!$B$156:$BO$193,34,FALSE)-VLOOKUP(B610,[1]weeks!$B$206:$BO$243,34,FALSE)</f>
        <v>0</v>
      </c>
      <c r="K610" s="163">
        <f>VLOOKUP(B610,[1]weeks!$B$107:$BO$144,34,FALSE)-VLOOKUP(B610,[1]weeks!$B$156:$BO$193,34,FALSE)</f>
        <v>0</v>
      </c>
      <c r="L610" s="163">
        <f>VLOOKUP(B610,[1]weeks!$B$55:$BO$94,34,FALSE)-VLOOKUP(B610,[1]weeks!$B$107:$BO$144,34,FALSE)</f>
        <v>0</v>
      </c>
      <c r="M610" s="163">
        <f>VLOOKUP(B610,[1]weeks!$B$5:$BO$44,34,FALSE)-VLOOKUP(B610,[1]weeks!$B$55:$BO$94,34,FALSE)</f>
        <v>0</v>
      </c>
      <c r="N610" s="163">
        <f t="shared" si="282"/>
        <v>0</v>
      </c>
      <c r="O610" s="163">
        <f>SUM(J610:M610)/4</f>
        <v>0</v>
      </c>
      <c r="P610" s="146" t="str">
        <f>IF(ISNUMBER(VLOOKUP(B610,[1]Closures!B:BI,31,FALSE)),TEXT(VLOOKUP(B610,[1]Closures!B:BI,31,FALSE),"ddmmm"),IF(C610&lt;=0,0,IF(I610&lt;=0,0,IF(AND(C610&gt;0,O610&lt;=0),"&gt;52",IF(I610/O610&gt;52,"&gt;52", MAX(0,I610/O610-2))))))</f>
        <v>&gt;52</v>
      </c>
      <c r="S610" s="130"/>
    </row>
    <row r="611" spans="1:19" ht="10.7" customHeight="1" x14ac:dyDescent="0.2">
      <c r="A611" s="122"/>
      <c r="B611" s="174" t="s">
        <v>139</v>
      </c>
      <c r="C611" s="162">
        <f>'[2]IV&amp;VI Combined'!$AC$37</f>
        <v>0</v>
      </c>
      <c r="D611" s="163">
        <f>F611-VLOOKUP(B611,[1]Quota!$B$103:$BJ$143,32,FALSE)</f>
        <v>0</v>
      </c>
      <c r="E611" s="163">
        <f t="shared" si="280"/>
        <v>0</v>
      </c>
      <c r="F611" s="164">
        <f>VLOOKUP(B611,[1]Quota!$B$81:$BJ$92,32,FALSE)</f>
        <v>0</v>
      </c>
      <c r="G611" s="163">
        <f>'[1]Cumulative '!AI229</f>
        <v>0</v>
      </c>
      <c r="H611" s="165" t="str">
        <f t="shared" si="279"/>
        <v>n/a</v>
      </c>
      <c r="I611" s="164">
        <f t="shared" si="285"/>
        <v>0</v>
      </c>
      <c r="J611" s="163">
        <f>VLOOKUP(B611,[1]weeks!$B$156:$BO$193,34,FALSE)-VLOOKUP(B611,[1]weeks!$B$206:$BO$243,34,FALSE)</f>
        <v>0</v>
      </c>
      <c r="K611" s="163">
        <f>VLOOKUP(B611,[1]weeks!$B$107:$BO$144,34,FALSE)-VLOOKUP(B611,[1]weeks!$B$156:$BO$193,34,FALSE)</f>
        <v>0</v>
      </c>
      <c r="L611" s="163">
        <f>VLOOKUP(B611,[1]weeks!$B$55:$BO$94,34,FALSE)-VLOOKUP(B611,[1]weeks!$B$107:$BO$144,34,FALSE)</f>
        <v>0</v>
      </c>
      <c r="M611" s="163">
        <f>VLOOKUP(B611,[1]weeks!$B$5:$BO$44,34,FALSE)-VLOOKUP(B611,[1]weeks!$B$55:$BO$94,34,FALSE)</f>
        <v>0</v>
      </c>
      <c r="N611" s="163" t="str">
        <f t="shared" si="282"/>
        <v>-</v>
      </c>
      <c r="O611" s="163">
        <f t="shared" ref="O611:O613" si="286">SUM(J611:M611)/4</f>
        <v>0</v>
      </c>
      <c r="P611" s="146">
        <f>IF(ISNUMBER(VLOOKUP(B611,[1]Closures!B:BI,31,FALSE)),TEXT(VLOOKUP(B611,[1]Closures!B:BI,31,FALSE),"ddmmm"),IF(C611&lt;=0,0,IF(I611&lt;=0,0,IF(AND(C611&gt;0,O611&lt;=0),"&gt;52",IF(I611/O611&gt;52,"&gt;52", MAX(0,I611/O611-2))))))</f>
        <v>0</v>
      </c>
      <c r="S611" s="130"/>
    </row>
    <row r="612" spans="1:19" ht="10.7" customHeight="1" x14ac:dyDescent="0.2">
      <c r="A612" s="122"/>
      <c r="B612" s="174" t="s">
        <v>140</v>
      </c>
      <c r="C612" s="162">
        <f>'[2]IV&amp;VI Combined'!$AC$38</f>
        <v>5</v>
      </c>
      <c r="D612" s="163">
        <f>F612-VLOOKUP(B612,[1]Quota!$B$103:$BJ$143,32,FALSE)</f>
        <v>0</v>
      </c>
      <c r="E612" s="163">
        <f t="shared" si="280"/>
        <v>0</v>
      </c>
      <c r="F612" s="164">
        <f>VLOOKUP(B612,[1]Quota!$B$81:$BJ$92,32,FALSE)</f>
        <v>5</v>
      </c>
      <c r="G612" s="163">
        <f>'[1]Cumulative '!AI230</f>
        <v>0</v>
      </c>
      <c r="H612" s="165">
        <f t="shared" si="279"/>
        <v>0</v>
      </c>
      <c r="I612" s="164">
        <f t="shared" si="285"/>
        <v>5</v>
      </c>
      <c r="J612" s="163">
        <f>VLOOKUP(B612,[1]weeks!$B$156:$BO$193,34,FALSE)-VLOOKUP(B612,[1]weeks!$B$206:$BO$243,34,FALSE)</f>
        <v>0</v>
      </c>
      <c r="K612" s="163">
        <f>VLOOKUP(B612,[1]weeks!$B$107:$BO$144,34,FALSE)-VLOOKUP(B612,[1]weeks!$B$156:$BO$193,34,FALSE)</f>
        <v>0</v>
      </c>
      <c r="L612" s="163">
        <f>VLOOKUP(B612,[1]weeks!$B$55:$BO$94,34,FALSE)-VLOOKUP(B612,[1]weeks!$B$107:$BO$144,34,FALSE)</f>
        <v>0</v>
      </c>
      <c r="M612" s="163">
        <f>VLOOKUP(B612,[1]weeks!$B$5:$BO$44,34,FALSE)-VLOOKUP(B612,[1]weeks!$B$55:$BO$94,34,FALSE)</f>
        <v>0</v>
      </c>
      <c r="N612" s="163">
        <f t="shared" si="282"/>
        <v>0</v>
      </c>
      <c r="O612" s="163">
        <f t="shared" si="286"/>
        <v>0</v>
      </c>
      <c r="P612" s="146" t="str">
        <f>IF(ISNUMBER(VLOOKUP(B612,[1]Closures!B:BI,31,FALSE)),TEXT(VLOOKUP(B612,[1]Closures!B:BI,31,FALSE),"ddmmm"),IF(C612&lt;=0,0,IF(I612&lt;=0,0,IF(AND(C612&gt;0,O612&lt;=0),"&gt;52",IF(I612/O612&gt;52,"&gt;52", MAX(0,I612/O612-2))))))</f>
        <v>&gt;52</v>
      </c>
      <c r="S612" s="130"/>
    </row>
    <row r="613" spans="1:19" ht="10.7" customHeight="1" x14ac:dyDescent="0.2">
      <c r="A613" s="122"/>
      <c r="B613" s="174" t="s">
        <v>141</v>
      </c>
      <c r="C613" s="162">
        <f>'[2]IV&amp;VI Combined'!$AC$39</f>
        <v>0</v>
      </c>
      <c r="D613" s="163">
        <f>F613-VLOOKUP(B613,[1]Quota!$B$103:$BJ$143,32,FALSE)</f>
        <v>0</v>
      </c>
      <c r="E613" s="163">
        <f t="shared" si="280"/>
        <v>0</v>
      </c>
      <c r="F613" s="164">
        <f>VLOOKUP(B613,[1]Quota!$B$81:$BJ$92,32,FALSE)</f>
        <v>0</v>
      </c>
      <c r="G613" s="163">
        <f>'[1]Cumulative '!AI231</f>
        <v>0</v>
      </c>
      <c r="H613" s="165" t="str">
        <f>IF(AND(F613&lt;=0),"n/a",IF(F613=0,0,100*G613/F613))</f>
        <v>n/a</v>
      </c>
      <c r="I613" s="164">
        <f t="shared" si="285"/>
        <v>0</v>
      </c>
      <c r="J613" s="163">
        <f>VLOOKUP(B613,[1]weeks!$B$156:$BO$193,34,FALSE)-VLOOKUP(B613,[1]weeks!$B$206:$BO$243,34,FALSE)</f>
        <v>0</v>
      </c>
      <c r="K613" s="163">
        <f>VLOOKUP(B613,[1]weeks!$B$107:$BO$144,34,FALSE)-VLOOKUP(B613,[1]weeks!$B$156:$BO$193,34,FALSE)</f>
        <v>0</v>
      </c>
      <c r="L613" s="163">
        <f>VLOOKUP(B613,[1]weeks!$B$55:$BO$94,34,FALSE)-VLOOKUP(B613,[1]weeks!$B$107:$BO$144,34,FALSE)</f>
        <v>0</v>
      </c>
      <c r="M613" s="163">
        <f>VLOOKUP(B613,[1]weeks!$B$5:$BO$44,34,FALSE)-VLOOKUP(B613,[1]weeks!$B$55:$BO$94,34,FALSE)</f>
        <v>0</v>
      </c>
      <c r="N613" s="163" t="str">
        <f t="shared" si="282"/>
        <v>-</v>
      </c>
      <c r="O613" s="163">
        <f t="shared" si="286"/>
        <v>0</v>
      </c>
      <c r="P613" s="146">
        <f>IF(ISNUMBER(VLOOKUP(B613,[1]Closures!B:BI,31,FALSE)),TEXT(VLOOKUP(B613,[1]Closures!B:BI,31,FALSE),"ddmmm"),IF(C613&lt;=0,0,IF(I613&lt;=0,0,IF(AND(C613&gt;0,O613&lt;=0),"&gt;52",IF(I613/O613&gt;52,"&gt;52", MAX(0,I613/O613-2))))))</f>
        <v>0</v>
      </c>
      <c r="S613" s="130"/>
    </row>
    <row r="614" spans="1:19" ht="10.7" customHeight="1" x14ac:dyDescent="0.2">
      <c r="A614" s="122"/>
      <c r="B614" s="174" t="s">
        <v>142</v>
      </c>
      <c r="C614" s="162"/>
      <c r="D614" s="163">
        <f>F614-VLOOKUP(B614,[1]Quota!$B$32:$BJ$43,32,FALSE)</f>
        <v>0</v>
      </c>
      <c r="E614" s="163"/>
      <c r="F614" s="164">
        <f>VLOOKUP(B614,[1]Quota!$B$81:$BJ$92,32,FALSE)</f>
        <v>0</v>
      </c>
      <c r="G614" s="163"/>
      <c r="H614" s="165" t="str">
        <f>IF(AND(F614&lt;=0),"n/a",IF(F614=0,0,100*G614/F614))</f>
        <v>n/a</v>
      </c>
      <c r="I614" s="164">
        <f>F614-G614</f>
        <v>0</v>
      </c>
      <c r="J614" s="163"/>
      <c r="K614" s="163"/>
      <c r="L614" s="163"/>
      <c r="M614" s="163"/>
      <c r="N614" s="163"/>
      <c r="O614" s="163"/>
      <c r="P614" s="146"/>
      <c r="S614" s="130"/>
    </row>
    <row r="615" spans="1:19" ht="10.7" customHeight="1" x14ac:dyDescent="0.2">
      <c r="A615" s="122"/>
      <c r="B615" s="168" t="s">
        <v>143</v>
      </c>
      <c r="C615" s="162">
        <f>SUM(C610:C614)</f>
        <v>20.2</v>
      </c>
      <c r="D615" s="163">
        <f>SUM(D610:D614)</f>
        <v>0</v>
      </c>
      <c r="E615" s="163">
        <f t="shared" si="280"/>
        <v>0</v>
      </c>
      <c r="F615" s="217">
        <f t="shared" ref="F615:G615" si="287">SUM(F610:F614)</f>
        <v>20.2</v>
      </c>
      <c r="G615" s="173">
        <f t="shared" si="287"/>
        <v>0</v>
      </c>
      <c r="H615" s="165">
        <f t="shared" si="279"/>
        <v>0</v>
      </c>
      <c r="I615" s="164">
        <f t="shared" si="285"/>
        <v>20.2</v>
      </c>
      <c r="J615" s="163">
        <f t="shared" ref="J615:L615" si="288">SUM(J610:J613)</f>
        <v>0</v>
      </c>
      <c r="K615" s="163">
        <f t="shared" si="288"/>
        <v>0</v>
      </c>
      <c r="L615" s="163">
        <f t="shared" si="288"/>
        <v>0</v>
      </c>
      <c r="M615" s="163">
        <f>SUM(M610:M613)</f>
        <v>0</v>
      </c>
      <c r="N615" s="163">
        <f t="shared" si="282"/>
        <v>0</v>
      </c>
      <c r="O615" s="163">
        <f>SUM(J615:M615)/4</f>
        <v>0</v>
      </c>
      <c r="P615" s="146" t="str">
        <f>IF(ISNUMBER(VLOOKUP(B615,[1]Closures!B:BI,31,FALSE)),TEXT(VLOOKUP(B615,[1]Closures!B:BI,31,FALSE),"ddmmm"),IF(C615&lt;=0,0,IF(I615&lt;=0,0,IF(AND(C615&gt;0,O615&lt;=0),"&gt;52",IF(I615/O615&gt;52,"&gt;52", MAX(0,I615/O615-2))))))</f>
        <v>&gt;52</v>
      </c>
      <c r="S615" s="130"/>
    </row>
    <row r="616" spans="1:19" ht="10.7" customHeight="1" x14ac:dyDescent="0.2">
      <c r="A616" s="122"/>
      <c r="B616" s="168"/>
      <c r="C616" s="162"/>
      <c r="D616" s="163"/>
      <c r="E616" s="163"/>
      <c r="F616" s="164"/>
      <c r="G616" s="163"/>
      <c r="H616" s="165"/>
      <c r="I616" s="164"/>
      <c r="J616" s="163"/>
      <c r="K616" s="163"/>
      <c r="L616" s="163"/>
      <c r="M616" s="163"/>
      <c r="N616" s="163"/>
      <c r="O616" s="163"/>
      <c r="P616" s="146"/>
      <c r="S616" s="130"/>
    </row>
    <row r="617" spans="1:19" ht="10.7" customHeight="1" x14ac:dyDescent="0.2">
      <c r="A617" s="122"/>
      <c r="B617" s="175" t="s">
        <v>112</v>
      </c>
      <c r="C617" s="176">
        <f>C615+C608</f>
        <v>36.799999999999997</v>
      </c>
      <c r="D617" s="180">
        <f>D615+D608</f>
        <v>0</v>
      </c>
      <c r="E617" s="180">
        <f t="shared" si="280"/>
        <v>0</v>
      </c>
      <c r="F617" s="189">
        <f>F615+F608</f>
        <v>36.799999999999997</v>
      </c>
      <c r="G617" s="180">
        <f>G615+G608</f>
        <v>0</v>
      </c>
      <c r="H617" s="179">
        <f t="shared" si="279"/>
        <v>0</v>
      </c>
      <c r="I617" s="218">
        <f t="shared" si="285"/>
        <v>36.799999999999997</v>
      </c>
      <c r="J617" s="180">
        <f t="shared" ref="J617:L617" si="289">J608+J615</f>
        <v>0</v>
      </c>
      <c r="K617" s="180">
        <f t="shared" si="289"/>
        <v>0</v>
      </c>
      <c r="L617" s="180">
        <f t="shared" si="289"/>
        <v>0</v>
      </c>
      <c r="M617" s="180">
        <f>M608+M615</f>
        <v>0</v>
      </c>
      <c r="N617" s="180">
        <f t="shared" si="282"/>
        <v>0</v>
      </c>
      <c r="O617" s="180">
        <f>SUM(J617:M617)/4</f>
        <v>0</v>
      </c>
      <c r="P617" s="153" t="str">
        <f>IF(ISNUMBER(VLOOKUP(B617,[1]Closures!B:BI,31,FALSE)),TEXT(VLOOKUP(B617,[1]Closures!B:BI,31,FALSE),"ddmmm"),IF(C617&lt;=0,0,IF(I617&lt;=0,0,IF(AND(C617&gt;0,O617&lt;=0),"&gt;52",IF(I617/O617&gt;52,"&gt;52", MAX(0,I617/O617-2))))))</f>
        <v>&gt;52</v>
      </c>
      <c r="S617" s="130"/>
    </row>
    <row r="618" spans="1:19" ht="10.7" customHeight="1" x14ac:dyDescent="0.2">
      <c r="A618" s="122"/>
      <c r="B618" s="212"/>
      <c r="C618" s="173"/>
      <c r="D618" s="163"/>
      <c r="E618" s="163"/>
      <c r="F618" s="164"/>
      <c r="G618" s="163"/>
      <c r="H618" s="165"/>
      <c r="I618" s="164"/>
      <c r="J618" s="163"/>
      <c r="K618" s="163"/>
      <c r="L618" s="163"/>
      <c r="M618" s="163"/>
      <c r="N618" s="163"/>
      <c r="O618" s="163"/>
      <c r="P618" s="182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tr">
        <f>C5</f>
        <v>Initial Quota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f>[1]weeks!$B$154</f>
        <v>43166</v>
      </c>
      <c r="K622" s="151">
        <f>[1]weeks!$B$105</f>
        <v>43173</v>
      </c>
      <c r="L622" s="151">
        <f>[1]weeks!$B$55</f>
        <v>43180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6"/>
      <c r="C624" s="214" t="s">
        <v>129</v>
      </c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  <c r="O624" s="215"/>
      <c r="P624" s="145"/>
      <c r="S624" s="130"/>
    </row>
    <row r="625" spans="1:19" ht="10.7" customHeight="1" x14ac:dyDescent="0.2">
      <c r="A625" s="122"/>
      <c r="B625" s="161" t="s">
        <v>132</v>
      </c>
      <c r="C625" s="162">
        <f>'[2]IV&amp;VI Combined'!$AD$29</f>
        <v>0.1</v>
      </c>
      <c r="D625" s="163">
        <f>F625-VLOOKUP(B625,[1]Quota!$B$103:$BJ$143,33,FALSE)</f>
        <v>0</v>
      </c>
      <c r="E625" s="163">
        <f>F625-C625</f>
        <v>0</v>
      </c>
      <c r="F625" s="164">
        <f>VLOOKUP(B625,[1]Quota!$B$81:$BJ$92,33,FALSE)</f>
        <v>0.1</v>
      </c>
      <c r="G625" s="163">
        <f>'[1]Cumulative '!AJ221</f>
        <v>0</v>
      </c>
      <c r="H625" s="165">
        <f t="shared" ref="H625:H639" si="290">IF(AND(F625&lt;=0),"n/a",IF(F625=0,0,100*G625/F625))</f>
        <v>0</v>
      </c>
      <c r="I625" s="164">
        <f>F625-G625</f>
        <v>0.1</v>
      </c>
      <c r="J625" s="163">
        <f>VLOOKUP(B625,[1]weeks!$B$156:$BO$193,35,FALSE)-VLOOKUP(B625,[1]weeks!$B$206:$BO$243,35,FALSE)</f>
        <v>0</v>
      </c>
      <c r="K625" s="163">
        <f>VLOOKUP(B625,[1]weeks!$B$107:$BO$144,35,FALSE)-VLOOKUP(B625,[1]weeks!$B$156:$BO$193,35,FALSE)</f>
        <v>0</v>
      </c>
      <c r="L625" s="163">
        <f>VLOOKUP(B625,[1]weeks!$B$55:$BO$94,35,FALSE)-VLOOKUP(B625,[1]weeks!$B$107:$BO$144,35,FALSE)</f>
        <v>0</v>
      </c>
      <c r="M625" s="163">
        <f>VLOOKUP(B625,[1]weeks!$B$5:$BO$44,35,FALSE)-VLOOKUP(B625,[1]weeks!$B$55:$BO$94,35,FALSE)</f>
        <v>0</v>
      </c>
      <c r="N625" s="163">
        <f>IF(F625&gt;0,M625/F625*100,"-")</f>
        <v>0</v>
      </c>
      <c r="O625" s="163">
        <f>SUM(J625:M625)/4</f>
        <v>0</v>
      </c>
      <c r="P625" s="146" t="str">
        <f>IF(ISNUMBER(VLOOKUP(B625,[1]Closures!B:BI,32,FALSE)),TEXT(VLOOKUP(B625,[1]Closures!B:BI,32,FALSE),"ddmmm"),IF(C625&lt;=0,0,IF(I625&lt;=0,0,IF(AND(C625&gt;0,O625&lt;=0),"&gt;52",IF(I625/O625&gt;52,"&gt;52", MAX(0,I625/O625-2))))))</f>
        <v>&gt;52</v>
      </c>
      <c r="S625" s="130"/>
    </row>
    <row r="626" spans="1:19" ht="10.7" customHeight="1" x14ac:dyDescent="0.2">
      <c r="A626" s="122"/>
      <c r="B626" s="161" t="s">
        <v>133</v>
      </c>
      <c r="C626" s="162">
        <f>'[2]IV&amp;VI Combined'!$AD$30</f>
        <v>0.1</v>
      </c>
      <c r="D626" s="163">
        <f>F626-VLOOKUP(B626,[1]Quota!$B$103:$BJ$143,33,FALSE)</f>
        <v>0</v>
      </c>
      <c r="E626" s="163">
        <f t="shared" ref="E626:E639" si="291">F626-C626</f>
        <v>0</v>
      </c>
      <c r="F626" s="164">
        <f>VLOOKUP(B626,[1]Quota!$B$81:$BJ$92,33,FALSE)</f>
        <v>0.1</v>
      </c>
      <c r="G626" s="163">
        <f>'[1]Cumulative '!AJ222</f>
        <v>0</v>
      </c>
      <c r="H626" s="165">
        <f t="shared" si="290"/>
        <v>0</v>
      </c>
      <c r="I626" s="164">
        <f t="shared" ref="I626:I629" si="292">F626-G626</f>
        <v>0.1</v>
      </c>
      <c r="J626" s="163">
        <f>VLOOKUP(B626,[1]weeks!$B$156:$BO$193,35,FALSE)-VLOOKUP(B626,[1]weeks!$B$206:$BO$243,35,FALSE)</f>
        <v>0</v>
      </c>
      <c r="K626" s="163">
        <f>VLOOKUP(B626,[1]weeks!$B$107:$BO$144,35,FALSE)-VLOOKUP(B626,[1]weeks!$B$156:$BO$193,35,FALSE)</f>
        <v>0</v>
      </c>
      <c r="L626" s="163">
        <f>VLOOKUP(B626,[1]weeks!$B$55:$BO$94,35,FALSE)-VLOOKUP(B626,[1]weeks!$B$107:$BO$144,35,FALSE)</f>
        <v>0</v>
      </c>
      <c r="M626" s="163">
        <f>VLOOKUP(B626,[1]weeks!$B$5:$BO$44,35,FALSE)-VLOOKUP(B626,[1]weeks!$B$55:$BO$94,35,FALSE)</f>
        <v>0</v>
      </c>
      <c r="N626" s="163">
        <f t="shared" ref="N626:N639" si="293">IF(F626&gt;0,M626/F626*100,"-")</f>
        <v>0</v>
      </c>
      <c r="O626" s="163">
        <f t="shared" ref="O626:O635" si="294">SUM(J626:M626)/4</f>
        <v>0</v>
      </c>
      <c r="P626" s="146" t="str">
        <f>IF(ISNUMBER(VLOOKUP(B626,[1]Closures!B:BI,32,FALSE)),TEXT(VLOOKUP(B626,[1]Closures!B:BI,32,FALSE),"ddmmm"),IF(C626&lt;=0,0,IF(I626&lt;=0,0,IF(AND(C626&gt;0,O626&lt;=0),"&gt;52",IF(I626/O626&gt;52,"&gt;52", MAX(0,I626/O626-2))))))</f>
        <v>&gt;52</v>
      </c>
      <c r="S626" s="130"/>
    </row>
    <row r="627" spans="1:19" ht="10.7" customHeight="1" x14ac:dyDescent="0.2">
      <c r="A627" s="122"/>
      <c r="B627" s="161" t="s">
        <v>134</v>
      </c>
      <c r="C627" s="162">
        <f>'[2]IV&amp;VI Combined'!$AD$31</f>
        <v>0</v>
      </c>
      <c r="D627" s="163">
        <f>F627-VLOOKUP(B627,[1]Quota!$B$103:$BJ$143,33,FALSE)</f>
        <v>0</v>
      </c>
      <c r="E627" s="163">
        <f t="shared" si="291"/>
        <v>0</v>
      </c>
      <c r="F627" s="164">
        <f>VLOOKUP(B627,[1]Quota!$B$81:$BJ$92,33,FALSE)</f>
        <v>0</v>
      </c>
      <c r="G627" s="163">
        <f>'[1]Cumulative '!AJ223</f>
        <v>0</v>
      </c>
      <c r="H627" s="165" t="str">
        <f t="shared" si="290"/>
        <v>n/a</v>
      </c>
      <c r="I627" s="164">
        <f t="shared" si="292"/>
        <v>0</v>
      </c>
      <c r="J627" s="163">
        <f>VLOOKUP(B627,[1]weeks!$B$156:$BO$193,35,FALSE)-VLOOKUP(B627,[1]weeks!$B$206:$BO$243,35,FALSE)</f>
        <v>0</v>
      </c>
      <c r="K627" s="163">
        <f>VLOOKUP(B627,[1]weeks!$B$107:$BO$144,35,FALSE)-VLOOKUP(B627,[1]weeks!$B$156:$BO$193,35,FALSE)</f>
        <v>0</v>
      </c>
      <c r="L627" s="163">
        <f>VLOOKUP(B627,[1]weeks!$B$55:$BO$94,35,FALSE)-VLOOKUP(B627,[1]weeks!$B$107:$BO$144,35,FALSE)</f>
        <v>0</v>
      </c>
      <c r="M627" s="163">
        <f>VLOOKUP(B627,[1]weeks!$B$5:$BO$44,35,FALSE)-VLOOKUP(B627,[1]weeks!$B$55:$BO$94,35,FALSE)</f>
        <v>0</v>
      </c>
      <c r="N627" s="163" t="str">
        <f t="shared" si="293"/>
        <v>-</v>
      </c>
      <c r="O627" s="163">
        <f t="shared" si="294"/>
        <v>0</v>
      </c>
      <c r="P627" s="146">
        <f>IF(ISNUMBER(VLOOKUP(B627,[1]Closures!B:BI,32,FALSE)),TEXT(VLOOKUP(B627,[1]Closures!B:BI,32,FALSE),"ddmmm"),IF(C627&lt;=0,0,IF(I627&lt;=0,0,IF(AND(C627&gt;0,O627&lt;=0),"&gt;52",IF(I627/O627&gt;52,"&gt;52", MAX(0,I627/O627-2))))))</f>
        <v>0</v>
      </c>
      <c r="S627" s="130"/>
    </row>
    <row r="628" spans="1:19" ht="10.7" customHeight="1" x14ac:dyDescent="0.2">
      <c r="A628" s="122"/>
      <c r="B628" s="161" t="s">
        <v>135</v>
      </c>
      <c r="C628" s="162">
        <f>'[2]IV&amp;VI Combined'!$AD$32</f>
        <v>0</v>
      </c>
      <c r="D628" s="163">
        <f>F628-VLOOKUP(B628,[1]Quota!$B$103:$BJ$143,33,FALSE)</f>
        <v>0</v>
      </c>
      <c r="E628" s="163">
        <f t="shared" si="291"/>
        <v>0</v>
      </c>
      <c r="F628" s="164">
        <f>VLOOKUP(B628,[1]Quota!$B$81:$BJ$92,33,FALSE)</f>
        <v>0</v>
      </c>
      <c r="G628" s="163">
        <f>'[1]Cumulative '!AJ224</f>
        <v>0</v>
      </c>
      <c r="H628" s="165" t="str">
        <f t="shared" si="290"/>
        <v>n/a</v>
      </c>
      <c r="I628" s="164">
        <f t="shared" si="292"/>
        <v>0</v>
      </c>
      <c r="J628" s="163">
        <f>VLOOKUP(B628,[1]weeks!$B$156:$BO$193,35,FALSE)-VLOOKUP(B628,[1]weeks!$B$206:$BO$243,35,FALSE)</f>
        <v>0</v>
      </c>
      <c r="K628" s="163">
        <f>VLOOKUP(B628,[1]weeks!$B$107:$BO$144,35,FALSE)-VLOOKUP(B628,[1]weeks!$B$156:$BO$193,35,FALSE)</f>
        <v>0</v>
      </c>
      <c r="L628" s="163">
        <f>VLOOKUP(B628,[1]weeks!$B$55:$BO$94,35,FALSE)-VLOOKUP(B628,[1]weeks!$B$107:$BO$144,35,FALSE)</f>
        <v>0</v>
      </c>
      <c r="M628" s="163">
        <f>VLOOKUP(B628,[1]weeks!$B$5:$BO$44,35,FALSE)-VLOOKUP(B628,[1]weeks!$B$55:$BO$94,35,FALSE)</f>
        <v>0</v>
      </c>
      <c r="N628" s="163" t="str">
        <f t="shared" si="293"/>
        <v>-</v>
      </c>
      <c r="O628" s="163">
        <f t="shared" si="294"/>
        <v>0</v>
      </c>
      <c r="P628" s="146">
        <f>IF(ISNUMBER(VLOOKUP(B628,[1]Closures!B:BI,32,FALSE)),TEXT(VLOOKUP(B628,[1]Closures!B:BI,32,FALSE),"ddmmm"),IF(C628&lt;=0,0,IF(I628&lt;=0,0,IF(AND(C628&gt;0,O628&lt;=0),"&gt;52",IF(I628/O628&gt;52,"&gt;52", MAX(0,I628/O628-2))))))</f>
        <v>0</v>
      </c>
      <c r="S628" s="130"/>
    </row>
    <row r="629" spans="1:19" ht="10.7" customHeight="1" x14ac:dyDescent="0.2">
      <c r="A629" s="122"/>
      <c r="B629" s="161" t="s">
        <v>136</v>
      </c>
      <c r="C629" s="162"/>
      <c r="D629" s="163">
        <f>F629-VLOOKUP(B629,[1]Quota!$B$32:$BJ$43,33,FALSE)</f>
        <v>0</v>
      </c>
      <c r="E629" s="163"/>
      <c r="F629" s="164">
        <f>VLOOKUP(B629,[1]Quota!$B$81:$BJ$92,33,FALSE)</f>
        <v>0</v>
      </c>
      <c r="G629" s="163"/>
      <c r="H629" s="165" t="str">
        <f t="shared" si="290"/>
        <v>n/a</v>
      </c>
      <c r="I629" s="164">
        <f t="shared" si="292"/>
        <v>0</v>
      </c>
      <c r="J629" s="163"/>
      <c r="K629" s="163"/>
      <c r="L629" s="163"/>
      <c r="M629" s="163"/>
      <c r="N629" s="163"/>
      <c r="O629" s="163"/>
      <c r="P629" s="146"/>
      <c r="S629" s="130"/>
    </row>
    <row r="630" spans="1:19" ht="10.7" customHeight="1" x14ac:dyDescent="0.2">
      <c r="A630" s="122"/>
      <c r="B630" s="168" t="s">
        <v>137</v>
      </c>
      <c r="C630" s="162">
        <f>SUM(C625:C628)</f>
        <v>0.2</v>
      </c>
      <c r="D630" s="163">
        <f>SUM(D625:D629)</f>
        <v>0</v>
      </c>
      <c r="E630" s="163">
        <f t="shared" si="291"/>
        <v>0</v>
      </c>
      <c r="F630" s="217">
        <f t="shared" ref="F630" si="295">SUM(F625:F628)</f>
        <v>0.2</v>
      </c>
      <c r="G630" s="163">
        <f>SUM(G625:G628)</f>
        <v>0</v>
      </c>
      <c r="H630" s="165">
        <f t="shared" si="290"/>
        <v>0</v>
      </c>
      <c r="I630" s="217">
        <f t="shared" ref="I630:L630" si="296">SUM(I625:I628)</f>
        <v>0.2</v>
      </c>
      <c r="J630" s="163">
        <f t="shared" si="296"/>
        <v>0</v>
      </c>
      <c r="K630" s="163">
        <f t="shared" si="296"/>
        <v>0</v>
      </c>
      <c r="L630" s="163">
        <f t="shared" si="296"/>
        <v>0</v>
      </c>
      <c r="M630" s="163">
        <f>SUM(M625:M628)</f>
        <v>0</v>
      </c>
      <c r="N630" s="163">
        <f t="shared" si="293"/>
        <v>0</v>
      </c>
      <c r="O630" s="163">
        <f t="shared" si="294"/>
        <v>0</v>
      </c>
      <c r="P630" s="146" t="str">
        <f>IF(ISNUMBER(VLOOKUP(B630,[1]Closures!B:BI,32,FALSE)),TEXT(VLOOKUP(B630,[1]Closures!B:BI,32,FALSE),"ddmmm"),IF(C630&lt;=0,0,IF(I630&lt;=0,0,IF(AND(C630&gt;0,O630&lt;=0),"&gt;52",IF(I630/O630&gt;52,"&gt;52", MAX(0,I630/O630-2))))))</f>
        <v>&gt;52</v>
      </c>
      <c r="S630" s="130"/>
    </row>
    <row r="631" spans="1:19" ht="10.7" customHeight="1" x14ac:dyDescent="0.2">
      <c r="A631" s="122"/>
      <c r="B631" s="168"/>
      <c r="C631" s="162"/>
      <c r="D631" s="163"/>
      <c r="E631" s="163"/>
      <c r="F631" s="164"/>
      <c r="G631" s="163"/>
      <c r="H631" s="165"/>
      <c r="I631" s="164"/>
      <c r="J631" s="163"/>
      <c r="K631" s="163"/>
      <c r="L631" s="163"/>
      <c r="M631" s="163"/>
      <c r="N631" s="163" t="str">
        <f t="shared" si="293"/>
        <v>-</v>
      </c>
      <c r="O631" s="163"/>
      <c r="P631" s="146"/>
      <c r="S631" s="130"/>
    </row>
    <row r="632" spans="1:19" ht="10.7" customHeight="1" x14ac:dyDescent="0.2">
      <c r="A632" s="122"/>
      <c r="B632" s="174" t="s">
        <v>138</v>
      </c>
      <c r="C632" s="162">
        <f>'[2]IV&amp;VI Combined'!$AD$36</f>
        <v>0</v>
      </c>
      <c r="D632" s="163">
        <f>F632-VLOOKUP(B632,[1]Quota!$B$103:$BJ$143,33,FALSE)</f>
        <v>0</v>
      </c>
      <c r="E632" s="163">
        <f t="shared" si="291"/>
        <v>0</v>
      </c>
      <c r="F632" s="164">
        <f>VLOOKUP(B632,[1]Quota!$B$81:$BJ$92,33,FALSE)</f>
        <v>0</v>
      </c>
      <c r="G632" s="163">
        <f>'[1]Cumulative '!AJ228</f>
        <v>0</v>
      </c>
      <c r="H632" s="165" t="str">
        <f t="shared" si="290"/>
        <v>n/a</v>
      </c>
      <c r="I632" s="164">
        <f t="shared" ref="I632:I639" si="297">F632-G632</f>
        <v>0</v>
      </c>
      <c r="J632" s="163">
        <f>VLOOKUP(B632,[1]weeks!$B$156:$BO$193,35,FALSE)-VLOOKUP(B632,[1]weeks!$B$206:$BO$243,35,FALSE)</f>
        <v>0</v>
      </c>
      <c r="K632" s="163">
        <f>VLOOKUP(B632,[1]weeks!$B$107:$BO$144,35,FALSE)-VLOOKUP(B632,[1]weeks!$B$156:$BO$193,35,FALSE)</f>
        <v>0</v>
      </c>
      <c r="L632" s="163">
        <f>VLOOKUP(B632,[1]weeks!$B$55:$BO$94,35,FALSE)-VLOOKUP(B632,[1]weeks!$B$107:$BO$144,35,FALSE)</f>
        <v>0</v>
      </c>
      <c r="M632" s="163">
        <f>VLOOKUP(B632,[1]weeks!$B$5:$BO$44,35,FALSE)-VLOOKUP(B632,[1]weeks!$B$55:$BO$94,35,FALSE)</f>
        <v>0</v>
      </c>
      <c r="N632" s="163" t="str">
        <f t="shared" si="293"/>
        <v>-</v>
      </c>
      <c r="O632" s="163">
        <f t="shared" si="294"/>
        <v>0</v>
      </c>
      <c r="P632" s="146">
        <f>IF(ISNUMBER(VLOOKUP(B632,[1]Closures!B:BI,32,FALSE)),TEXT(VLOOKUP(B632,[1]Closures!B:BI,32,FALSE),"ddmmm"),IF(C632&lt;=0,0,IF(I632&lt;=0,0,IF(AND(C632&gt;0,O632&lt;=0),"&gt;52",IF(I632/O632&gt;52,"&gt;52", MAX(0,I632/O632-2))))))</f>
        <v>0</v>
      </c>
      <c r="S632" s="130"/>
    </row>
    <row r="633" spans="1:19" ht="10.7" customHeight="1" x14ac:dyDescent="0.2">
      <c r="A633" s="122"/>
      <c r="B633" s="174" t="s">
        <v>139</v>
      </c>
      <c r="C633" s="162">
        <f>'[2]IV&amp;VI Combined'!$AD$37</f>
        <v>0</v>
      </c>
      <c r="D633" s="163">
        <f>F633-VLOOKUP(B633,[1]Quota!$B$103:$BJ$143,33,FALSE)</f>
        <v>0</v>
      </c>
      <c r="E633" s="163">
        <f t="shared" si="291"/>
        <v>0</v>
      </c>
      <c r="F633" s="164">
        <f>VLOOKUP(B633,[1]Quota!$B$81:$BJ$92,33,FALSE)</f>
        <v>0</v>
      </c>
      <c r="G633" s="163">
        <f>'[1]Cumulative '!AJ229</f>
        <v>0</v>
      </c>
      <c r="H633" s="165" t="str">
        <f t="shared" si="290"/>
        <v>n/a</v>
      </c>
      <c r="I633" s="164">
        <f t="shared" si="297"/>
        <v>0</v>
      </c>
      <c r="J633" s="163">
        <f>VLOOKUP(B633,[1]weeks!$B$156:$BO$193,35,FALSE)-VLOOKUP(B633,[1]weeks!$B$206:$BO$243,35,FALSE)</f>
        <v>0</v>
      </c>
      <c r="K633" s="163">
        <f>VLOOKUP(B633,[1]weeks!$B$107:$BO$144,35,FALSE)-VLOOKUP(B633,[1]weeks!$B$156:$BO$193,35,FALSE)</f>
        <v>0</v>
      </c>
      <c r="L633" s="163">
        <f>VLOOKUP(B633,[1]weeks!$B$55:$BO$94,35,FALSE)-VLOOKUP(B633,[1]weeks!$B$107:$BO$144,35,FALSE)</f>
        <v>0</v>
      </c>
      <c r="M633" s="163">
        <f>VLOOKUP(B633,[1]weeks!$B$5:$BO$44,35,FALSE)-VLOOKUP(B633,[1]weeks!$B$55:$BO$94,35,FALSE)</f>
        <v>0</v>
      </c>
      <c r="N633" s="163" t="str">
        <f t="shared" si="293"/>
        <v>-</v>
      </c>
      <c r="O633" s="163">
        <f t="shared" si="294"/>
        <v>0</v>
      </c>
      <c r="P633" s="146">
        <f>IF(ISNUMBER(VLOOKUP(B633,[1]Closures!B:BI,32,FALSE)),TEXT(VLOOKUP(B633,[1]Closures!B:BI,32,FALSE),"ddmmm"),IF(C633&lt;=0,0,IF(I633&lt;=0,0,IF(AND(C633&gt;0,O633&lt;=0),"&gt;52",IF(I633/O633&gt;52,"&gt;52", MAX(0,I633/O633-2))))))</f>
        <v>0</v>
      </c>
      <c r="S633" s="130"/>
    </row>
    <row r="634" spans="1:19" ht="10.7" customHeight="1" x14ac:dyDescent="0.2">
      <c r="A634" s="122"/>
      <c r="B634" s="174" t="s">
        <v>140</v>
      </c>
      <c r="C634" s="162">
        <f>'[2]IV&amp;VI Combined'!$AD$38</f>
        <v>4.8</v>
      </c>
      <c r="D634" s="163">
        <f>F634-VLOOKUP(B634,[1]Quota!$B$103:$BJ$143,33,FALSE)</f>
        <v>0</v>
      </c>
      <c r="E634" s="163">
        <f t="shared" si="291"/>
        <v>0</v>
      </c>
      <c r="F634" s="164">
        <f>VLOOKUP(B634,[1]Quota!$B$81:$BJ$92,33,FALSE)</f>
        <v>4.8</v>
      </c>
      <c r="G634" s="163">
        <f>'[1]Cumulative '!AJ230</f>
        <v>2E-3</v>
      </c>
      <c r="H634" s="165">
        <f t="shared" si="290"/>
        <v>4.1666666666666671E-2</v>
      </c>
      <c r="I634" s="164">
        <f t="shared" si="297"/>
        <v>4.798</v>
      </c>
      <c r="J634" s="163">
        <f>VLOOKUP(B634,[1]weeks!$B$156:$BO$193,35,FALSE)-VLOOKUP(B634,[1]weeks!$B$206:$BO$243,35,FALSE)</f>
        <v>0</v>
      </c>
      <c r="K634" s="163">
        <f>VLOOKUP(B634,[1]weeks!$B$107:$BO$144,35,FALSE)-VLOOKUP(B634,[1]weeks!$B$156:$BO$193,35,FALSE)</f>
        <v>2E-3</v>
      </c>
      <c r="L634" s="163">
        <f>VLOOKUP(B634,[1]weeks!$B$55:$BO$94,35,FALSE)-VLOOKUP(B634,[1]weeks!$B$107:$BO$144,35,FALSE)</f>
        <v>0</v>
      </c>
      <c r="M634" s="163">
        <f>VLOOKUP(B634,[1]weeks!$B$5:$BO$44,35,FALSE)-VLOOKUP(B634,[1]weeks!$B$55:$BO$94,35,FALSE)</f>
        <v>0</v>
      </c>
      <c r="N634" s="163">
        <f t="shared" si="293"/>
        <v>0</v>
      </c>
      <c r="O634" s="163">
        <f t="shared" si="294"/>
        <v>5.0000000000000001E-4</v>
      </c>
      <c r="P634" s="146" t="str">
        <f>IF(ISNUMBER(VLOOKUP(B634,[1]Closures!B:BI,32,FALSE)),TEXT(VLOOKUP(B634,[1]Closures!B:BI,32,FALSE),"ddmmm"),IF(C634&lt;=0,0,IF(I634&lt;=0,0,IF(AND(C634&gt;0,O634&lt;=0),"&gt;52",IF(I634/O634&gt;52,"&gt;52", MAX(0,I634/O634-2))))))</f>
        <v>&gt;52</v>
      </c>
      <c r="S634" s="130"/>
    </row>
    <row r="635" spans="1:19" ht="10.7" customHeight="1" x14ac:dyDescent="0.2">
      <c r="A635" s="122"/>
      <c r="B635" s="174" t="s">
        <v>141</v>
      </c>
      <c r="C635" s="162">
        <f>'[2]IV&amp;VI Combined'!$AD$39</f>
        <v>0.1</v>
      </c>
      <c r="D635" s="163">
        <f>F635-VLOOKUP(B635,[1]Quota!$B$103:$BJ$143,33,FALSE)</f>
        <v>0</v>
      </c>
      <c r="E635" s="163">
        <f t="shared" si="291"/>
        <v>0</v>
      </c>
      <c r="F635" s="164">
        <f>VLOOKUP(B635,[1]Quota!$B$81:$BJ$92,33,FALSE)</f>
        <v>0.1</v>
      </c>
      <c r="G635" s="163">
        <f>'[1]Cumulative '!AJ231</f>
        <v>0</v>
      </c>
      <c r="H635" s="165">
        <f>IF(AND(F635&lt;=0),"n/a",IF(F635=0,0,100*G635/F635))</f>
        <v>0</v>
      </c>
      <c r="I635" s="164">
        <f t="shared" si="297"/>
        <v>0.1</v>
      </c>
      <c r="J635" s="163">
        <f>VLOOKUP(B635,[1]weeks!$B$156:$BO$193,35,FALSE)-VLOOKUP(B635,[1]weeks!$B$206:$BO$243,35,FALSE)</f>
        <v>0</v>
      </c>
      <c r="K635" s="163">
        <f>VLOOKUP(B635,[1]weeks!$B$107:$BO$144,35,FALSE)-VLOOKUP(B635,[1]weeks!$B$156:$BO$193,35,FALSE)</f>
        <v>0</v>
      </c>
      <c r="L635" s="163">
        <f>VLOOKUP(B635,[1]weeks!$B$55:$BO$94,35,FALSE)-VLOOKUP(B635,[1]weeks!$B$107:$BO$144,35,FALSE)</f>
        <v>0</v>
      </c>
      <c r="M635" s="163">
        <f>VLOOKUP(B635,[1]weeks!$B$5:$BO$44,35,FALSE)-VLOOKUP(B635,[1]weeks!$B$55:$BO$94,35,FALSE)</f>
        <v>0</v>
      </c>
      <c r="N635" s="163">
        <f t="shared" si="293"/>
        <v>0</v>
      </c>
      <c r="O635" s="163">
        <f t="shared" si="294"/>
        <v>0</v>
      </c>
      <c r="P635" s="146" t="str">
        <f>IF(ISNUMBER(VLOOKUP(B635,[1]Closures!B:BI,32,FALSE)),TEXT(VLOOKUP(B635,[1]Closures!B:BI,32,FALSE),"ddmmm"),IF(C635&lt;=0,0,IF(I635&lt;=0,0,IF(AND(C635&gt;0,O635&lt;=0),"&gt;52",IF(I635/O635&gt;52,"&gt;52", MAX(0,I635/O635-2))))))</f>
        <v>&gt;52</v>
      </c>
      <c r="S635" s="130"/>
    </row>
    <row r="636" spans="1:19" ht="10.7" customHeight="1" x14ac:dyDescent="0.2">
      <c r="A636" s="122"/>
      <c r="B636" s="174" t="s">
        <v>142</v>
      </c>
      <c r="C636" s="162"/>
      <c r="D636" s="163">
        <f>F636-VLOOKUP(B636,[1]Quota!$B$32:$BJ$43,33,FALSE)</f>
        <v>0</v>
      </c>
      <c r="E636" s="163"/>
      <c r="F636" s="164">
        <f>VLOOKUP(B636,[1]Quota!$B$81:$BJ$92,33,FALSE)</f>
        <v>0</v>
      </c>
      <c r="G636" s="163"/>
      <c r="H636" s="165" t="str">
        <f>IF(AND(F636&lt;=0),"n/a",IF(F636=0,0,100*G636/F636))</f>
        <v>n/a</v>
      </c>
      <c r="I636" s="164">
        <f>F636-G636</f>
        <v>0</v>
      </c>
      <c r="J636" s="163"/>
      <c r="K636" s="163"/>
      <c r="L636" s="163"/>
      <c r="M636" s="163"/>
      <c r="N636" s="163"/>
      <c r="O636" s="163"/>
      <c r="P636" s="146"/>
      <c r="S636" s="130"/>
    </row>
    <row r="637" spans="1:19" ht="10.7" customHeight="1" x14ac:dyDescent="0.2">
      <c r="A637" s="122"/>
      <c r="B637" s="168" t="s">
        <v>143</v>
      </c>
      <c r="C637" s="162">
        <f>SUM(C632:C636)</f>
        <v>4.8999999999999995</v>
      </c>
      <c r="D637" s="163">
        <f>SUM(D632:D636)</f>
        <v>0</v>
      </c>
      <c r="E637" s="163">
        <f t="shared" si="291"/>
        <v>0</v>
      </c>
      <c r="F637" s="217">
        <f t="shared" ref="F637:G637" si="298">SUM(F632:F636)</f>
        <v>4.8999999999999995</v>
      </c>
      <c r="G637" s="173">
        <f t="shared" si="298"/>
        <v>2E-3</v>
      </c>
      <c r="H637" s="165">
        <f t="shared" si="290"/>
        <v>4.0816326530612249E-2</v>
      </c>
      <c r="I637" s="164">
        <f t="shared" si="297"/>
        <v>4.8979999999999997</v>
      </c>
      <c r="J637" s="163">
        <f t="shared" ref="J637:L637" si="299">SUM(J632:J635)</f>
        <v>0</v>
      </c>
      <c r="K637" s="163">
        <f t="shared" si="299"/>
        <v>2E-3</v>
      </c>
      <c r="L637" s="163">
        <f t="shared" si="299"/>
        <v>0</v>
      </c>
      <c r="M637" s="163">
        <f>SUM(M632:M635)</f>
        <v>0</v>
      </c>
      <c r="N637" s="163">
        <f t="shared" si="293"/>
        <v>0</v>
      </c>
      <c r="O637" s="163">
        <f>SUM(J637:M637)/4</f>
        <v>5.0000000000000001E-4</v>
      </c>
      <c r="P637" s="146" t="str">
        <f>IF(ISNUMBER(VLOOKUP(B637,[1]Closures!B:BI,32,FALSE)),TEXT(VLOOKUP(B637,[1]Closures!B:BI,32,FALSE),"ddmmm"),IF(C637&lt;=0,0,IF(I637&lt;=0,0,IF(AND(C637&gt;0,O637&lt;=0),"&gt;52",IF(I637/O637&gt;52,"&gt;52", MAX(0,I637/O637-2))))))</f>
        <v>&gt;52</v>
      </c>
      <c r="S637" s="130"/>
    </row>
    <row r="638" spans="1:19" ht="10.7" customHeight="1" x14ac:dyDescent="0.2">
      <c r="A638" s="122"/>
      <c r="B638" s="168"/>
      <c r="C638" s="162"/>
      <c r="D638" s="163"/>
      <c r="E638" s="163"/>
      <c r="F638" s="164"/>
      <c r="G638" s="163"/>
      <c r="H638" s="165"/>
      <c r="I638" s="164"/>
      <c r="J638" s="163"/>
      <c r="K638" s="163"/>
      <c r="L638" s="163"/>
      <c r="M638" s="163"/>
      <c r="N638" s="163"/>
      <c r="O638" s="163"/>
      <c r="P638" s="146"/>
      <c r="S638" s="130"/>
    </row>
    <row r="639" spans="1:19" ht="10.7" customHeight="1" x14ac:dyDescent="0.2">
      <c r="A639" s="122"/>
      <c r="B639" s="175" t="s">
        <v>112</v>
      </c>
      <c r="C639" s="176">
        <f>C637+C630</f>
        <v>5.0999999999999996</v>
      </c>
      <c r="D639" s="180">
        <f>D637+D630</f>
        <v>0</v>
      </c>
      <c r="E639" s="180">
        <f t="shared" si="291"/>
        <v>0</v>
      </c>
      <c r="F639" s="189">
        <f>F637+F630</f>
        <v>5.0999999999999996</v>
      </c>
      <c r="G639" s="180">
        <f>G637+G630</f>
        <v>2E-3</v>
      </c>
      <c r="H639" s="179">
        <f t="shared" si="290"/>
        <v>3.921568627450981E-2</v>
      </c>
      <c r="I639" s="218">
        <f t="shared" si="297"/>
        <v>5.0979999999999999</v>
      </c>
      <c r="J639" s="180">
        <f t="shared" ref="J639:L639" si="300">J630+J637</f>
        <v>0</v>
      </c>
      <c r="K639" s="180">
        <f t="shared" si="300"/>
        <v>2E-3</v>
      </c>
      <c r="L639" s="180">
        <f t="shared" si="300"/>
        <v>0</v>
      </c>
      <c r="M639" s="180">
        <f>M630+M637</f>
        <v>0</v>
      </c>
      <c r="N639" s="180">
        <f t="shared" si="293"/>
        <v>0</v>
      </c>
      <c r="O639" s="180">
        <f>SUM(J639:M639)/4</f>
        <v>5.0000000000000001E-4</v>
      </c>
      <c r="P639" s="153" t="str">
        <f>IF(ISNUMBER(VLOOKUP(B639,[1]Closures!B:BI,32,FALSE)),TEXT(VLOOKUP(B639,[1]Closures!B:BI,32,FALSE),"ddmmm"),IF(C639&lt;=0,0,IF(I639&lt;=0,0,IF(AND(C639&gt;0,O639&lt;=0),"&gt;52",IF(I639/O639&gt;52,"&gt;52", MAX(0,I639/O639-2))))))</f>
        <v>&gt;52</v>
      </c>
      <c r="S639" s="130"/>
    </row>
    <row r="640" spans="1:19" ht="10.5" customHeight="1" x14ac:dyDescent="0.2">
      <c r="A640" s="122"/>
      <c r="B640" s="191"/>
      <c r="C640" s="181"/>
      <c r="D640" s="163"/>
      <c r="E640" s="163"/>
      <c r="F640" s="164"/>
      <c r="G640" s="163"/>
      <c r="H640" s="2"/>
      <c r="I640" s="164"/>
      <c r="J640" s="163"/>
      <c r="K640" s="163"/>
      <c r="L640" s="163"/>
      <c r="M640" s="163"/>
      <c r="N640" s="163"/>
      <c r="O640" s="163"/>
      <c r="P640" s="182"/>
      <c r="S640" s="130"/>
    </row>
    <row r="641" spans="1:19" ht="10.7" customHeight="1" x14ac:dyDescent="0.2">
      <c r="A641" s="122"/>
      <c r="B641" s="181"/>
      <c r="C641" s="181"/>
      <c r="D641" s="183"/>
      <c r="E641" s="183"/>
      <c r="F641" s="184"/>
      <c r="G641" s="183"/>
      <c r="H641" s="163"/>
      <c r="I641" s="184"/>
      <c r="J641" s="185"/>
      <c r="K641" s="185"/>
      <c r="L641" s="185"/>
      <c r="M641" s="185"/>
      <c r="N641" s="173"/>
      <c r="O641" s="183"/>
      <c r="P641" s="182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202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tr">
        <f>C5</f>
        <v>Initial Quota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203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203" t="s">
        <v>74</v>
      </c>
      <c r="I644" s="147" t="s">
        <v>75</v>
      </c>
      <c r="J644" s="151">
        <f>[1]weeks!$B$154</f>
        <v>43166</v>
      </c>
      <c r="K644" s="151">
        <f>[1]weeks!$B$105</f>
        <v>43173</v>
      </c>
      <c r="L644" s="151">
        <f>[1]weeks!$B$55</f>
        <v>43180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204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6"/>
      <c r="C646" s="214" t="s">
        <v>181</v>
      </c>
      <c r="D646" s="214"/>
      <c r="E646" s="214"/>
      <c r="F646" s="214"/>
      <c r="G646" s="214"/>
      <c r="H646" s="214"/>
      <c r="I646" s="214"/>
      <c r="J646" s="214"/>
      <c r="K646" s="214"/>
      <c r="L646" s="214"/>
      <c r="M646" s="214"/>
      <c r="N646" s="214"/>
      <c r="O646" s="215"/>
      <c r="P646" s="145"/>
      <c r="S646" s="130"/>
    </row>
    <row r="647" spans="1:19" ht="10.7" customHeight="1" x14ac:dyDescent="0.2">
      <c r="A647" s="122"/>
      <c r="B647" s="161" t="s">
        <v>132</v>
      </c>
      <c r="C647" s="162">
        <f>'[2]IV&amp;VI Combined'!$AE$29</f>
        <v>0</v>
      </c>
      <c r="D647" s="163">
        <f>F647-VLOOKUP(B647,[1]Quota!$B$32:$BJ$43,34,FALSE)</f>
        <v>0</v>
      </c>
      <c r="E647" s="163">
        <f>F647-C647</f>
        <v>0</v>
      </c>
      <c r="F647" s="164">
        <f>VLOOKUP(B647,[1]Quota!$B$81:$BJ$92,34,FALSE)</f>
        <v>0</v>
      </c>
      <c r="G647" s="163">
        <f>'[1]Cumulative '!AK221</f>
        <v>0</v>
      </c>
      <c r="H647" s="165" t="str">
        <f t="shared" ref="H647:H661" si="301">IF(AND(F647&lt;=0),"n/a",IF(F647=0,0,100*G647/F647))</f>
        <v>n/a</v>
      </c>
      <c r="I647" s="164">
        <f>F647-G647</f>
        <v>0</v>
      </c>
      <c r="J647" s="163">
        <f>VLOOKUP(B647,[1]weeks!$B$156:$BO$193,36,FALSE)-VLOOKUP(B647,[1]weeks!$B$206:$BO$243,36,FALSE)</f>
        <v>0</v>
      </c>
      <c r="K647" s="163">
        <f>VLOOKUP(B647,[1]weeks!$B$107:$BO$144,36,FALSE)-VLOOKUP(B647,[1]weeks!$B$156:$BO$193,36,FALSE)</f>
        <v>0</v>
      </c>
      <c r="L647" s="163">
        <f>VLOOKUP(B647,[1]weeks!$B$55:$BO$94,36,FALSE)-VLOOKUP(B647,[1]weeks!$B$107:$BO$144,36,FALSE)</f>
        <v>0</v>
      </c>
      <c r="M647" s="163">
        <f>VLOOKUP(B647,[1]weeks!$B$5:$BO$44,36,FALSE)-VLOOKUP(B647,[1]weeks!$B$55:$BO$94,36,FALSE)</f>
        <v>0</v>
      </c>
      <c r="N647" s="163" t="str">
        <f>IF(F647&gt;0,M647/F647*100,"-")</f>
        <v>-</v>
      </c>
      <c r="O647" s="163">
        <f>SUM(J647:M647)/4</f>
        <v>0</v>
      </c>
      <c r="P647" s="146">
        <f>IF(ISNUMBER(VLOOKUP(B647,[1]Closures!B:BI,33,FALSE)),TEXT(VLOOKUP(B647,[1]Closures!B:BI,33,FALSE),"ddmmm"),IF(C647&lt;=0,0,IF(I647&lt;=0,0,IF(AND(C647&gt;0,O647&lt;=0),"&gt;52",IF(I647/O647&gt;52,"&gt;52", MAX(0,I647/O647-2))))))</f>
        <v>0</v>
      </c>
      <c r="S647" s="130"/>
    </row>
    <row r="648" spans="1:19" ht="10.7" customHeight="1" x14ac:dyDescent="0.2">
      <c r="A648" s="122"/>
      <c r="B648" s="161" t="s">
        <v>133</v>
      </c>
      <c r="C648" s="162">
        <f>'[2]IV&amp;VI Combined'!$AE$30</f>
        <v>0</v>
      </c>
      <c r="D648" s="163">
        <f>F648-VLOOKUP(B648,[1]Quota!$B$32:$BJ$43,34,FALSE)</f>
        <v>0</v>
      </c>
      <c r="E648" s="163">
        <f t="shared" ref="E648:E661" si="302">F648-C648</f>
        <v>0</v>
      </c>
      <c r="F648" s="164">
        <f>VLOOKUP(B648,[1]Quota!$B$81:$BJ$92,34,FALSE)</f>
        <v>0</v>
      </c>
      <c r="G648" s="163">
        <f>'[1]Cumulative '!AK222</f>
        <v>0</v>
      </c>
      <c r="H648" s="165" t="str">
        <f t="shared" si="301"/>
        <v>n/a</v>
      </c>
      <c r="I648" s="164">
        <f t="shared" ref="I648:I651" si="303">F648-G648</f>
        <v>0</v>
      </c>
      <c r="J648" s="163">
        <f>VLOOKUP(B648,[1]weeks!$B$156:$BO$193,36,FALSE)-VLOOKUP(B648,[1]weeks!$B$206:$BO$243,36,FALSE)</f>
        <v>0</v>
      </c>
      <c r="K648" s="163">
        <f>VLOOKUP(B648,[1]weeks!$B$107:$BO$144,36,FALSE)-VLOOKUP(B648,[1]weeks!$B$156:$BO$193,36,FALSE)</f>
        <v>0</v>
      </c>
      <c r="L648" s="163">
        <f>VLOOKUP(B648,[1]weeks!$B$55:$BO$94,36,FALSE)-VLOOKUP(B648,[1]weeks!$B$107:$BO$144,36,FALSE)</f>
        <v>0</v>
      </c>
      <c r="M648" s="163">
        <f>VLOOKUP(B648,[1]weeks!$B$5:$BO$44,36,FALSE)-VLOOKUP(B648,[1]weeks!$B$55:$BO$94,36,FALSE)</f>
        <v>0</v>
      </c>
      <c r="N648" s="163" t="str">
        <f t="shared" ref="N648:N661" si="304">IF(F648&gt;0,M648/F648*100,"-")</f>
        <v>-</v>
      </c>
      <c r="O648" s="163">
        <f>SUM(J648:M648)/4</f>
        <v>0</v>
      </c>
      <c r="P648" s="146">
        <f>IF(ISNUMBER(VLOOKUP(B648,[1]Closures!B:BI,33,FALSE)),TEXT(VLOOKUP(B648,[1]Closures!B:BI,33,FALSE),"ddmmm"),IF(C648&lt;=0,0,IF(I648&lt;=0,0,IF(AND(C648&gt;0,O648&lt;=0),"&gt;52",IF(I648/O648&gt;52,"&gt;52", MAX(0,I648/O648-2))))))</f>
        <v>0</v>
      </c>
      <c r="S648" s="130"/>
    </row>
    <row r="649" spans="1:19" ht="10.7" customHeight="1" x14ac:dyDescent="0.2">
      <c r="A649" s="122"/>
      <c r="B649" s="161" t="s">
        <v>134</v>
      </c>
      <c r="C649" s="162">
        <f>'[2]IV&amp;VI Combined'!$AE$31</f>
        <v>0</v>
      </c>
      <c r="D649" s="163">
        <f>F649-VLOOKUP(B649,[1]Quota!$B$32:$BJ$43,34,FALSE)</f>
        <v>0</v>
      </c>
      <c r="E649" s="163">
        <f t="shared" si="302"/>
        <v>0</v>
      </c>
      <c r="F649" s="164">
        <f>VLOOKUP(B649,[1]Quota!$B$81:$BJ$92,34,FALSE)</f>
        <v>0</v>
      </c>
      <c r="G649" s="163">
        <f>'[1]Cumulative '!AK223</f>
        <v>0</v>
      </c>
      <c r="H649" s="165" t="str">
        <f t="shared" si="301"/>
        <v>n/a</v>
      </c>
      <c r="I649" s="164">
        <f t="shared" si="303"/>
        <v>0</v>
      </c>
      <c r="J649" s="163">
        <f>VLOOKUP(B649,[1]weeks!$B$156:$BO$193,36,FALSE)-VLOOKUP(B649,[1]weeks!$B$206:$BO$243,36,FALSE)</f>
        <v>0</v>
      </c>
      <c r="K649" s="163">
        <f>VLOOKUP(B649,[1]weeks!$B$107:$BO$144,36,FALSE)-VLOOKUP(B649,[1]weeks!$B$156:$BO$193,36,FALSE)</f>
        <v>0</v>
      </c>
      <c r="L649" s="163">
        <f>VLOOKUP(B649,[1]weeks!$B$55:$BO$94,36,FALSE)-VLOOKUP(B649,[1]weeks!$B$107:$BO$144,36,FALSE)</f>
        <v>0</v>
      </c>
      <c r="M649" s="163">
        <f>VLOOKUP(B649,[1]weeks!$B$5:$BO$44,36,FALSE)-VLOOKUP(B649,[1]weeks!$B$55:$BO$94,36,FALSE)</f>
        <v>0</v>
      </c>
      <c r="N649" s="163" t="str">
        <f t="shared" si="304"/>
        <v>-</v>
      </c>
      <c r="O649" s="163">
        <f>SUM(J649:M649)/4</f>
        <v>0</v>
      </c>
      <c r="P649" s="146">
        <f>IF(ISNUMBER(VLOOKUP(B649,[1]Closures!B:BI,33,FALSE)),TEXT(VLOOKUP(B649,[1]Closures!B:BI,33,FALSE),"ddmmm"),IF(C649&lt;=0,0,IF(I649&lt;=0,0,IF(AND(C649&gt;0,O649&lt;=0),"&gt;52",IF(I649/O649&gt;52,"&gt;52", MAX(0,I649/O649-2))))))</f>
        <v>0</v>
      </c>
      <c r="S649" s="130"/>
    </row>
    <row r="650" spans="1:19" ht="10.7" customHeight="1" x14ac:dyDescent="0.2">
      <c r="A650" s="122"/>
      <c r="B650" s="161" t="s">
        <v>135</v>
      </c>
      <c r="C650" s="162">
        <f>'[2]IV&amp;VI Combined'!$AE$32</f>
        <v>0</v>
      </c>
      <c r="D650" s="163">
        <f>F650-VLOOKUP(B650,[1]Quota!$B$32:$BJ$43,34,FALSE)</f>
        <v>0</v>
      </c>
      <c r="E650" s="163">
        <f t="shared" si="302"/>
        <v>0</v>
      </c>
      <c r="F650" s="164">
        <f>VLOOKUP(B650,[1]Quota!$B$81:$BJ$92,34,FALSE)</f>
        <v>0</v>
      </c>
      <c r="G650" s="163">
        <f>'[1]Cumulative '!AK224</f>
        <v>0</v>
      </c>
      <c r="H650" s="165" t="str">
        <f t="shared" si="301"/>
        <v>n/a</v>
      </c>
      <c r="I650" s="164">
        <f t="shared" si="303"/>
        <v>0</v>
      </c>
      <c r="J650" s="163">
        <f>VLOOKUP(B650,[1]weeks!$B$156:$BO$193,36,FALSE)-VLOOKUP(B650,[1]weeks!$B$206:$BO$243,36,FALSE)</f>
        <v>0</v>
      </c>
      <c r="K650" s="163">
        <f>VLOOKUP(B650,[1]weeks!$B$107:$BO$144,36,FALSE)-VLOOKUP(B650,[1]weeks!$B$156:$BO$193,36,FALSE)</f>
        <v>0</v>
      </c>
      <c r="L650" s="163">
        <f>VLOOKUP(B650,[1]weeks!$B$55:$BO$94,36,FALSE)-VLOOKUP(B650,[1]weeks!$B$107:$BO$144,36,FALSE)</f>
        <v>0</v>
      </c>
      <c r="M650" s="163">
        <f>VLOOKUP(B650,[1]weeks!$B$5:$BO$44,36,FALSE)-VLOOKUP(B650,[1]weeks!$B$55:$BO$94,36,FALSE)</f>
        <v>0</v>
      </c>
      <c r="N650" s="163" t="str">
        <f t="shared" si="304"/>
        <v>-</v>
      </c>
      <c r="O650" s="163">
        <f>SUM(J650:M650)/4</f>
        <v>0</v>
      </c>
      <c r="P650" s="146">
        <f>IF(ISNUMBER(VLOOKUP(B650,[1]Closures!B:BI,33,FALSE)),TEXT(VLOOKUP(B650,[1]Closures!B:BI,33,FALSE),"ddmmm"),IF(C650&lt;=0,0,IF(I650&lt;=0,0,IF(AND(C650&gt;0,O650&lt;=0),"&gt;52",IF(I650/O650&gt;52,"&gt;52", MAX(0,I650/O650-2))))))</f>
        <v>0</v>
      </c>
      <c r="S650" s="130"/>
    </row>
    <row r="651" spans="1:19" ht="10.7" customHeight="1" x14ac:dyDescent="0.2">
      <c r="A651" s="122"/>
      <c r="B651" s="161" t="s">
        <v>136</v>
      </c>
      <c r="C651" s="162"/>
      <c r="D651" s="163">
        <f>F651-VLOOKUP(B651,[1]Quota!$B$32:$BJ$43,34,FALSE)</f>
        <v>0</v>
      </c>
      <c r="E651" s="163"/>
      <c r="F651" s="164">
        <f>VLOOKUP(B651,[1]Quota!$B$81:$BJ$92,34,FALSE)</f>
        <v>0</v>
      </c>
      <c r="G651" s="163"/>
      <c r="H651" s="165" t="str">
        <f t="shared" si="301"/>
        <v>n/a</v>
      </c>
      <c r="I651" s="164">
        <f t="shared" si="303"/>
        <v>0</v>
      </c>
      <c r="J651" s="163"/>
      <c r="K651" s="163"/>
      <c r="L651" s="163"/>
      <c r="M651" s="163"/>
      <c r="N651" s="163"/>
      <c r="O651" s="163"/>
      <c r="P651" s="146"/>
      <c r="S651" s="130"/>
    </row>
    <row r="652" spans="1:19" ht="10.7" customHeight="1" x14ac:dyDescent="0.2">
      <c r="A652" s="122"/>
      <c r="B652" s="168" t="s">
        <v>137</v>
      </c>
      <c r="C652" s="162">
        <f>SUM(C647:C650)</f>
        <v>0</v>
      </c>
      <c r="D652" s="163">
        <f>SUM(D647:D650)</f>
        <v>0</v>
      </c>
      <c r="E652" s="163">
        <f t="shared" si="302"/>
        <v>0</v>
      </c>
      <c r="F652" s="217">
        <f t="shared" ref="F652" si="305">SUM(F647:F650)</f>
        <v>0</v>
      </c>
      <c r="G652" s="163">
        <f>SUM(G647:G650)</f>
        <v>0</v>
      </c>
      <c r="H652" s="165" t="str">
        <f t="shared" si="301"/>
        <v>n/a</v>
      </c>
      <c r="I652" s="217">
        <f t="shared" ref="I652:L652" si="306">SUM(I647:I650)</f>
        <v>0</v>
      </c>
      <c r="J652" s="163">
        <f t="shared" si="306"/>
        <v>0</v>
      </c>
      <c r="K652" s="163">
        <f t="shared" si="306"/>
        <v>0</v>
      </c>
      <c r="L652" s="163">
        <f t="shared" si="306"/>
        <v>0</v>
      </c>
      <c r="M652" s="163">
        <f>SUM(M647:M650)</f>
        <v>0</v>
      </c>
      <c r="N652" s="163" t="str">
        <f t="shared" si="304"/>
        <v>-</v>
      </c>
      <c r="O652" s="163">
        <f>SUM(J652:M652)/4</f>
        <v>0</v>
      </c>
      <c r="P652" s="146">
        <f>IF(ISNUMBER(VLOOKUP(B652,[1]Closures!B:BI,33,FALSE)),TEXT(VLOOKUP(B652,[1]Closures!B:BI,33,FALSE),"ddmmm"),IF(C652&lt;=0,0,IF(I652&lt;=0,0,IF(AND(C652&gt;0,O652&lt;=0),"&gt;52",IF(I652/O652&gt;52,"&gt;52", MAX(0,I652/O652-2))))))</f>
        <v>0</v>
      </c>
      <c r="S652" s="130"/>
    </row>
    <row r="653" spans="1:19" ht="10.7" customHeight="1" x14ac:dyDescent="0.2">
      <c r="A653" s="122"/>
      <c r="B653" s="168"/>
      <c r="C653" s="162"/>
      <c r="D653" s="163"/>
      <c r="E653" s="163"/>
      <c r="F653" s="164"/>
      <c r="G653" s="163"/>
      <c r="H653" s="165"/>
      <c r="I653" s="164"/>
      <c r="J653" s="163"/>
      <c r="K653" s="163"/>
      <c r="L653" s="163"/>
      <c r="M653" s="163"/>
      <c r="N653" s="163" t="str">
        <f t="shared" si="304"/>
        <v>-</v>
      </c>
      <c r="O653" s="163"/>
      <c r="P653" s="146"/>
      <c r="S653" s="130"/>
    </row>
    <row r="654" spans="1:19" ht="10.7" customHeight="1" x14ac:dyDescent="0.2">
      <c r="A654" s="122"/>
      <c r="B654" s="174" t="s">
        <v>138</v>
      </c>
      <c r="C654" s="162">
        <f>'[2]IV&amp;VI Combined'!$AE$36</f>
        <v>0</v>
      </c>
      <c r="D654" s="163">
        <f>F654-VLOOKUP(B654,[1]Quota!$B$32:$BJ$43,34,FALSE)</f>
        <v>0</v>
      </c>
      <c r="E654" s="163">
        <f t="shared" si="302"/>
        <v>0</v>
      </c>
      <c r="F654" s="164">
        <f>VLOOKUP(B654,[1]Quota!$B$81:$BJ$92,34,FALSE)</f>
        <v>0</v>
      </c>
      <c r="G654" s="163">
        <f>'[1]Cumulative '!AK228</f>
        <v>0</v>
      </c>
      <c r="H654" s="165" t="str">
        <f t="shared" si="301"/>
        <v>n/a</v>
      </c>
      <c r="I654" s="164">
        <f t="shared" ref="I654:I661" si="307">F654-G654</f>
        <v>0</v>
      </c>
      <c r="J654" s="163">
        <f>VLOOKUP(B654,[1]weeks!$B$156:$BO$193,36,FALSE)-VLOOKUP(B654,[1]weeks!$B$206:$BO$243,36,FALSE)</f>
        <v>0</v>
      </c>
      <c r="K654" s="163">
        <f>VLOOKUP(B654,[1]weeks!$B$107:$BO$144,36,FALSE)-VLOOKUP(B654,[1]weeks!$B$156:$BO$193,36,FALSE)</f>
        <v>0</v>
      </c>
      <c r="L654" s="163">
        <f>VLOOKUP(B654,[1]weeks!$B$55:$BO$94,36,FALSE)-VLOOKUP(B654,[1]weeks!$B$107:$BO$144,36,FALSE)</f>
        <v>0</v>
      </c>
      <c r="M654" s="163">
        <f>VLOOKUP(B654,[1]weeks!$B$5:$BO$44,36,FALSE)-VLOOKUP(B654,[1]weeks!$B$55:$BO$94,36,FALSE)</f>
        <v>0</v>
      </c>
      <c r="N654" s="163" t="str">
        <f t="shared" si="304"/>
        <v>-</v>
      </c>
      <c r="O654" s="163">
        <f>SUM(J654:M654)/4</f>
        <v>0</v>
      </c>
      <c r="P654" s="146">
        <f>IF(ISNUMBER(VLOOKUP(B654,[1]Closures!B:BI,33,FALSE)),TEXT(VLOOKUP(B654,[1]Closures!B:BI,33,FALSE),"ddmmm"),IF(C654&lt;=0,0,IF(I654&lt;=0,0,IF(AND(C654&gt;0,O654&lt;=0),"&gt;52",IF(I654/O654&gt;52,"&gt;52", MAX(0,I654/O654-2))))))</f>
        <v>0</v>
      </c>
      <c r="S654" s="130"/>
    </row>
    <row r="655" spans="1:19" ht="10.7" customHeight="1" x14ac:dyDescent="0.2">
      <c r="A655" s="122"/>
      <c r="B655" s="174" t="s">
        <v>139</v>
      </c>
      <c r="C655" s="162">
        <f>'[2]IV&amp;VI Combined'!$AE$37</f>
        <v>0</v>
      </c>
      <c r="D655" s="163">
        <f>F655-VLOOKUP(B655,[1]Quota!$B$32:$BJ$43,34,FALSE)</f>
        <v>0</v>
      </c>
      <c r="E655" s="163">
        <f t="shared" si="302"/>
        <v>0</v>
      </c>
      <c r="F655" s="164">
        <f>VLOOKUP(B655,[1]Quota!$B$81:$BJ$92,34,FALSE)</f>
        <v>0</v>
      </c>
      <c r="G655" s="163">
        <f>'[1]Cumulative '!AK229</f>
        <v>0</v>
      </c>
      <c r="H655" s="165" t="str">
        <f t="shared" si="301"/>
        <v>n/a</v>
      </c>
      <c r="I655" s="164">
        <f t="shared" si="307"/>
        <v>0</v>
      </c>
      <c r="J655" s="163">
        <f>VLOOKUP(B655,[1]weeks!$B$156:$BO$193,36,FALSE)-VLOOKUP(B655,[1]weeks!$B$206:$BO$243,36,FALSE)</f>
        <v>0</v>
      </c>
      <c r="K655" s="163">
        <f>VLOOKUP(B655,[1]weeks!$B$107:$BO$144,36,FALSE)-VLOOKUP(B655,[1]weeks!$B$156:$BO$193,36,FALSE)</f>
        <v>0</v>
      </c>
      <c r="L655" s="163">
        <f>VLOOKUP(B655,[1]weeks!$B$55:$BO$94,36,FALSE)-VLOOKUP(B655,[1]weeks!$B$107:$BO$144,36,FALSE)</f>
        <v>0</v>
      </c>
      <c r="M655" s="163">
        <f>VLOOKUP(B655,[1]weeks!$B$5:$BO$44,36,FALSE)-VLOOKUP(B655,[1]weeks!$B$55:$BO$94,36,FALSE)</f>
        <v>0</v>
      </c>
      <c r="N655" s="163" t="str">
        <f t="shared" si="304"/>
        <v>-</v>
      </c>
      <c r="O655" s="163">
        <f t="shared" ref="O655:O657" si="308">SUM(J655:M655)/4</f>
        <v>0</v>
      </c>
      <c r="P655" s="146">
        <f>IF(ISNUMBER(VLOOKUP(B655,[1]Closures!B:BI,33,FALSE)),TEXT(VLOOKUP(B655,[1]Closures!B:BI,33,FALSE),"ddmmm"),IF(C655&lt;=0,0,IF(I655&lt;=0,0,IF(AND(C655&gt;0,O655&lt;=0),"&gt;52",IF(I655/O655&gt;52,"&gt;52", MAX(0,I655/O655-2))))))</f>
        <v>0</v>
      </c>
      <c r="S655" s="130"/>
    </row>
    <row r="656" spans="1:19" ht="10.7" customHeight="1" x14ac:dyDescent="0.2">
      <c r="A656" s="122"/>
      <c r="B656" s="174" t="s">
        <v>140</v>
      </c>
      <c r="C656" s="162">
        <f>'[2]IV&amp;VI Combined'!$AE$38</f>
        <v>0</v>
      </c>
      <c r="D656" s="163">
        <f>F656-VLOOKUP(B656,[1]Quota!$B$32:$BJ$43,34,FALSE)</f>
        <v>0</v>
      </c>
      <c r="E656" s="163">
        <f t="shared" si="302"/>
        <v>0</v>
      </c>
      <c r="F656" s="164">
        <f>VLOOKUP(B656,[1]Quota!$B$81:$BJ$92,34,FALSE)</f>
        <v>0</v>
      </c>
      <c r="G656" s="163">
        <f>'[1]Cumulative '!AK230</f>
        <v>0</v>
      </c>
      <c r="H656" s="165" t="str">
        <f t="shared" si="301"/>
        <v>n/a</v>
      </c>
      <c r="I656" s="164">
        <f t="shared" si="307"/>
        <v>0</v>
      </c>
      <c r="J656" s="163">
        <f>VLOOKUP(B656,[1]weeks!$B$156:$BO$193,36,FALSE)-VLOOKUP(B656,[1]weeks!$B$206:$BO$243,36,FALSE)</f>
        <v>0</v>
      </c>
      <c r="K656" s="163">
        <f>VLOOKUP(B656,[1]weeks!$B$107:$BO$144,36,FALSE)-VLOOKUP(B656,[1]weeks!$B$156:$BO$193,36,FALSE)</f>
        <v>0</v>
      </c>
      <c r="L656" s="163">
        <f>VLOOKUP(B656,[1]weeks!$B$55:$BO$94,36,FALSE)-VLOOKUP(B656,[1]weeks!$B$107:$BO$144,36,FALSE)</f>
        <v>0</v>
      </c>
      <c r="M656" s="163">
        <f>VLOOKUP(B656,[1]weeks!$B$5:$BO$44,36,FALSE)-VLOOKUP(B656,[1]weeks!$B$55:$BO$94,36,FALSE)</f>
        <v>0</v>
      </c>
      <c r="N656" s="163" t="str">
        <f t="shared" si="304"/>
        <v>-</v>
      </c>
      <c r="O656" s="163">
        <f t="shared" si="308"/>
        <v>0</v>
      </c>
      <c r="P656" s="146">
        <f>IF(ISNUMBER(VLOOKUP(B656,[1]Closures!B:BI,33,FALSE)),TEXT(VLOOKUP(B656,[1]Closures!B:BI,33,FALSE),"ddmmm"),IF(C656&lt;=0,0,IF(I656&lt;=0,0,IF(AND(C656&gt;0,O656&lt;=0),"&gt;52",IF(I656/O656&gt;52,"&gt;52", MAX(0,I656/O656-2))))))</f>
        <v>0</v>
      </c>
      <c r="S656" s="130"/>
    </row>
    <row r="657" spans="1:19" ht="10.7" customHeight="1" x14ac:dyDescent="0.2">
      <c r="A657" s="122"/>
      <c r="B657" s="174" t="s">
        <v>141</v>
      </c>
      <c r="C657" s="162">
        <f>'[2]IV&amp;VI Combined'!$AE$39</f>
        <v>0</v>
      </c>
      <c r="D657" s="163">
        <f>F657-VLOOKUP(B657,[1]Quota!$B$32:$BJ$43,34,FALSE)</f>
        <v>0</v>
      </c>
      <c r="E657" s="163">
        <f t="shared" si="302"/>
        <v>0</v>
      </c>
      <c r="F657" s="164">
        <f>VLOOKUP(B657,[1]Quota!$B$81:$BJ$92,34,FALSE)</f>
        <v>0</v>
      </c>
      <c r="G657" s="163">
        <f>'[1]Cumulative '!AK231</f>
        <v>0</v>
      </c>
      <c r="H657" s="165" t="str">
        <f>IF(AND(F657&lt;=0),"n/a",IF(F657=0,0,100*G657/F657))</f>
        <v>n/a</v>
      </c>
      <c r="I657" s="164">
        <f t="shared" si="307"/>
        <v>0</v>
      </c>
      <c r="J657" s="163">
        <f>VLOOKUP(B657,[1]weeks!$B$156:$BO$193,36,FALSE)-VLOOKUP(B657,[1]weeks!$B$206:$BO$243,36,FALSE)</f>
        <v>0</v>
      </c>
      <c r="K657" s="163">
        <f>VLOOKUP(B657,[1]weeks!$B$107:$BO$144,36,FALSE)-VLOOKUP(B657,[1]weeks!$B$156:$BO$193,36,FALSE)</f>
        <v>0</v>
      </c>
      <c r="L657" s="163">
        <f>VLOOKUP(B657,[1]weeks!$B$55:$BO$94,36,FALSE)-VLOOKUP(B657,[1]weeks!$B$107:$BO$144,36,FALSE)</f>
        <v>0</v>
      </c>
      <c r="M657" s="163">
        <f>VLOOKUP(B657,[1]weeks!$B$5:$BO$44,36,FALSE)-VLOOKUP(B657,[1]weeks!$B$55:$BO$94,36,FALSE)</f>
        <v>0</v>
      </c>
      <c r="N657" s="163" t="str">
        <f t="shared" si="304"/>
        <v>-</v>
      </c>
      <c r="O657" s="163">
        <f t="shared" si="308"/>
        <v>0</v>
      </c>
      <c r="P657" s="146">
        <f>IF(ISNUMBER(VLOOKUP(B657,[1]Closures!B:BI,33,FALSE)),TEXT(VLOOKUP(B657,[1]Closures!B:BI,33,FALSE),"ddmmm"),IF(C657&lt;=0,0,IF(I657&lt;=0,0,IF(AND(C657&gt;0,O657&lt;=0),"&gt;52",IF(I657/O657&gt;52,"&gt;52", MAX(0,I657/O657-2))))))</f>
        <v>0</v>
      </c>
      <c r="S657" s="130"/>
    </row>
    <row r="658" spans="1:19" ht="10.7" customHeight="1" x14ac:dyDescent="0.2">
      <c r="A658" s="122"/>
      <c r="B658" s="174" t="s">
        <v>142</v>
      </c>
      <c r="C658" s="162"/>
      <c r="D658" s="163">
        <f>F658-VLOOKUP(B658,[1]Quota!$B$32:$BJ$43,34,FALSE)</f>
        <v>0</v>
      </c>
      <c r="E658" s="163"/>
      <c r="F658" s="164">
        <f>VLOOKUP(B658,[1]Quota!$B$81:$BJ$92,34,FALSE)</f>
        <v>0</v>
      </c>
      <c r="G658" s="163"/>
      <c r="H658" s="165" t="str">
        <f>IF(AND(F658&lt;=0),"n/a",IF(F658=0,0,100*G658/F658))</f>
        <v>n/a</v>
      </c>
      <c r="I658" s="164">
        <f>F658-G658</f>
        <v>0</v>
      </c>
      <c r="J658" s="163"/>
      <c r="K658" s="163"/>
      <c r="L658" s="163"/>
      <c r="M658" s="163"/>
      <c r="N658" s="163"/>
      <c r="O658" s="163"/>
      <c r="P658" s="146"/>
      <c r="S658" s="130"/>
    </row>
    <row r="659" spans="1:19" ht="10.7" customHeight="1" x14ac:dyDescent="0.2">
      <c r="A659" s="122"/>
      <c r="B659" s="168" t="s">
        <v>143</v>
      </c>
      <c r="C659" s="162">
        <f>SUM(C654:C658)</f>
        <v>0</v>
      </c>
      <c r="D659" s="163">
        <f>SUM(D654:D658)</f>
        <v>0</v>
      </c>
      <c r="E659" s="163">
        <f t="shared" si="302"/>
        <v>0</v>
      </c>
      <c r="F659" s="217">
        <f t="shared" ref="F659:G659" si="309">SUM(F654:F658)</f>
        <v>0</v>
      </c>
      <c r="G659" s="173">
        <f t="shared" si="309"/>
        <v>0</v>
      </c>
      <c r="H659" s="165" t="str">
        <f t="shared" si="301"/>
        <v>n/a</v>
      </c>
      <c r="I659" s="164">
        <f t="shared" si="307"/>
        <v>0</v>
      </c>
      <c r="J659" s="163">
        <f t="shared" ref="J659:L659" si="310">SUM(J654:J657)</f>
        <v>0</v>
      </c>
      <c r="K659" s="163">
        <f t="shared" si="310"/>
        <v>0</v>
      </c>
      <c r="L659" s="163">
        <f t="shared" si="310"/>
        <v>0</v>
      </c>
      <c r="M659" s="163">
        <f>SUM(M654:M657)</f>
        <v>0</v>
      </c>
      <c r="N659" s="163" t="str">
        <f t="shared" si="304"/>
        <v>-</v>
      </c>
      <c r="O659" s="163">
        <f>SUM(J659:M659)/4</f>
        <v>0</v>
      </c>
      <c r="P659" s="146">
        <f>IF(ISNUMBER(VLOOKUP(B659,[1]Closures!B:BI,33,FALSE)),TEXT(VLOOKUP(B659,[1]Closures!B:BI,33,FALSE),"ddmmm"),IF(C659&lt;=0,0,IF(I659&lt;=0,0,IF(AND(C659&gt;0,O659&lt;=0),"&gt;52",IF(I659/O659&gt;52,"&gt;52", MAX(0,I659/O659-2))))))</f>
        <v>0</v>
      </c>
      <c r="S659" s="130"/>
    </row>
    <row r="660" spans="1:19" ht="10.7" customHeight="1" x14ac:dyDescent="0.2">
      <c r="A660" s="122"/>
      <c r="B660" s="168"/>
      <c r="C660" s="162"/>
      <c r="D660" s="163"/>
      <c r="E660" s="163"/>
      <c r="F660" s="164"/>
      <c r="G660" s="163"/>
      <c r="H660" s="165"/>
      <c r="I660" s="164"/>
      <c r="J660" s="163"/>
      <c r="K660" s="163"/>
      <c r="L660" s="163"/>
      <c r="M660" s="163"/>
      <c r="N660" s="163"/>
      <c r="O660" s="163"/>
      <c r="P660" s="146"/>
      <c r="S660" s="130"/>
    </row>
    <row r="661" spans="1:19" ht="10.7" customHeight="1" x14ac:dyDescent="0.2">
      <c r="A661" s="122"/>
      <c r="B661" s="175" t="s">
        <v>112</v>
      </c>
      <c r="C661" s="176">
        <f>C659+C652</f>
        <v>0</v>
      </c>
      <c r="D661" s="180">
        <f>D659+D652</f>
        <v>0</v>
      </c>
      <c r="E661" s="180">
        <f t="shared" si="302"/>
        <v>0</v>
      </c>
      <c r="F661" s="189">
        <f>F659+F652</f>
        <v>0</v>
      </c>
      <c r="G661" s="180">
        <f>G659+G652</f>
        <v>0</v>
      </c>
      <c r="H661" s="179" t="str">
        <f t="shared" si="301"/>
        <v>n/a</v>
      </c>
      <c r="I661" s="218">
        <f t="shared" si="307"/>
        <v>0</v>
      </c>
      <c r="J661" s="180">
        <f t="shared" ref="J661:L661" si="311">J652+J659</f>
        <v>0</v>
      </c>
      <c r="K661" s="180">
        <f t="shared" si="311"/>
        <v>0</v>
      </c>
      <c r="L661" s="180">
        <f t="shared" si="311"/>
        <v>0</v>
      </c>
      <c r="M661" s="180">
        <f>M652+M659</f>
        <v>0</v>
      </c>
      <c r="N661" s="180" t="str">
        <f t="shared" si="304"/>
        <v>-</v>
      </c>
      <c r="O661" s="180">
        <f>SUM(J661:M661)/4</f>
        <v>0</v>
      </c>
      <c r="P661" s="153">
        <f>IF(ISNUMBER(VLOOKUP(B661,[1]Closures!B:BI,33,FALSE)),TEXT(VLOOKUP(B661,[1]Closures!B:BI,33,FALSE),"ddmmm"),IF(C661&lt;=0,0,IF(I661&lt;=0,0,IF(AND(C661&gt;0,O661&lt;=0),"&gt;52",IF(I661/O661&gt;52,"&gt;52", MAX(0,I661/O661-2))))))</f>
        <v>0</v>
      </c>
      <c r="S661" s="130"/>
    </row>
    <row r="662" spans="1:19" ht="10.7" customHeight="1" x14ac:dyDescent="0.2">
      <c r="A662" s="122"/>
      <c r="B662" s="212"/>
      <c r="C662" s="173"/>
      <c r="D662" s="163"/>
      <c r="E662" s="163"/>
      <c r="F662" s="164"/>
      <c r="G662" s="163"/>
      <c r="H662" s="165"/>
      <c r="I662" s="164"/>
      <c r="J662" s="163"/>
      <c r="K662" s="163"/>
      <c r="L662" s="163"/>
      <c r="M662" s="163"/>
      <c r="N662" s="163"/>
      <c r="O662" s="163"/>
      <c r="P662" s="182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tr">
        <f>C5</f>
        <v>Initial Quota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f>[1]weeks!$B$154</f>
        <v>43166</v>
      </c>
      <c r="K666" s="151">
        <f>[1]weeks!$B$105</f>
        <v>43173</v>
      </c>
      <c r="L666" s="151">
        <f>[1]weeks!$B$55</f>
        <v>43180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6"/>
      <c r="C668" s="187" t="s">
        <v>117</v>
      </c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95"/>
      <c r="P668" s="145"/>
      <c r="S668" s="130"/>
    </row>
    <row r="669" spans="1:19" ht="10.7" customHeight="1" x14ac:dyDescent="0.2">
      <c r="A669" s="122"/>
      <c r="B669" s="161" t="s">
        <v>132</v>
      </c>
      <c r="C669" s="162">
        <f>'[2]DSS Combined'!$J$29</f>
        <v>0</v>
      </c>
      <c r="D669" s="163">
        <f>F669-VLOOKUP(B669,[1]Quota!$B$32:$BJ$43,59,FALSE)</f>
        <v>0</v>
      </c>
      <c r="E669" s="163">
        <f>F669-C669</f>
        <v>0</v>
      </c>
      <c r="F669" s="164">
        <f>VLOOKUP(B669,[1]Quota!$B$81:$BJ$92,59,FALSE)</f>
        <v>0</v>
      </c>
      <c r="G669" s="163">
        <f>'[1]Cumulative '!BL221</f>
        <v>0</v>
      </c>
      <c r="H669" s="165" t="str">
        <f t="shared" ref="H669:H683" si="312">IF(AND(F669&lt;=0),"n/a",IF(F669=0,0,100*G669/F669))</f>
        <v>n/a</v>
      </c>
      <c r="I669" s="164">
        <f>F669-G669</f>
        <v>0</v>
      </c>
      <c r="J669" s="163">
        <f>VLOOKUP(B669,[1]weeks!$B$156:$BO$193,63,FALSE)-VLOOKUP(B669,[1]weeks!$B$206:$BO$243,63,FALSE)</f>
        <v>0</v>
      </c>
      <c r="K669" s="163">
        <f>VLOOKUP(B669,[1]weeks!$B$107:$BO$144,63,FALSE)-VLOOKUP(B669,[1]weeks!$B$156:$BO$193,63,FALSE)</f>
        <v>0</v>
      </c>
      <c r="L669" s="163">
        <f>VLOOKUP(B669,[1]weeks!$B$55:$BO$94,63,FALSE)-VLOOKUP(B669,[1]weeks!$B$107:$BO$144,63,FALSE)</f>
        <v>0</v>
      </c>
      <c r="M669" s="163">
        <f>VLOOKUP(B669,[1]weeks!$B$5:$BO$44,63,FALSE)-VLOOKUP(B669,[1]weeks!$B$55:$BO$94,63,FALSE)</f>
        <v>0</v>
      </c>
      <c r="N669" s="163" t="str">
        <f>IF(F669&gt;0,M669/F669*100,"-")</f>
        <v>-</v>
      </c>
      <c r="O669" s="163">
        <f>SUM(J669:M669)/4</f>
        <v>0</v>
      </c>
      <c r="P669" s="146">
        <f>IF(ISNUMBER(VLOOKUP(B669,[1]Closures!B:BI,59,FALSE)),TEXT(VLOOKUP(B669,[1]Closures!B:BI,59,FALSE),"ddmmm"),IF(C669&lt;=0,0,IF(I669&lt;=0,0,IF(AND(C669&gt;0,O669&lt;=0),"&gt;52",IF(I669/O669&gt;52,"&gt;52", MAX(0,I669/O669-2))))))</f>
        <v>0</v>
      </c>
      <c r="S669" s="130"/>
    </row>
    <row r="670" spans="1:19" ht="10.7" customHeight="1" x14ac:dyDescent="0.2">
      <c r="A670" s="122"/>
      <c r="B670" s="161" t="s">
        <v>133</v>
      </c>
      <c r="C670" s="162">
        <f>'[2]DSS Combined'!$J$30</f>
        <v>0</v>
      </c>
      <c r="D670" s="163">
        <f>F670-VLOOKUP(B670,[1]Quota!$B$32:$BJ$43,59,FALSE)</f>
        <v>0</v>
      </c>
      <c r="E670" s="163">
        <f t="shared" ref="E670:E683" si="313">F670-C670</f>
        <v>0</v>
      </c>
      <c r="F670" s="164">
        <f>VLOOKUP(B670,[1]Quota!$B$81:$BJ$92,59,FALSE)</f>
        <v>0</v>
      </c>
      <c r="G670" s="163">
        <f>'[1]Cumulative '!BL222</f>
        <v>0</v>
      </c>
      <c r="H670" s="165" t="str">
        <f t="shared" si="312"/>
        <v>n/a</v>
      </c>
      <c r="I670" s="164">
        <f t="shared" ref="I670:I672" si="314">F670-G670</f>
        <v>0</v>
      </c>
      <c r="J670" s="163">
        <f>VLOOKUP(B670,[1]weeks!$B$156:$BO$193,63,FALSE)-VLOOKUP(B670,[1]weeks!$B$206:$BO$243,63,FALSE)</f>
        <v>0</v>
      </c>
      <c r="K670" s="163">
        <f>VLOOKUP(B670,[1]weeks!$B$107:$BO$144,63,FALSE)-VLOOKUP(B670,[1]weeks!$B$156:$BO$193,63,FALSE)</f>
        <v>0</v>
      </c>
      <c r="L670" s="163">
        <f>VLOOKUP(B670,[1]weeks!$B$55:$BO$94,63,FALSE)-VLOOKUP(B670,[1]weeks!$B$107:$BO$144,63,FALSE)</f>
        <v>0</v>
      </c>
      <c r="M670" s="163">
        <f>VLOOKUP(B670,[1]weeks!$B$5:$BO$44,63,FALSE)-VLOOKUP(B670,[1]weeks!$B$55:$BO$94,63,FALSE)</f>
        <v>0</v>
      </c>
      <c r="N670" s="163" t="str">
        <f t="shared" ref="N670:N683" si="315">IF(F670&gt;0,M670/F670*100,"-")</f>
        <v>-</v>
      </c>
      <c r="O670" s="163">
        <f t="shared" ref="O670:O679" si="316">SUM(J670:M670)/4</f>
        <v>0</v>
      </c>
      <c r="P670" s="146">
        <f>IF(ISNUMBER(VLOOKUP(B670,[1]Closures!B:BI,59,FALSE)),TEXT(VLOOKUP(B670,[1]Closures!B:BI,59,FALSE),"ddmmm"),IF(C670&lt;=0,0,IF(I670&lt;=0,0,IF(AND(C670&gt;0,O670&lt;=0),"&gt;52",IF(I670/O670&gt;52,"&gt;52", MAX(0,I670/O670-2))))))</f>
        <v>0</v>
      </c>
      <c r="S670" s="130"/>
    </row>
    <row r="671" spans="1:19" ht="10.7" customHeight="1" x14ac:dyDescent="0.2">
      <c r="A671" s="122"/>
      <c r="B671" s="161" t="s">
        <v>134</v>
      </c>
      <c r="C671" s="162">
        <f>'[2]DSS Combined'!$J$31</f>
        <v>0</v>
      </c>
      <c r="D671" s="163">
        <f>F671-VLOOKUP(B671,[1]Quota!$B$32:$BJ$43,59,FALSE)</f>
        <v>0</v>
      </c>
      <c r="E671" s="163">
        <f t="shared" si="313"/>
        <v>0</v>
      </c>
      <c r="F671" s="164">
        <f>VLOOKUP(B671,[1]Quota!$B$81:$BJ$92,59,FALSE)</f>
        <v>0</v>
      </c>
      <c r="G671" s="163">
        <f>'[1]Cumulative '!BL223</f>
        <v>0</v>
      </c>
      <c r="H671" s="165" t="str">
        <f t="shared" si="312"/>
        <v>n/a</v>
      </c>
      <c r="I671" s="164">
        <f t="shared" si="314"/>
        <v>0</v>
      </c>
      <c r="J671" s="163">
        <f>VLOOKUP(B671,[1]weeks!$B$156:$BO$193,63,FALSE)-VLOOKUP(B671,[1]weeks!$B$206:$BO$243,63,FALSE)</f>
        <v>0</v>
      </c>
      <c r="K671" s="163">
        <f>VLOOKUP(B671,[1]weeks!$B$107:$BO$144,63,FALSE)-VLOOKUP(B671,[1]weeks!$B$156:$BO$193,63,FALSE)</f>
        <v>0</v>
      </c>
      <c r="L671" s="163">
        <f>VLOOKUP(B671,[1]weeks!$B$55:$BO$94,63,FALSE)-VLOOKUP(B671,[1]weeks!$B$107:$BO$144,63,FALSE)</f>
        <v>0</v>
      </c>
      <c r="M671" s="163">
        <f>VLOOKUP(B671,[1]weeks!$B$5:$BO$44,63,FALSE)-VLOOKUP(B671,[1]weeks!$B$55:$BO$94,63,FALSE)</f>
        <v>0</v>
      </c>
      <c r="N671" s="163" t="str">
        <f t="shared" si="315"/>
        <v>-</v>
      </c>
      <c r="O671" s="163">
        <f t="shared" si="316"/>
        <v>0</v>
      </c>
      <c r="P671" s="146">
        <f>IF(ISNUMBER(VLOOKUP(B671,[1]Closures!B:BI,59,FALSE)),TEXT(VLOOKUP(B671,[1]Closures!B:BI,59,FALSE),"ddmmm"),IF(C671&lt;=0,0,IF(I671&lt;=0,0,IF(AND(C671&gt;0,O671&lt;=0),"&gt;52",IF(I671/O671&gt;52,"&gt;52", MAX(0,I671/O671-2))))))</f>
        <v>0</v>
      </c>
      <c r="S671" s="130"/>
    </row>
    <row r="672" spans="1:19" ht="10.7" customHeight="1" x14ac:dyDescent="0.2">
      <c r="A672" s="122"/>
      <c r="B672" s="161" t="s">
        <v>135</v>
      </c>
      <c r="C672" s="162">
        <f>'[2]DSS Combined'!$J$32</f>
        <v>0</v>
      </c>
      <c r="D672" s="163">
        <f>F672-VLOOKUP(B672,[1]Quota!$B$32:$BJ$43,59,FALSE)</f>
        <v>0</v>
      </c>
      <c r="E672" s="163">
        <f t="shared" si="313"/>
        <v>0</v>
      </c>
      <c r="F672" s="164">
        <f>VLOOKUP(B672,[1]Quota!$B$81:$BJ$92,59,FALSE)</f>
        <v>0</v>
      </c>
      <c r="G672" s="163">
        <f>'[1]Cumulative '!BL224</f>
        <v>0</v>
      </c>
      <c r="H672" s="165" t="str">
        <f t="shared" si="312"/>
        <v>n/a</v>
      </c>
      <c r="I672" s="164">
        <f t="shared" si="314"/>
        <v>0</v>
      </c>
      <c r="J672" s="163">
        <f>VLOOKUP(B672,[1]weeks!$B$156:$BO$193,63,FALSE)-VLOOKUP(B672,[1]weeks!$B$206:$BO$243,63,FALSE)</f>
        <v>0</v>
      </c>
      <c r="K672" s="163">
        <f>VLOOKUP(B672,[1]weeks!$B$107:$BO$144,63,FALSE)-VLOOKUP(B672,[1]weeks!$B$156:$BO$193,63,FALSE)</f>
        <v>0</v>
      </c>
      <c r="L672" s="163">
        <f>VLOOKUP(B672,[1]weeks!$B$55:$BO$94,63,FALSE)-VLOOKUP(B672,[1]weeks!$B$107:$BO$144,63,FALSE)</f>
        <v>0</v>
      </c>
      <c r="M672" s="163">
        <f>VLOOKUP(B672,[1]weeks!$B$5:$BO$44,63,FALSE)-VLOOKUP(B672,[1]weeks!$B$55:$BO$94,63,FALSE)</f>
        <v>0</v>
      </c>
      <c r="N672" s="163" t="str">
        <f t="shared" si="315"/>
        <v>-</v>
      </c>
      <c r="O672" s="163">
        <f t="shared" si="316"/>
        <v>0</v>
      </c>
      <c r="P672" s="146">
        <f>IF(ISNUMBER(VLOOKUP(B672,[1]Closures!B:BI,59,FALSE)),TEXT(VLOOKUP(B672,[1]Closures!B:BI,59,FALSE),"ddmmm"),IF(C672&lt;=0,0,IF(I672&lt;=0,0,IF(AND(C672&gt;0,O672&lt;=0),"&gt;52",IF(I672/O672&gt;52,"&gt;52", MAX(0,I672/O672-2))))))</f>
        <v>0</v>
      </c>
      <c r="S672" s="130"/>
    </row>
    <row r="673" spans="1:19" ht="10.7" customHeight="1" x14ac:dyDescent="0.2">
      <c r="A673" s="122"/>
      <c r="B673" s="161"/>
      <c r="C673" s="162"/>
      <c r="D673" s="163"/>
      <c r="E673" s="163"/>
      <c r="F673" s="164"/>
      <c r="G673" s="163"/>
      <c r="H673" s="165"/>
      <c r="I673" s="164"/>
      <c r="J673" s="163"/>
      <c r="K673" s="163"/>
      <c r="L673" s="163"/>
      <c r="M673" s="163"/>
      <c r="N673" s="163"/>
      <c r="O673" s="163"/>
      <c r="P673" s="146"/>
      <c r="S673" s="130"/>
    </row>
    <row r="674" spans="1:19" ht="10.7" customHeight="1" x14ac:dyDescent="0.2">
      <c r="A674" s="122"/>
      <c r="B674" s="168" t="s">
        <v>137</v>
      </c>
      <c r="C674" s="162">
        <f>SUM(C669:C672)</f>
        <v>0</v>
      </c>
      <c r="D674" s="163">
        <f>SUM(D669:D672)</f>
        <v>0</v>
      </c>
      <c r="E674" s="163">
        <f t="shared" si="313"/>
        <v>0</v>
      </c>
      <c r="F674" s="217">
        <f t="shared" ref="F674" si="317">SUM(F669:F672)</f>
        <v>0</v>
      </c>
      <c r="G674" s="163">
        <f>SUM(G669:G672)</f>
        <v>0</v>
      </c>
      <c r="H674" s="165" t="str">
        <f t="shared" si="312"/>
        <v>n/a</v>
      </c>
      <c r="I674" s="217">
        <f t="shared" ref="I674:L674" si="318">SUM(I669:I672)</f>
        <v>0</v>
      </c>
      <c r="J674" s="163">
        <f t="shared" si="318"/>
        <v>0</v>
      </c>
      <c r="K674" s="163">
        <f t="shared" si="318"/>
        <v>0</v>
      </c>
      <c r="L674" s="163">
        <f t="shared" si="318"/>
        <v>0</v>
      </c>
      <c r="M674" s="163">
        <f>SUM(M669:M672)</f>
        <v>0</v>
      </c>
      <c r="N674" s="163" t="str">
        <f t="shared" si="315"/>
        <v>-</v>
      </c>
      <c r="O674" s="163">
        <f t="shared" si="316"/>
        <v>0</v>
      </c>
      <c r="P674" s="146">
        <f>IF(ISNUMBER(VLOOKUP(B674,[1]Closures!B:BI,59,FALSE)),TEXT(VLOOKUP(B674,[1]Closures!B:BI,59,FALSE),"ddmmm"),IF(C674&lt;=0,0,IF(I674&lt;=0,0,IF(AND(C674&gt;0,O674&lt;=0),"&gt;52",IF(I674/O674&gt;52,"&gt;52", MAX(0,I674/O674-2))))))</f>
        <v>0</v>
      </c>
      <c r="S674" s="130"/>
    </row>
    <row r="675" spans="1:19" ht="10.7" customHeight="1" x14ac:dyDescent="0.2">
      <c r="A675" s="122"/>
      <c r="B675" s="168"/>
      <c r="C675" s="162"/>
      <c r="D675" s="163"/>
      <c r="E675" s="163"/>
      <c r="F675" s="164"/>
      <c r="G675" s="163"/>
      <c r="H675" s="165"/>
      <c r="I675" s="164"/>
      <c r="J675" s="163"/>
      <c r="K675" s="163"/>
      <c r="L675" s="163"/>
      <c r="M675" s="163"/>
      <c r="N675" s="163" t="str">
        <f t="shared" si="315"/>
        <v>-</v>
      </c>
      <c r="O675" s="163"/>
      <c r="P675" s="146"/>
      <c r="S675" s="130"/>
    </row>
    <row r="676" spans="1:19" ht="10.7" customHeight="1" x14ac:dyDescent="0.2">
      <c r="A676" s="122"/>
      <c r="B676" s="174" t="s">
        <v>138</v>
      </c>
      <c r="C676" s="162">
        <f>'[2]DSS Combined'!$J$36</f>
        <v>0</v>
      </c>
      <c r="D676" s="163">
        <f>F676-VLOOKUP(B676,[1]Quota!$B$32:$BJ$43,59,FALSE)</f>
        <v>0</v>
      </c>
      <c r="E676" s="163">
        <f t="shared" si="313"/>
        <v>0</v>
      </c>
      <c r="F676" s="164">
        <f>VLOOKUP(B676,[1]Quota!$B$81:$BJ$92,59,FALSE)</f>
        <v>0</v>
      </c>
      <c r="G676" s="163">
        <f>'[1]Cumulative '!BL228</f>
        <v>0</v>
      </c>
      <c r="H676" s="165" t="str">
        <f t="shared" si="312"/>
        <v>n/a</v>
      </c>
      <c r="I676" s="164">
        <f t="shared" ref="I676:I683" si="319">F676-G676</f>
        <v>0</v>
      </c>
      <c r="J676" s="163">
        <f>VLOOKUP(B676,[1]weeks!$B$156:$BO$193,63,FALSE)-VLOOKUP(B676,[1]weeks!$B$206:$BO$243,63,FALSE)</f>
        <v>0</v>
      </c>
      <c r="K676" s="163">
        <f>VLOOKUP(B676,[1]weeks!$B$107:$BO$144,63,FALSE)-VLOOKUP(B676,[1]weeks!$B$156:$BO$193,63,FALSE)</f>
        <v>0</v>
      </c>
      <c r="L676" s="163">
        <f>VLOOKUP(B676,[1]weeks!$B$55:$BO$94,63,FALSE)-VLOOKUP(B676,[1]weeks!$B$107:$BO$144,63,FALSE)</f>
        <v>0</v>
      </c>
      <c r="M676" s="163">
        <f>VLOOKUP(B676,[1]weeks!$B$5:$BO$44,63,FALSE)-VLOOKUP(B676,[1]weeks!$B$55:$BO$94,63,FALSE)</f>
        <v>0</v>
      </c>
      <c r="N676" s="163" t="str">
        <f t="shared" si="315"/>
        <v>-</v>
      </c>
      <c r="O676" s="163">
        <f t="shared" si="316"/>
        <v>0</v>
      </c>
      <c r="P676" s="146">
        <f>IF(ISNUMBER(VLOOKUP(B676,[1]Closures!B:BI,59,FALSE)),TEXT(VLOOKUP(B676,[1]Closures!B:BI,59,FALSE),"ddmmm"),IF(C676&lt;=0,0,IF(I676&lt;=0,0,IF(AND(C676&gt;0,O676&lt;=0),"&gt;52",IF(I676/O676&gt;52,"&gt;52", MAX(0,I676/O676-2))))))</f>
        <v>0</v>
      </c>
      <c r="S676" s="130"/>
    </row>
    <row r="677" spans="1:19" ht="10.7" customHeight="1" x14ac:dyDescent="0.2">
      <c r="A677" s="122"/>
      <c r="B677" s="174" t="s">
        <v>139</v>
      </c>
      <c r="C677" s="162">
        <f>'[2]DSS Combined'!$J$37</f>
        <v>0</v>
      </c>
      <c r="D677" s="163">
        <f>F677-VLOOKUP(B677,[1]Quota!$B$32:$BJ$43,59,FALSE)</f>
        <v>0</v>
      </c>
      <c r="E677" s="163">
        <f t="shared" si="313"/>
        <v>0</v>
      </c>
      <c r="F677" s="164">
        <f>VLOOKUP(B677,[1]Quota!$B$81:$BJ$92,59,FALSE)</f>
        <v>0</v>
      </c>
      <c r="G677" s="163">
        <f>'[1]Cumulative '!BL229</f>
        <v>0</v>
      </c>
      <c r="H677" s="165" t="str">
        <f t="shared" si="312"/>
        <v>n/a</v>
      </c>
      <c r="I677" s="164">
        <f t="shared" si="319"/>
        <v>0</v>
      </c>
      <c r="J677" s="163">
        <f>VLOOKUP(B677,[1]weeks!$B$156:$BO$193,63,FALSE)-VLOOKUP(B677,[1]weeks!$B$206:$BO$243,63,FALSE)</f>
        <v>0</v>
      </c>
      <c r="K677" s="163">
        <f>VLOOKUP(B677,[1]weeks!$B$107:$BO$144,63,FALSE)-VLOOKUP(B677,[1]weeks!$B$156:$BO$193,63,FALSE)</f>
        <v>0</v>
      </c>
      <c r="L677" s="163">
        <f>VLOOKUP(B677,[1]weeks!$B$55:$BO$94,63,FALSE)-VLOOKUP(B677,[1]weeks!$B$107:$BO$144,63,FALSE)</f>
        <v>0</v>
      </c>
      <c r="M677" s="163">
        <f>VLOOKUP(B677,[1]weeks!$B$5:$BO$44,63,FALSE)-VLOOKUP(B677,[1]weeks!$B$55:$BO$94,63,FALSE)</f>
        <v>0</v>
      </c>
      <c r="N677" s="163" t="str">
        <f t="shared" si="315"/>
        <v>-</v>
      </c>
      <c r="O677" s="163">
        <f t="shared" si="316"/>
        <v>0</v>
      </c>
      <c r="P677" s="146">
        <f>IF(ISNUMBER(VLOOKUP(B677,[1]Closures!B:BI,59,FALSE)),TEXT(VLOOKUP(B677,[1]Closures!B:BI,59,FALSE),"ddmmm"),IF(C677&lt;=0,0,IF(I677&lt;=0,0,IF(AND(C677&gt;0,O677&lt;=0),"&gt;52",IF(I677/O677&gt;52,"&gt;52", MAX(0,I677/O677-2))))))</f>
        <v>0</v>
      </c>
      <c r="S677" s="130"/>
    </row>
    <row r="678" spans="1:19" ht="10.7" customHeight="1" x14ac:dyDescent="0.2">
      <c r="A678" s="122"/>
      <c r="B678" s="174" t="s">
        <v>140</v>
      </c>
      <c r="C678" s="162">
        <f>'[2]DSS Combined'!$J$38</f>
        <v>0</v>
      </c>
      <c r="D678" s="163">
        <f>F678-VLOOKUP(B678,[1]Quota!$B$32:$BJ$43,59,FALSE)</f>
        <v>0</v>
      </c>
      <c r="E678" s="163">
        <f t="shared" si="313"/>
        <v>0</v>
      </c>
      <c r="F678" s="164">
        <f>VLOOKUP(B678,[1]Quota!$B$81:$BJ$92,59,FALSE)</f>
        <v>0</v>
      </c>
      <c r="G678" s="163">
        <f>'[1]Cumulative '!BL230</f>
        <v>0</v>
      </c>
      <c r="H678" s="165" t="str">
        <f t="shared" si="312"/>
        <v>n/a</v>
      </c>
      <c r="I678" s="164">
        <f t="shared" si="319"/>
        <v>0</v>
      </c>
      <c r="J678" s="163">
        <f>VLOOKUP(B678,[1]weeks!$B$156:$BO$193,63,FALSE)-VLOOKUP(B678,[1]weeks!$B$206:$BO$243,63,FALSE)</f>
        <v>0</v>
      </c>
      <c r="K678" s="163">
        <f>VLOOKUP(B678,[1]weeks!$B$107:$BO$144,63,FALSE)-VLOOKUP(B678,[1]weeks!$B$156:$BO$193,63,FALSE)</f>
        <v>0</v>
      </c>
      <c r="L678" s="163">
        <f>VLOOKUP(B678,[1]weeks!$B$55:$BO$94,63,FALSE)-VLOOKUP(B678,[1]weeks!$B$107:$BO$144,63,FALSE)</f>
        <v>0</v>
      </c>
      <c r="M678" s="163">
        <f>VLOOKUP(B678,[1]weeks!$B$5:$BO$44,63,FALSE)-VLOOKUP(B678,[1]weeks!$B$55:$BO$94,63,FALSE)</f>
        <v>0</v>
      </c>
      <c r="N678" s="163" t="str">
        <f t="shared" si="315"/>
        <v>-</v>
      </c>
      <c r="O678" s="163">
        <f t="shared" si="316"/>
        <v>0</v>
      </c>
      <c r="P678" s="146">
        <f>IF(ISNUMBER(VLOOKUP(B678,[1]Closures!B:BI,59,FALSE)),TEXT(VLOOKUP(B678,[1]Closures!B:BI,59,FALSE),"ddmmm"),IF(C678&lt;=0,0,IF(I678&lt;=0,0,IF(AND(C678&gt;0,O678&lt;=0),"&gt;52",IF(I678/O678&gt;52,"&gt;52", MAX(0,I678/O678-2))))))</f>
        <v>0</v>
      </c>
      <c r="S678" s="130"/>
    </row>
    <row r="679" spans="1:19" ht="10.7" customHeight="1" x14ac:dyDescent="0.2">
      <c r="A679" s="122"/>
      <c r="B679" s="174" t="s">
        <v>141</v>
      </c>
      <c r="C679" s="162">
        <f>'[2]DSS Combined'!$J$39</f>
        <v>0</v>
      </c>
      <c r="D679" s="163">
        <f>F679-VLOOKUP(B679,[1]Quota!$B$32:$BJ$43,59,FALSE)</f>
        <v>0</v>
      </c>
      <c r="E679" s="163">
        <f t="shared" si="313"/>
        <v>0</v>
      </c>
      <c r="F679" s="164">
        <f>VLOOKUP(B679,[1]Quota!$B$81:$BJ$92,59,FALSE)</f>
        <v>0</v>
      </c>
      <c r="G679" s="163">
        <f>'[1]Cumulative '!BL231</f>
        <v>0</v>
      </c>
      <c r="H679" s="165" t="str">
        <f>IF(AND(F679&lt;=0),"n/a",IF(F679=0,0,100*G679/F679))</f>
        <v>n/a</v>
      </c>
      <c r="I679" s="164">
        <f t="shared" si="319"/>
        <v>0</v>
      </c>
      <c r="J679" s="163">
        <f>VLOOKUP(B679,[1]weeks!$B$156:$BO$193,63,FALSE)-VLOOKUP(B679,[1]weeks!$B$206:$BO$243,63,FALSE)</f>
        <v>0</v>
      </c>
      <c r="K679" s="163">
        <f>VLOOKUP(B679,[1]weeks!$B$107:$BO$144,63,FALSE)-VLOOKUP(B679,[1]weeks!$B$156:$BO$193,63,FALSE)</f>
        <v>0</v>
      </c>
      <c r="L679" s="163">
        <f>VLOOKUP(B679,[1]weeks!$B$55:$BO$94,63,FALSE)-VLOOKUP(B679,[1]weeks!$B$107:$BO$144,63,FALSE)</f>
        <v>0</v>
      </c>
      <c r="M679" s="163">
        <f>VLOOKUP(B679,[1]weeks!$B$5:$BO$44,63,FALSE)-VLOOKUP(B679,[1]weeks!$B$55:$BO$94,63,FALSE)</f>
        <v>0</v>
      </c>
      <c r="N679" s="163" t="str">
        <f t="shared" si="315"/>
        <v>-</v>
      </c>
      <c r="O679" s="163">
        <f t="shared" si="316"/>
        <v>0</v>
      </c>
      <c r="P679" s="146">
        <f>IF(ISNUMBER(VLOOKUP(B679,[1]Closures!B:BI,59,FALSE)),TEXT(VLOOKUP(B679,[1]Closures!B:BI,59,FALSE),"ddmmm"),IF(C679&lt;=0,0,IF(I679&lt;=0,0,IF(AND(C679&gt;0,O679&lt;=0),"&gt;52",IF(I679/O679&gt;52,"&gt;52", MAX(0,I679/O679-2))))))</f>
        <v>0</v>
      </c>
      <c r="S679" s="130"/>
    </row>
    <row r="680" spans="1:19" ht="10.7" customHeight="1" x14ac:dyDescent="0.2">
      <c r="A680" s="122"/>
      <c r="B680" s="174" t="s">
        <v>142</v>
      </c>
      <c r="C680" s="162"/>
      <c r="D680" s="163">
        <f>F680-VLOOKUP(B680,[1]Quota!$B$32:$BJ$43,59,FALSE)</f>
        <v>0</v>
      </c>
      <c r="E680" s="163"/>
      <c r="F680" s="164">
        <f>VLOOKUP(B680,[1]Quota!$B$81:$BJ$92,59,FALSE)</f>
        <v>0</v>
      </c>
      <c r="G680" s="163"/>
      <c r="H680" s="165" t="str">
        <f>IF(AND(F680&lt;=0),"n/a",IF(F680=0,0,100*G680/F680))</f>
        <v>n/a</v>
      </c>
      <c r="I680" s="164">
        <f>F680-G680</f>
        <v>0</v>
      </c>
      <c r="J680" s="163"/>
      <c r="K680" s="163"/>
      <c r="L680" s="163"/>
      <c r="M680" s="163"/>
      <c r="N680" s="163"/>
      <c r="O680" s="163"/>
      <c r="P680" s="146"/>
      <c r="S680" s="130"/>
    </row>
    <row r="681" spans="1:19" ht="10.7" customHeight="1" x14ac:dyDescent="0.2">
      <c r="A681" s="122"/>
      <c r="B681" s="168" t="s">
        <v>143</v>
      </c>
      <c r="C681" s="162">
        <f>SUM(C676:C680)</f>
        <v>0</v>
      </c>
      <c r="D681" s="163">
        <f>SUM(D676:D680)</f>
        <v>0</v>
      </c>
      <c r="E681" s="163">
        <f t="shared" si="313"/>
        <v>0</v>
      </c>
      <c r="F681" s="217">
        <f t="shared" ref="F681:G681" si="320">SUM(F676:F680)</f>
        <v>0</v>
      </c>
      <c r="G681" s="173">
        <f t="shared" si="320"/>
        <v>0</v>
      </c>
      <c r="H681" s="165" t="str">
        <f t="shared" si="312"/>
        <v>n/a</v>
      </c>
      <c r="I681" s="164">
        <f t="shared" si="319"/>
        <v>0</v>
      </c>
      <c r="J681" s="163">
        <f t="shared" ref="J681:L681" si="321">SUM(J676:J679)</f>
        <v>0</v>
      </c>
      <c r="K681" s="163">
        <f t="shared" si="321"/>
        <v>0</v>
      </c>
      <c r="L681" s="163">
        <f t="shared" si="321"/>
        <v>0</v>
      </c>
      <c r="M681" s="163">
        <f>SUM(M676:M679)</f>
        <v>0</v>
      </c>
      <c r="N681" s="163" t="str">
        <f t="shared" si="315"/>
        <v>-</v>
      </c>
      <c r="O681" s="163">
        <f>SUM(J681:M681)/4</f>
        <v>0</v>
      </c>
      <c r="P681" s="146">
        <f>IF(ISNUMBER(VLOOKUP(B681,[1]Closures!B:BI,59,FALSE)),TEXT(VLOOKUP(B681,[1]Closures!B:BI,59,FALSE),"ddmmm"),IF(C681&lt;=0,0,IF(I681&lt;=0,0,IF(AND(C681&gt;0,O681&lt;=0),"&gt;52",IF(I681/O681&gt;52,"&gt;52", MAX(0,I681/O681-2))))))</f>
        <v>0</v>
      </c>
      <c r="S681" s="130"/>
    </row>
    <row r="682" spans="1:19" ht="10.7" customHeight="1" x14ac:dyDescent="0.2">
      <c r="A682" s="122"/>
      <c r="B682" s="168"/>
      <c r="C682" s="162"/>
      <c r="D682" s="163"/>
      <c r="E682" s="163"/>
      <c r="F682" s="164"/>
      <c r="G682" s="163"/>
      <c r="H682" s="165"/>
      <c r="I682" s="164"/>
      <c r="J682" s="163"/>
      <c r="K682" s="163"/>
      <c r="L682" s="163"/>
      <c r="M682" s="163"/>
      <c r="N682" s="163"/>
      <c r="O682" s="163"/>
      <c r="P682" s="146"/>
      <c r="S682" s="130"/>
    </row>
    <row r="683" spans="1:19" ht="10.7" customHeight="1" x14ac:dyDescent="0.2">
      <c r="A683" s="122"/>
      <c r="B683" s="175" t="s">
        <v>112</v>
      </c>
      <c r="C683" s="176">
        <f>C681+C674</f>
        <v>0</v>
      </c>
      <c r="D683" s="180">
        <f>D681+D674</f>
        <v>0</v>
      </c>
      <c r="E683" s="180">
        <f t="shared" si="313"/>
        <v>0</v>
      </c>
      <c r="F683" s="189">
        <f>F681+F674</f>
        <v>0</v>
      </c>
      <c r="G683" s="180">
        <f>G681+G674</f>
        <v>0</v>
      </c>
      <c r="H683" s="179" t="str">
        <f t="shared" si="312"/>
        <v>n/a</v>
      </c>
      <c r="I683" s="218">
        <f t="shared" si="319"/>
        <v>0</v>
      </c>
      <c r="J683" s="180">
        <f t="shared" ref="J683:L683" si="322">J674+J681</f>
        <v>0</v>
      </c>
      <c r="K683" s="180">
        <f t="shared" si="322"/>
        <v>0</v>
      </c>
      <c r="L683" s="180">
        <f t="shared" si="322"/>
        <v>0</v>
      </c>
      <c r="M683" s="180">
        <f>M674+M681</f>
        <v>0</v>
      </c>
      <c r="N683" s="180" t="str">
        <f t="shared" si="315"/>
        <v>-</v>
      </c>
      <c r="O683" s="180">
        <f>SUM(J683:M683)/4</f>
        <v>0</v>
      </c>
      <c r="P683" s="153">
        <f>IF(ISNUMBER(VLOOKUP(B683,[1]Closures!B:BI,59,FALSE)),TEXT(VLOOKUP(B683,[1]Closures!B:BI,59,FALSE),"ddmmm"),IF(C683&lt;=0,0,IF(I683&lt;=0,0,IF(AND(C683&gt;0,O683&lt;=0),"&gt;52",IF(I683/O683&gt;52,"&gt;52", MAX(0,I683/O683-2))))))</f>
        <v>0</v>
      </c>
      <c r="S683" s="130"/>
    </row>
    <row r="684" spans="1:19" ht="10.7" customHeight="1" x14ac:dyDescent="0.2">
      <c r="A684" s="122"/>
      <c r="B684" s="181"/>
      <c r="C684" s="181"/>
      <c r="D684" s="163"/>
      <c r="E684" s="163"/>
      <c r="F684" s="164"/>
      <c r="G684" s="163"/>
      <c r="H684" s="2"/>
      <c r="I684" s="164"/>
      <c r="J684" s="163"/>
      <c r="K684" s="163"/>
      <c r="L684" s="163"/>
      <c r="M684" s="163"/>
      <c r="N684" s="163"/>
      <c r="O684" s="163"/>
      <c r="P684" s="182"/>
      <c r="S684" s="130"/>
    </row>
    <row r="685" spans="1:19" ht="10.7" customHeight="1" x14ac:dyDescent="0.2">
      <c r="A685" s="122"/>
      <c r="B685" s="181"/>
      <c r="C685" s="181"/>
      <c r="D685" s="183"/>
      <c r="E685" s="183"/>
      <c r="F685" s="184"/>
      <c r="G685" s="183"/>
      <c r="H685" s="163"/>
      <c r="I685" s="184"/>
      <c r="J685" s="185"/>
      <c r="K685" s="185"/>
      <c r="L685" s="185"/>
      <c r="M685" s="185"/>
      <c r="N685" s="173"/>
      <c r="O685" s="183"/>
      <c r="P685" s="182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202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tr">
        <f>C5</f>
        <v>Initial Quota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203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203" t="s">
        <v>74</v>
      </c>
      <c r="I688" s="147" t="s">
        <v>75</v>
      </c>
      <c r="J688" s="151">
        <f>[1]weeks!$B$154</f>
        <v>43166</v>
      </c>
      <c r="K688" s="151">
        <f>[1]weeks!$B$105</f>
        <v>43173</v>
      </c>
      <c r="L688" s="151">
        <f>[1]weeks!$B$55</f>
        <v>43180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204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6"/>
      <c r="C690" s="187" t="s">
        <v>130</v>
      </c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95"/>
      <c r="P690" s="145"/>
      <c r="S690" s="130"/>
    </row>
    <row r="691" spans="1:19" ht="10.7" customHeight="1" x14ac:dyDescent="0.2">
      <c r="A691" s="122"/>
      <c r="B691" s="161" t="s">
        <v>132</v>
      </c>
      <c r="C691" s="162">
        <f>'[2]DSS Combined'!$K$29</f>
        <v>0</v>
      </c>
      <c r="D691" s="163">
        <f>F691-VLOOKUP(B691,[1]Quota!$B$103:$BJ$143,60,FALSE)</f>
        <v>0</v>
      </c>
      <c r="E691" s="163">
        <f>F691-C691</f>
        <v>0</v>
      </c>
      <c r="F691" s="164">
        <f>VLOOKUP(B691,[1]Quota!$B$81:$BJ$92,60,FALSE)</f>
        <v>0</v>
      </c>
      <c r="G691" s="163">
        <f>'[1]Cumulative '!BM221</f>
        <v>0</v>
      </c>
      <c r="H691" s="165" t="str">
        <f t="shared" ref="H691:H705" si="323">IF(AND(F691&lt;=0),"n/a",IF(F691=0,0,100*G691/F691))</f>
        <v>n/a</v>
      </c>
      <c r="I691" s="164">
        <f>F691-G691</f>
        <v>0</v>
      </c>
      <c r="J691" s="163">
        <f>VLOOKUP(B691,[1]weeks!$B$156:$BO$193,64,FALSE)-VLOOKUP(B691,[1]weeks!$B$206:$BO$243,64,FALSE)</f>
        <v>0</v>
      </c>
      <c r="K691" s="163">
        <f>VLOOKUP(B691,[1]weeks!$B$107:$BO$144,64,FALSE)-VLOOKUP(B691,[1]weeks!$B$156:$BO$193,64,FALSE)</f>
        <v>0</v>
      </c>
      <c r="L691" s="163">
        <f>VLOOKUP(B691,[1]weeks!$B$55:$BO$94,64,FALSE)-VLOOKUP(B691,[1]weeks!$B$107:$BO$144,64,FALSE)</f>
        <v>0</v>
      </c>
      <c r="M691" s="163">
        <f>VLOOKUP(B691,[1]weeks!$B$5:$BO$44,64,FALSE)-VLOOKUP(B691,[1]weeks!$B$55:$BO$94,64,FALSE)</f>
        <v>0</v>
      </c>
      <c r="N691" s="163" t="str">
        <f>IF(F691&gt;0,M691/F691*100,"-")</f>
        <v>-</v>
      </c>
      <c r="O691" s="163">
        <f>SUM(J691:M691)/4</f>
        <v>0</v>
      </c>
      <c r="P691" s="146">
        <f>IF(ISNUMBER(VLOOKUP(B691,[1]Closures!B:BI,60,FALSE)),TEXT(VLOOKUP(B691,[1]Closures!B:BI,60,FALSE),"ddmmm"),IF(C691&lt;=0,0,IF(I691&lt;=0,0,IF(AND(C691&gt;0,O691&lt;=0),"&gt;52",IF(I691/O691&gt;52,"&gt;52", MAX(0,I691/O691-2))))))</f>
        <v>0</v>
      </c>
      <c r="S691" s="130"/>
    </row>
    <row r="692" spans="1:19" ht="10.7" customHeight="1" x14ac:dyDescent="0.2">
      <c r="A692" s="122"/>
      <c r="B692" s="161" t="s">
        <v>133</v>
      </c>
      <c r="C692" s="162">
        <f>'[2]DSS Combined'!$K$30</f>
        <v>0</v>
      </c>
      <c r="D692" s="163">
        <f>F692-VLOOKUP(B692,[1]Quota!$B$103:$BJ$143,60,FALSE)</f>
        <v>0</v>
      </c>
      <c r="E692" s="163">
        <f t="shared" ref="E692:E705" si="324">F692-C692</f>
        <v>0</v>
      </c>
      <c r="F692" s="164">
        <f>VLOOKUP(B692,[1]Quota!$B$81:$BJ$92,60,FALSE)</f>
        <v>0</v>
      </c>
      <c r="G692" s="163">
        <f>'[1]Cumulative '!BM222</f>
        <v>0</v>
      </c>
      <c r="H692" s="165" t="str">
        <f t="shared" si="323"/>
        <v>n/a</v>
      </c>
      <c r="I692" s="164">
        <f t="shared" ref="I692:I694" si="325">F692-G692</f>
        <v>0</v>
      </c>
      <c r="J692" s="163">
        <f>VLOOKUP(B692,[1]weeks!$B$156:$BO$193,64,FALSE)-VLOOKUP(B692,[1]weeks!$B$206:$BO$243,64,FALSE)</f>
        <v>0</v>
      </c>
      <c r="K692" s="163">
        <f>VLOOKUP(B692,[1]weeks!$B$107:$BO$144,64,FALSE)-VLOOKUP(B692,[1]weeks!$B$156:$BO$193,64,FALSE)</f>
        <v>0</v>
      </c>
      <c r="L692" s="163">
        <f>VLOOKUP(B692,[1]weeks!$B$55:$BO$94,64,FALSE)-VLOOKUP(B692,[1]weeks!$B$107:$BO$144,64,FALSE)</f>
        <v>0</v>
      </c>
      <c r="M692" s="163">
        <f>VLOOKUP(B692,[1]weeks!$B$5:$BO$44,64,FALSE)-VLOOKUP(B692,[1]weeks!$B$55:$BO$94,64,FALSE)</f>
        <v>0</v>
      </c>
      <c r="N692" s="163" t="str">
        <f t="shared" ref="N692:N705" si="326">IF(F692&gt;0,M692/F692*100,"-")</f>
        <v>-</v>
      </c>
      <c r="O692" s="163">
        <f>SUM(J692:M692)/4</f>
        <v>0</v>
      </c>
      <c r="P692" s="146">
        <f>IF(ISNUMBER(VLOOKUP(B692,[1]Closures!B:BI,60,FALSE)),TEXT(VLOOKUP(B692,[1]Closures!B:BI,60,FALSE),"ddmmm"),IF(C692&lt;=0,0,IF(I692&lt;=0,0,IF(AND(C692&gt;0,O692&lt;=0),"&gt;52",IF(I692/O692&gt;52,"&gt;52", MAX(0,I692/O692-2))))))</f>
        <v>0</v>
      </c>
      <c r="S692" s="130"/>
    </row>
    <row r="693" spans="1:19" ht="10.7" customHeight="1" x14ac:dyDescent="0.2">
      <c r="A693" s="122"/>
      <c r="B693" s="161" t="s">
        <v>134</v>
      </c>
      <c r="C693" s="162">
        <f>'[2]DSS Combined'!$K$31</f>
        <v>0</v>
      </c>
      <c r="D693" s="163">
        <f>F693-VLOOKUP(B693,[1]Quota!$B$103:$BJ$143,60,FALSE)</f>
        <v>0</v>
      </c>
      <c r="E693" s="163">
        <f t="shared" si="324"/>
        <v>0</v>
      </c>
      <c r="F693" s="164">
        <f>VLOOKUP(B693,[1]Quota!$B$81:$BJ$92,60,FALSE)</f>
        <v>0</v>
      </c>
      <c r="G693" s="163">
        <f>'[1]Cumulative '!BM223</f>
        <v>0</v>
      </c>
      <c r="H693" s="165" t="str">
        <f t="shared" si="323"/>
        <v>n/a</v>
      </c>
      <c r="I693" s="164">
        <f t="shared" si="325"/>
        <v>0</v>
      </c>
      <c r="J693" s="163">
        <f>VLOOKUP(B693,[1]weeks!$B$156:$BO$193,64,FALSE)-VLOOKUP(B693,[1]weeks!$B$206:$BO$243,64,FALSE)</f>
        <v>0</v>
      </c>
      <c r="K693" s="163">
        <f>VLOOKUP(B693,[1]weeks!$B$107:$BO$144,64,FALSE)-VLOOKUP(B693,[1]weeks!$B$156:$BO$193,64,FALSE)</f>
        <v>0</v>
      </c>
      <c r="L693" s="163">
        <f>VLOOKUP(B693,[1]weeks!$B$55:$BO$94,64,FALSE)-VLOOKUP(B693,[1]weeks!$B$107:$BO$144,64,FALSE)</f>
        <v>0</v>
      </c>
      <c r="M693" s="163">
        <f>VLOOKUP(B693,[1]weeks!$B$5:$BO$44,64,FALSE)-VLOOKUP(B693,[1]weeks!$B$55:$BO$94,64,FALSE)</f>
        <v>0</v>
      </c>
      <c r="N693" s="163" t="str">
        <f t="shared" si="326"/>
        <v>-</v>
      </c>
      <c r="O693" s="163">
        <f>SUM(J693:M693)/4</f>
        <v>0</v>
      </c>
      <c r="P693" s="146">
        <f>IF(ISNUMBER(VLOOKUP(B693,[1]Closures!B:BI,60,FALSE)),TEXT(VLOOKUP(B693,[1]Closures!B:BI,60,FALSE),"ddmmm"),IF(C693&lt;=0,0,IF(I693&lt;=0,0,IF(AND(C693&gt;0,O693&lt;=0),"&gt;52",IF(I693/O693&gt;52,"&gt;52", MAX(0,I693/O693-2))))))</f>
        <v>0</v>
      </c>
      <c r="S693" s="130"/>
    </row>
    <row r="694" spans="1:19" ht="10.7" customHeight="1" x14ac:dyDescent="0.2">
      <c r="A694" s="122"/>
      <c r="B694" s="161" t="s">
        <v>135</v>
      </c>
      <c r="C694" s="162">
        <f>'[2]DSS Combined'!$K$32</f>
        <v>0</v>
      </c>
      <c r="D694" s="163">
        <f>F694-VLOOKUP(B694,[1]Quota!$B$32:$BJ$43,60,FALSE)</f>
        <v>0</v>
      </c>
      <c r="E694" s="163">
        <f t="shared" si="324"/>
        <v>0</v>
      </c>
      <c r="F694" s="164">
        <f>VLOOKUP(B694,[1]Quota!$B$81:$BJ$92,60,FALSE)</f>
        <v>0</v>
      </c>
      <c r="G694" s="163">
        <f>'[1]Cumulative '!BM224</f>
        <v>0</v>
      </c>
      <c r="H694" s="165" t="str">
        <f t="shared" si="323"/>
        <v>n/a</v>
      </c>
      <c r="I694" s="164">
        <f t="shared" si="325"/>
        <v>0</v>
      </c>
      <c r="J694" s="163">
        <f>VLOOKUP(B694,[1]weeks!$B$156:$BO$193,64,FALSE)-VLOOKUP(B694,[1]weeks!$B$206:$BO$243,64,FALSE)</f>
        <v>0</v>
      </c>
      <c r="K694" s="163">
        <f>VLOOKUP(B694,[1]weeks!$B$107:$BO$144,64,FALSE)-VLOOKUP(B694,[1]weeks!$B$156:$BO$193,64,FALSE)</f>
        <v>0</v>
      </c>
      <c r="L694" s="163">
        <f>VLOOKUP(B694,[1]weeks!$B$55:$BO$94,64,FALSE)-VLOOKUP(B694,[1]weeks!$B$107:$BO$144,64,FALSE)</f>
        <v>0</v>
      </c>
      <c r="M694" s="163">
        <f>VLOOKUP(B694,[1]weeks!$B$5:$BO$44,64,FALSE)-VLOOKUP(B694,[1]weeks!$B$55:$BO$94,64,FALSE)</f>
        <v>0</v>
      </c>
      <c r="N694" s="163" t="str">
        <f t="shared" si="326"/>
        <v>-</v>
      </c>
      <c r="O694" s="163">
        <f>SUM(J694:M694)/4</f>
        <v>0</v>
      </c>
      <c r="P694" s="146">
        <f>IF(ISNUMBER(VLOOKUP(B694,[1]Closures!B:BI,60,FALSE)),TEXT(VLOOKUP(B694,[1]Closures!B:BI,60,FALSE),"ddmmm"),IF(C694&lt;=0,0,IF(I694&lt;=0,0,IF(AND(C694&gt;0,O694&lt;=0),"&gt;52",IF(I694/O694&gt;52,"&gt;52", MAX(0,I694/O694-2))))))</f>
        <v>0</v>
      </c>
      <c r="S694" s="130"/>
    </row>
    <row r="695" spans="1:19" ht="10.7" customHeight="1" x14ac:dyDescent="0.2">
      <c r="A695" s="122"/>
      <c r="B695" s="161"/>
      <c r="C695" s="162"/>
      <c r="D695" s="163"/>
      <c r="E695" s="163"/>
      <c r="F695" s="164"/>
      <c r="G695" s="163"/>
      <c r="H695" s="165"/>
      <c r="I695" s="164"/>
      <c r="J695" s="163"/>
      <c r="K695" s="163"/>
      <c r="L695" s="163"/>
      <c r="M695" s="163"/>
      <c r="N695" s="163"/>
      <c r="O695" s="163"/>
      <c r="P695" s="146"/>
      <c r="S695" s="130"/>
    </row>
    <row r="696" spans="1:19" ht="10.7" customHeight="1" x14ac:dyDescent="0.2">
      <c r="A696" s="122"/>
      <c r="B696" s="168" t="s">
        <v>137</v>
      </c>
      <c r="C696" s="162">
        <f>SUM(C691:C694)</f>
        <v>0</v>
      </c>
      <c r="D696" s="163">
        <f>SUM(D691:D694)</f>
        <v>0</v>
      </c>
      <c r="E696" s="163">
        <f t="shared" si="324"/>
        <v>0</v>
      </c>
      <c r="F696" s="217">
        <f t="shared" ref="F696" si="327">SUM(F691:F694)</f>
        <v>0</v>
      </c>
      <c r="G696" s="163">
        <f>SUM(G691:G694)</f>
        <v>0</v>
      </c>
      <c r="H696" s="165" t="str">
        <f t="shared" si="323"/>
        <v>n/a</v>
      </c>
      <c r="I696" s="217">
        <f t="shared" ref="I696:L696" si="328">SUM(I691:I694)</f>
        <v>0</v>
      </c>
      <c r="J696" s="163">
        <f t="shared" si="328"/>
        <v>0</v>
      </c>
      <c r="K696" s="163">
        <f t="shared" si="328"/>
        <v>0</v>
      </c>
      <c r="L696" s="163">
        <f t="shared" si="328"/>
        <v>0</v>
      </c>
      <c r="M696" s="163">
        <f>SUM(M691:M694)</f>
        <v>0</v>
      </c>
      <c r="N696" s="163" t="str">
        <f t="shared" si="326"/>
        <v>-</v>
      </c>
      <c r="O696" s="163">
        <f>SUM(J696:M696)/4</f>
        <v>0</v>
      </c>
      <c r="P696" s="146">
        <f>IF(ISNUMBER(VLOOKUP(B696,[1]Closures!B:BI,60,FALSE)),TEXT(VLOOKUP(B696,[1]Closures!B:BI,60,FALSE),"ddmmm"),IF(C696&lt;=0,0,IF(I696&lt;=0,0,IF(AND(C696&gt;0,O696&lt;=0),"&gt;52",IF(I696/O696&gt;52,"&gt;52", MAX(0,I696/O696-2))))))</f>
        <v>0</v>
      </c>
      <c r="S696" s="130"/>
    </row>
    <row r="697" spans="1:19" ht="10.7" customHeight="1" x14ac:dyDescent="0.2">
      <c r="A697" s="122"/>
      <c r="B697" s="168"/>
      <c r="C697" s="162"/>
      <c r="D697" s="163"/>
      <c r="E697" s="163"/>
      <c r="F697" s="164"/>
      <c r="G697" s="163"/>
      <c r="H697" s="165"/>
      <c r="I697" s="164"/>
      <c r="J697" s="163"/>
      <c r="K697" s="163"/>
      <c r="L697" s="163"/>
      <c r="M697" s="163"/>
      <c r="N697" s="163" t="str">
        <f t="shared" si="326"/>
        <v>-</v>
      </c>
      <c r="O697" s="163"/>
      <c r="P697" s="146"/>
      <c r="S697" s="130"/>
    </row>
    <row r="698" spans="1:19" ht="10.7" customHeight="1" x14ac:dyDescent="0.2">
      <c r="A698" s="122"/>
      <c r="B698" s="174" t="s">
        <v>138</v>
      </c>
      <c r="C698" s="162">
        <f>'[2]DSS Combined'!$K$36</f>
        <v>0</v>
      </c>
      <c r="D698" s="163">
        <f>F698-VLOOKUP(B698,[1]Quota!$B$103:$BJ$143,60,FALSE)</f>
        <v>0</v>
      </c>
      <c r="E698" s="163">
        <f t="shared" si="324"/>
        <v>0</v>
      </c>
      <c r="F698" s="164">
        <f>VLOOKUP(B698,[1]Quota!$B$81:$BJ$92,60,FALSE)</f>
        <v>0</v>
      </c>
      <c r="G698" s="163">
        <f>'[1]Cumulative '!BM228</f>
        <v>0</v>
      </c>
      <c r="H698" s="165" t="str">
        <f t="shared" si="323"/>
        <v>n/a</v>
      </c>
      <c r="I698" s="164">
        <f t="shared" ref="I698:I705" si="329">F698-G698</f>
        <v>0</v>
      </c>
      <c r="J698" s="163">
        <f>VLOOKUP(B698,[1]weeks!$B$156:$BO$193,64,FALSE)-VLOOKUP(B698,[1]weeks!$B$206:$BO$243,64,FALSE)</f>
        <v>0</v>
      </c>
      <c r="K698" s="163">
        <f>VLOOKUP(B698,[1]weeks!$B$107:$BO$144,64,FALSE)-VLOOKUP(B698,[1]weeks!$B$156:$BO$193,64,FALSE)</f>
        <v>0</v>
      </c>
      <c r="L698" s="163">
        <f>VLOOKUP(B698,[1]weeks!$B$55:$BO$94,64,FALSE)-VLOOKUP(B698,[1]weeks!$B$107:$BO$144,64,FALSE)</f>
        <v>0</v>
      </c>
      <c r="M698" s="163">
        <f>VLOOKUP(B698,[1]weeks!$B$5:$BO$44,64,FALSE)-VLOOKUP(B698,[1]weeks!$B$55:$BO$94,64,FALSE)</f>
        <v>0</v>
      </c>
      <c r="N698" s="163" t="str">
        <f t="shared" si="326"/>
        <v>-</v>
      </c>
      <c r="O698" s="163">
        <f>SUM(J698:M698)/4</f>
        <v>0</v>
      </c>
      <c r="P698" s="146">
        <f>IF(ISNUMBER(VLOOKUP(B698,[1]Closures!B:BI,60,FALSE)),TEXT(VLOOKUP(B698,[1]Closures!B:BI,60,FALSE),"ddmmm"),IF(C698&lt;=0,0,IF(I698&lt;=0,0,IF(AND(C698&gt;0,O698&lt;=0),"&gt;52",IF(I698/O698&gt;52,"&gt;52", MAX(0,I698/O698-2))))))</f>
        <v>0</v>
      </c>
      <c r="S698" s="130"/>
    </row>
    <row r="699" spans="1:19" ht="10.7" customHeight="1" x14ac:dyDescent="0.2">
      <c r="A699" s="122"/>
      <c r="B699" s="174" t="s">
        <v>139</v>
      </c>
      <c r="C699" s="162">
        <f>'[2]DSS Combined'!$K$37</f>
        <v>0</v>
      </c>
      <c r="D699" s="163">
        <f>F699-VLOOKUP(B699,[1]Quota!$B$103:$BJ$143,60,FALSE)</f>
        <v>0</v>
      </c>
      <c r="E699" s="163">
        <f t="shared" si="324"/>
        <v>0</v>
      </c>
      <c r="F699" s="164">
        <f>VLOOKUP(B699,[1]Quota!$B$81:$BJ$92,60,FALSE)</f>
        <v>0</v>
      </c>
      <c r="G699" s="163">
        <f>'[1]Cumulative '!BM229</f>
        <v>0</v>
      </c>
      <c r="H699" s="165" t="str">
        <f t="shared" si="323"/>
        <v>n/a</v>
      </c>
      <c r="I699" s="164">
        <f t="shared" si="329"/>
        <v>0</v>
      </c>
      <c r="J699" s="163">
        <f>VLOOKUP(B699,[1]weeks!$B$156:$BO$193,64,FALSE)-VLOOKUP(B699,[1]weeks!$B$206:$BO$243,64,FALSE)</f>
        <v>0</v>
      </c>
      <c r="K699" s="163">
        <f>VLOOKUP(B699,[1]weeks!$B$107:$BO$144,64,FALSE)-VLOOKUP(B699,[1]weeks!$B$156:$BO$193,64,FALSE)</f>
        <v>0</v>
      </c>
      <c r="L699" s="163">
        <f>VLOOKUP(B699,[1]weeks!$B$55:$BO$94,64,FALSE)-VLOOKUP(B699,[1]weeks!$B$107:$BO$144,64,FALSE)</f>
        <v>0</v>
      </c>
      <c r="M699" s="163">
        <f>VLOOKUP(B699,[1]weeks!$B$5:$BO$44,64,FALSE)-VLOOKUP(B699,[1]weeks!$B$55:$BO$94,64,FALSE)</f>
        <v>0</v>
      </c>
      <c r="N699" s="163" t="str">
        <f t="shared" si="326"/>
        <v>-</v>
      </c>
      <c r="O699" s="163">
        <f t="shared" ref="O699:O701" si="330">SUM(J699:M699)/4</f>
        <v>0</v>
      </c>
      <c r="P699" s="146">
        <f>IF(ISNUMBER(VLOOKUP(B699,[1]Closures!B:BI,60,FALSE)),TEXT(VLOOKUP(B699,[1]Closures!B:BI,60,FALSE),"ddmmm"),IF(C699&lt;=0,0,IF(I699&lt;=0,0,IF(AND(C699&gt;0,O699&lt;=0),"&gt;52",IF(I699/O699&gt;52,"&gt;52", MAX(0,I699/O699-2))))))</f>
        <v>0</v>
      </c>
      <c r="S699" s="130"/>
    </row>
    <row r="700" spans="1:19" ht="10.7" customHeight="1" x14ac:dyDescent="0.2">
      <c r="A700" s="122"/>
      <c r="B700" s="174" t="s">
        <v>140</v>
      </c>
      <c r="C700" s="162">
        <f>'[2]DSS Combined'!$K$38</f>
        <v>0</v>
      </c>
      <c r="D700" s="163">
        <f>F700-VLOOKUP(B700,[1]Quota!$B$103:$BJ$143,60,FALSE)</f>
        <v>0</v>
      </c>
      <c r="E700" s="163">
        <f t="shared" si="324"/>
        <v>0</v>
      </c>
      <c r="F700" s="164">
        <f>VLOOKUP(B700,[1]Quota!$B$81:$BJ$92,60,FALSE)</f>
        <v>0</v>
      </c>
      <c r="G700" s="163">
        <f>'[1]Cumulative '!BM230</f>
        <v>0</v>
      </c>
      <c r="H700" s="165" t="str">
        <f t="shared" si="323"/>
        <v>n/a</v>
      </c>
      <c r="I700" s="164">
        <f t="shared" si="329"/>
        <v>0</v>
      </c>
      <c r="J700" s="163">
        <f>VLOOKUP(B700,[1]weeks!$B$156:$BO$193,64,FALSE)-VLOOKUP(B700,[1]weeks!$B$206:$BO$243,64,FALSE)</f>
        <v>0</v>
      </c>
      <c r="K700" s="163">
        <f>VLOOKUP(B700,[1]weeks!$B$107:$BO$144,64,FALSE)-VLOOKUP(B700,[1]weeks!$B$156:$BO$193,64,FALSE)</f>
        <v>0</v>
      </c>
      <c r="L700" s="163">
        <f>VLOOKUP(B700,[1]weeks!$B$55:$BO$94,64,FALSE)-VLOOKUP(B700,[1]weeks!$B$107:$BO$144,64,FALSE)</f>
        <v>0</v>
      </c>
      <c r="M700" s="163">
        <f>VLOOKUP(B700,[1]weeks!$B$5:$BO$44,64,FALSE)-VLOOKUP(B700,[1]weeks!$B$55:$BO$94,64,FALSE)</f>
        <v>0</v>
      </c>
      <c r="N700" s="163" t="str">
        <f t="shared" si="326"/>
        <v>-</v>
      </c>
      <c r="O700" s="163">
        <f t="shared" si="330"/>
        <v>0</v>
      </c>
      <c r="P700" s="146">
        <f>IF(ISNUMBER(VLOOKUP(B700,[1]Closures!B:BI,60,FALSE)),TEXT(VLOOKUP(B700,[1]Closures!B:BI,60,FALSE),"ddmmm"),IF(C700&lt;=0,0,IF(I700&lt;=0,0,IF(AND(C700&gt;0,O700&lt;=0),"&gt;52",IF(I700/O700&gt;52,"&gt;52", MAX(0,I700/O700-2))))))</f>
        <v>0</v>
      </c>
      <c r="S700" s="130"/>
    </row>
    <row r="701" spans="1:19" ht="10.7" customHeight="1" x14ac:dyDescent="0.2">
      <c r="A701" s="122"/>
      <c r="B701" s="174" t="s">
        <v>141</v>
      </c>
      <c r="C701" s="162">
        <f>'[2]DSS Combined'!$K$39</f>
        <v>0</v>
      </c>
      <c r="D701" s="163">
        <f>F701-VLOOKUP(B701,[1]Quota!$B$103:$BJ$143,60,FALSE)</f>
        <v>0</v>
      </c>
      <c r="E701" s="163">
        <f t="shared" si="324"/>
        <v>0</v>
      </c>
      <c r="F701" s="164">
        <f>VLOOKUP(B701,[1]Quota!$B$81:$BJ$92,60,FALSE)</f>
        <v>0</v>
      </c>
      <c r="G701" s="163">
        <f>'[1]Cumulative '!BM231</f>
        <v>0</v>
      </c>
      <c r="H701" s="165" t="str">
        <f>IF(AND(F701&lt;=0),"n/a",IF(F701=0,0,100*G701/F701))</f>
        <v>n/a</v>
      </c>
      <c r="I701" s="164">
        <f t="shared" si="329"/>
        <v>0</v>
      </c>
      <c r="J701" s="163">
        <f>VLOOKUP(B701,[1]weeks!$B$156:$BO$193,64,FALSE)-VLOOKUP(B701,[1]weeks!$B$206:$BO$243,64,FALSE)</f>
        <v>0</v>
      </c>
      <c r="K701" s="163">
        <f>VLOOKUP(B701,[1]weeks!$B$107:$BO$144,64,FALSE)-VLOOKUP(B701,[1]weeks!$B$156:$BO$193,64,FALSE)</f>
        <v>0</v>
      </c>
      <c r="L701" s="163">
        <f>VLOOKUP(B701,[1]weeks!$B$55:$BO$94,64,FALSE)-VLOOKUP(B701,[1]weeks!$B$107:$BO$144,64,FALSE)</f>
        <v>0</v>
      </c>
      <c r="M701" s="163">
        <f>VLOOKUP(B701,[1]weeks!$B$5:$BO$44,64,FALSE)-VLOOKUP(B701,[1]weeks!$B$55:$BO$94,64,FALSE)</f>
        <v>0</v>
      </c>
      <c r="N701" s="163" t="str">
        <f t="shared" si="326"/>
        <v>-</v>
      </c>
      <c r="O701" s="163">
        <f t="shared" si="330"/>
        <v>0</v>
      </c>
      <c r="P701" s="146">
        <f>IF(ISNUMBER(VLOOKUP(B701,[1]Closures!B:BI,60,FALSE)),TEXT(VLOOKUP(B701,[1]Closures!B:BI,60,FALSE),"ddmmm"),IF(C701&lt;=0,0,IF(I701&lt;=0,0,IF(AND(C701&gt;0,O701&lt;=0),"&gt;52",IF(I701/O701&gt;52,"&gt;52", MAX(0,I701/O701-2))))))</f>
        <v>0</v>
      </c>
      <c r="S701" s="130"/>
    </row>
    <row r="702" spans="1:19" ht="10.7" customHeight="1" x14ac:dyDescent="0.2">
      <c r="A702" s="122"/>
      <c r="B702" s="174" t="s">
        <v>142</v>
      </c>
      <c r="C702" s="162"/>
      <c r="D702" s="163">
        <f>F702-VLOOKUP(B702,[1]Quota!$B$32:$BJ$43,60,FALSE)</f>
        <v>0</v>
      </c>
      <c r="E702" s="163"/>
      <c r="F702" s="164">
        <f>VLOOKUP(B702,[1]Quota!$B$81:$BJ$92,60,FALSE)</f>
        <v>0</v>
      </c>
      <c r="G702" s="163"/>
      <c r="H702" s="165" t="str">
        <f>IF(AND(F702&lt;=0),"n/a",IF(F702=0,0,100*G702/F702))</f>
        <v>n/a</v>
      </c>
      <c r="I702" s="164">
        <f>F702-G702</f>
        <v>0</v>
      </c>
      <c r="J702" s="163"/>
      <c r="K702" s="163"/>
      <c r="L702" s="163"/>
      <c r="M702" s="163"/>
      <c r="N702" s="163"/>
      <c r="O702" s="163"/>
      <c r="P702" s="146"/>
      <c r="S702" s="130"/>
    </row>
    <row r="703" spans="1:19" ht="10.7" customHeight="1" x14ac:dyDescent="0.2">
      <c r="A703" s="122"/>
      <c r="B703" s="168" t="s">
        <v>143</v>
      </c>
      <c r="C703" s="162">
        <f>SUM(C698:C702)</f>
        <v>0</v>
      </c>
      <c r="D703" s="163">
        <f>SUM(D698:D702)</f>
        <v>0</v>
      </c>
      <c r="E703" s="163">
        <f t="shared" si="324"/>
        <v>0</v>
      </c>
      <c r="F703" s="217">
        <f t="shared" ref="F703:G703" si="331">SUM(F698:F702)</f>
        <v>0</v>
      </c>
      <c r="G703" s="173">
        <f t="shared" si="331"/>
        <v>0</v>
      </c>
      <c r="H703" s="165" t="str">
        <f t="shared" si="323"/>
        <v>n/a</v>
      </c>
      <c r="I703" s="164">
        <f t="shared" si="329"/>
        <v>0</v>
      </c>
      <c r="J703" s="163">
        <f t="shared" ref="J703:L703" si="332">SUM(J698:J701)</f>
        <v>0</v>
      </c>
      <c r="K703" s="163">
        <f t="shared" si="332"/>
        <v>0</v>
      </c>
      <c r="L703" s="163">
        <f t="shared" si="332"/>
        <v>0</v>
      </c>
      <c r="M703" s="163">
        <f>SUM(M698:M701)</f>
        <v>0</v>
      </c>
      <c r="N703" s="163" t="str">
        <f t="shared" si="326"/>
        <v>-</v>
      </c>
      <c r="O703" s="163">
        <f>SUM(J703:M703)/4</f>
        <v>0</v>
      </c>
      <c r="P703" s="146">
        <f>IF(ISNUMBER(VLOOKUP(B703,[1]Closures!B:BI,60,FALSE)),TEXT(VLOOKUP(B703,[1]Closures!B:BI,60,FALSE),"ddmmm"),IF(C703&lt;=0,0,IF(I703&lt;=0,0,IF(AND(C703&gt;0,O703&lt;=0),"&gt;52",IF(I703/O703&gt;52,"&gt;52", MAX(0,I703/O703-2))))))</f>
        <v>0</v>
      </c>
      <c r="S703" s="130"/>
    </row>
    <row r="704" spans="1:19" ht="10.7" customHeight="1" x14ac:dyDescent="0.2">
      <c r="A704" s="122"/>
      <c r="B704" s="168"/>
      <c r="C704" s="162"/>
      <c r="D704" s="163"/>
      <c r="E704" s="163"/>
      <c r="F704" s="164"/>
      <c r="G704" s="163"/>
      <c r="H704" s="165"/>
      <c r="I704" s="164"/>
      <c r="J704" s="163"/>
      <c r="K704" s="163"/>
      <c r="L704" s="163"/>
      <c r="M704" s="163"/>
      <c r="N704" s="163"/>
      <c r="O704" s="163"/>
      <c r="P704" s="146"/>
      <c r="S704" s="130"/>
    </row>
    <row r="705" spans="1:19" ht="10.7" customHeight="1" x14ac:dyDescent="0.2">
      <c r="A705" s="122"/>
      <c r="B705" s="175" t="s">
        <v>112</v>
      </c>
      <c r="C705" s="176">
        <f>C703+C696</f>
        <v>0</v>
      </c>
      <c r="D705" s="180">
        <f>D703+D696</f>
        <v>0</v>
      </c>
      <c r="E705" s="180">
        <f t="shared" si="324"/>
        <v>0</v>
      </c>
      <c r="F705" s="189">
        <f>F703+F696</f>
        <v>0</v>
      </c>
      <c r="G705" s="180">
        <f>G703+G696</f>
        <v>0</v>
      </c>
      <c r="H705" s="179" t="str">
        <f t="shared" si="323"/>
        <v>n/a</v>
      </c>
      <c r="I705" s="218">
        <f t="shared" si="329"/>
        <v>0</v>
      </c>
      <c r="J705" s="180">
        <f t="shared" ref="J705:L705" si="333">J696+J703</f>
        <v>0</v>
      </c>
      <c r="K705" s="180">
        <f t="shared" si="333"/>
        <v>0</v>
      </c>
      <c r="L705" s="180">
        <f t="shared" si="333"/>
        <v>0</v>
      </c>
      <c r="M705" s="180">
        <f>M696+M703</f>
        <v>0</v>
      </c>
      <c r="N705" s="180" t="str">
        <f t="shared" si="326"/>
        <v>-</v>
      </c>
      <c r="O705" s="180">
        <f>SUM(J705:M705)/4</f>
        <v>0</v>
      </c>
      <c r="P705" s="153">
        <f>IF(ISNUMBER(VLOOKUP(B705,[1]Closures!B:BI,60,FALSE)),TEXT(VLOOKUP(B705,[1]Closures!B:BI,60,FALSE),"ddmmm"),IF(C705&lt;=0,0,IF(I705&lt;=0,0,IF(AND(C705&gt;0,O705&lt;=0),"&gt;52",IF(I705/O705&gt;52,"&gt;52", MAX(0,I705/O705-2))))))</f>
        <v>0</v>
      </c>
      <c r="S705" s="130"/>
    </row>
    <row r="706" spans="1:19" ht="10.7" customHeight="1" x14ac:dyDescent="0.2">
      <c r="A706" s="122"/>
      <c r="B706" s="212"/>
      <c r="C706" s="173"/>
      <c r="D706" s="163"/>
      <c r="E706" s="163"/>
      <c r="F706" s="164"/>
      <c r="G706" s="163"/>
      <c r="H706" s="165"/>
      <c r="I706" s="164"/>
      <c r="J706" s="163"/>
      <c r="K706" s="163"/>
      <c r="L706" s="163"/>
      <c r="M706" s="163"/>
      <c r="N706" s="163"/>
      <c r="O706" s="163"/>
      <c r="P706" s="182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tr">
        <f>C5</f>
        <v>Initial Quota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f>[1]weeks!$B$154</f>
        <v>43166</v>
      </c>
      <c r="K710" s="151">
        <f>[1]weeks!$B$105</f>
        <v>43173</v>
      </c>
      <c r="L710" s="151">
        <f>[1]weeks!$B$55</f>
        <v>43180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6"/>
      <c r="C712" s="187" t="s">
        <v>118</v>
      </c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95"/>
      <c r="P712" s="145"/>
      <c r="S712" s="130"/>
    </row>
    <row r="713" spans="1:19" ht="10.7" customHeight="1" x14ac:dyDescent="0.2">
      <c r="A713" s="122"/>
      <c r="B713" s="161" t="s">
        <v>132</v>
      </c>
      <c r="C713" s="162">
        <f>'[2]DSS Combined'!$L$29</f>
        <v>0</v>
      </c>
      <c r="D713" s="163">
        <f>F713-VLOOKUP(B713,[1]Quota!$B$32:$BJ$43,61,FALSE)</f>
        <v>0</v>
      </c>
      <c r="E713" s="163">
        <f>F713-C713</f>
        <v>0</v>
      </c>
      <c r="F713" s="164">
        <f>VLOOKUP(B713,[1]Quota!$B$81:$BJ$92,61,FALSE)</f>
        <v>0</v>
      </c>
      <c r="G713" s="163">
        <f>'[1]Cumulative '!BN221</f>
        <v>0</v>
      </c>
      <c r="H713" s="165" t="str">
        <f t="shared" ref="H713:H727" si="334">IF(AND(F713&lt;=0),"n/a",IF(F713=0,0,100*G713/F713))</f>
        <v>n/a</v>
      </c>
      <c r="I713" s="164">
        <f>F713-G713</f>
        <v>0</v>
      </c>
      <c r="J713" s="163">
        <f>VLOOKUP(B713,[1]weeks!$B$156:$BO$193,65,FALSE)-VLOOKUP(B713,[1]weeks!$B$206:$BO$243,65,FALSE)</f>
        <v>0</v>
      </c>
      <c r="K713" s="163">
        <f>VLOOKUP(B713,[1]weeks!$B$107:$BO$144,65,FALSE)-VLOOKUP(B713,[1]weeks!$B$156:$BO$193,65,FALSE)</f>
        <v>0</v>
      </c>
      <c r="L713" s="163">
        <f>VLOOKUP(B713,[1]weeks!$B$55:$BO$94,65,FALSE)-VLOOKUP(B713,[1]weeks!$B$107:$BO$144,65,FALSE)</f>
        <v>0</v>
      </c>
      <c r="M713" s="163">
        <f>VLOOKUP(B713,[1]weeks!$B$5:$BO$44,65,FALSE)-VLOOKUP(B713,[1]weeks!$B$55:$BO$94,65,FALSE)</f>
        <v>0</v>
      </c>
      <c r="N713" s="163" t="str">
        <f>IF(F713&gt;0,M713/F713*100,"-")</f>
        <v>-</v>
      </c>
      <c r="O713" s="163">
        <f>SUM(J713:M713)/4</f>
        <v>0</v>
      </c>
      <c r="P713" s="146">
        <f>IF(ISNUMBER(VLOOKUP(B713,[1]Closures!B:BI,61,FALSE)),TEXT(VLOOKUP(B713,[1]Closures!B:BI,61,FALSE),"ddmmm"),IF(C713&lt;=0,0,IF(I713&lt;=0,0,IF(AND(C713&gt;0,O713&lt;=0),"&gt;52",IF(I713/O713&gt;52,"&gt;52", MAX(0,I713/O713-2))))))</f>
        <v>0</v>
      </c>
      <c r="S713" s="130"/>
    </row>
    <row r="714" spans="1:19" ht="10.7" customHeight="1" x14ac:dyDescent="0.2">
      <c r="A714" s="122"/>
      <c r="B714" s="161" t="s">
        <v>133</v>
      </c>
      <c r="C714" s="162">
        <f>'[2]DSS Combined'!$L$30</f>
        <v>0</v>
      </c>
      <c r="D714" s="163">
        <f>F714-VLOOKUP(B714,[1]Quota!$B$32:$BJ$43,61,FALSE)</f>
        <v>0</v>
      </c>
      <c r="E714" s="163">
        <f t="shared" ref="E714:E727" si="335">F714-C714</f>
        <v>0</v>
      </c>
      <c r="F714" s="164">
        <f>VLOOKUP(B714,[1]Quota!$B$81:$BJ$92,61,FALSE)</f>
        <v>0</v>
      </c>
      <c r="G714" s="163">
        <f>'[1]Cumulative '!BN222</f>
        <v>0</v>
      </c>
      <c r="H714" s="165" t="str">
        <f t="shared" si="334"/>
        <v>n/a</v>
      </c>
      <c r="I714" s="164">
        <f t="shared" ref="I714:I716" si="336">F714-G714</f>
        <v>0</v>
      </c>
      <c r="J714" s="163">
        <f>VLOOKUP(B714,[1]weeks!$B$156:$BO$193,65,FALSE)-VLOOKUP(B714,[1]weeks!$B$206:$BO$243,65,FALSE)</f>
        <v>0</v>
      </c>
      <c r="K714" s="163">
        <f>VLOOKUP(B714,[1]weeks!$B$107:$BO$144,65,FALSE)-VLOOKUP(B714,[1]weeks!$B$156:$BO$193,65,FALSE)</f>
        <v>0</v>
      </c>
      <c r="L714" s="163">
        <f>VLOOKUP(B714,[1]weeks!$B$55:$BO$94,65,FALSE)-VLOOKUP(B714,[1]weeks!$B$107:$BO$144,65,FALSE)</f>
        <v>0</v>
      </c>
      <c r="M714" s="163">
        <f>VLOOKUP(B714,[1]weeks!$B$5:$BO$44,65,FALSE)-VLOOKUP(B714,[1]weeks!$B$55:$BO$94,65,FALSE)</f>
        <v>0</v>
      </c>
      <c r="N714" s="163" t="str">
        <f t="shared" ref="N714:N727" si="337">IF(F714&gt;0,M714/F714*100,"-")</f>
        <v>-</v>
      </c>
      <c r="O714" s="163">
        <f t="shared" ref="O714:O723" si="338">SUM(J714:M714)/4</f>
        <v>0</v>
      </c>
      <c r="P714" s="146">
        <f>IF(ISNUMBER(VLOOKUP(B714,[1]Closures!B:BI,61,FALSE)),TEXT(VLOOKUP(B714,[1]Closures!B:BI,61,FALSE),"ddmmm"),IF(C714&lt;=0,0,IF(I714&lt;=0,0,IF(AND(C714&gt;0,O714&lt;=0),"&gt;52",IF(I714/O714&gt;52,"&gt;52", MAX(0,I714/O714-2))))))</f>
        <v>0</v>
      </c>
      <c r="S714" s="130"/>
    </row>
    <row r="715" spans="1:19" ht="10.7" customHeight="1" x14ac:dyDescent="0.2">
      <c r="A715" s="122"/>
      <c r="B715" s="161" t="s">
        <v>134</v>
      </c>
      <c r="C715" s="162">
        <f>'[2]DSS Combined'!$L$31</f>
        <v>0</v>
      </c>
      <c r="D715" s="163">
        <f>F715-VLOOKUP(B715,[1]Quota!$B$32:$BJ$43,61,FALSE)</f>
        <v>0</v>
      </c>
      <c r="E715" s="163">
        <f t="shared" si="335"/>
        <v>0</v>
      </c>
      <c r="F715" s="164">
        <f>VLOOKUP(B715,[1]Quota!$B$81:$BJ$92,61,FALSE)</f>
        <v>0</v>
      </c>
      <c r="G715" s="163">
        <f>'[1]Cumulative '!BN223</f>
        <v>0</v>
      </c>
      <c r="H715" s="165" t="str">
        <f t="shared" si="334"/>
        <v>n/a</v>
      </c>
      <c r="I715" s="164">
        <f t="shared" si="336"/>
        <v>0</v>
      </c>
      <c r="J715" s="163">
        <f>VLOOKUP(B715,[1]weeks!$B$156:$BO$193,65,FALSE)-VLOOKUP(B715,[1]weeks!$B$206:$BO$243,65,FALSE)</f>
        <v>0</v>
      </c>
      <c r="K715" s="163">
        <f>VLOOKUP(B715,[1]weeks!$B$107:$BO$144,65,FALSE)-VLOOKUP(B715,[1]weeks!$B$156:$BO$193,65,FALSE)</f>
        <v>0</v>
      </c>
      <c r="L715" s="163">
        <f>VLOOKUP(B715,[1]weeks!$B$55:$BO$94,65,FALSE)-VLOOKUP(B715,[1]weeks!$B$107:$BO$144,65,FALSE)</f>
        <v>0</v>
      </c>
      <c r="M715" s="163">
        <f>VLOOKUP(B715,[1]weeks!$B$5:$BO$44,65,FALSE)-VLOOKUP(B715,[1]weeks!$B$55:$BO$94,65,FALSE)</f>
        <v>0</v>
      </c>
      <c r="N715" s="163" t="str">
        <f t="shared" si="337"/>
        <v>-</v>
      </c>
      <c r="O715" s="163">
        <f t="shared" si="338"/>
        <v>0</v>
      </c>
      <c r="P715" s="146">
        <f>IF(ISNUMBER(VLOOKUP(B715,[1]Closures!B:BI,61,FALSE)),TEXT(VLOOKUP(B715,[1]Closures!B:BI,61,FALSE),"ddmmm"),IF(C715&lt;=0,0,IF(I715&lt;=0,0,IF(AND(C715&gt;0,O715&lt;=0),"&gt;52",IF(I715/O715&gt;52,"&gt;52", MAX(0,I715/O715-2))))))</f>
        <v>0</v>
      </c>
      <c r="S715" s="130"/>
    </row>
    <row r="716" spans="1:19" ht="10.7" customHeight="1" x14ac:dyDescent="0.2">
      <c r="A716" s="122"/>
      <c r="B716" s="161" t="s">
        <v>135</v>
      </c>
      <c r="C716" s="162">
        <f>'[2]DSS Combined'!$L$32</f>
        <v>0</v>
      </c>
      <c r="D716" s="163">
        <f>F716-VLOOKUP(B716,[1]Quota!$B$32:$BJ$43,61,FALSE)</f>
        <v>0</v>
      </c>
      <c r="E716" s="163">
        <f t="shared" si="335"/>
        <v>0</v>
      </c>
      <c r="F716" s="164">
        <f>VLOOKUP(B716,[1]Quota!$B$81:$BJ$92,61,FALSE)</f>
        <v>0</v>
      </c>
      <c r="G716" s="163">
        <f>'[1]Cumulative '!BN224</f>
        <v>0</v>
      </c>
      <c r="H716" s="165" t="str">
        <f t="shared" si="334"/>
        <v>n/a</v>
      </c>
      <c r="I716" s="164">
        <f t="shared" si="336"/>
        <v>0</v>
      </c>
      <c r="J716" s="163">
        <f>VLOOKUP(B716,[1]weeks!$B$156:$BO$193,65,FALSE)-VLOOKUP(B716,[1]weeks!$B$206:$BO$243,65,FALSE)</f>
        <v>0</v>
      </c>
      <c r="K716" s="163">
        <f>VLOOKUP(B716,[1]weeks!$B$107:$BO$144,65,FALSE)-VLOOKUP(B716,[1]weeks!$B$156:$BO$193,65,FALSE)</f>
        <v>0</v>
      </c>
      <c r="L716" s="163">
        <f>VLOOKUP(B716,[1]weeks!$B$55:$BO$94,65,FALSE)-VLOOKUP(B716,[1]weeks!$B$107:$BO$144,65,FALSE)</f>
        <v>0</v>
      </c>
      <c r="M716" s="163">
        <f>VLOOKUP(B716,[1]weeks!$B$5:$BO$44,65,FALSE)-VLOOKUP(B716,[1]weeks!$B$55:$BO$94,65,FALSE)</f>
        <v>0</v>
      </c>
      <c r="N716" s="163" t="str">
        <f t="shared" si="337"/>
        <v>-</v>
      </c>
      <c r="O716" s="163">
        <f t="shared" si="338"/>
        <v>0</v>
      </c>
      <c r="P716" s="146">
        <f>IF(ISNUMBER(VLOOKUP(B716,[1]Closures!B:BI,61,FALSE)),TEXT(VLOOKUP(B716,[1]Closures!B:BI,61,FALSE),"ddmmm"),IF(C716&lt;=0,0,IF(I716&lt;=0,0,IF(AND(C716&gt;0,O716&lt;=0),"&gt;52",IF(I716/O716&gt;52,"&gt;52", MAX(0,I716/O716-2))))))</f>
        <v>0</v>
      </c>
      <c r="S716" s="130"/>
    </row>
    <row r="717" spans="1:19" ht="10.7" customHeight="1" x14ac:dyDescent="0.2">
      <c r="A717" s="122"/>
      <c r="B717" s="161"/>
      <c r="C717" s="162"/>
      <c r="D717" s="163"/>
      <c r="E717" s="163"/>
      <c r="F717" s="164"/>
      <c r="G717" s="163"/>
      <c r="H717" s="165"/>
      <c r="I717" s="164"/>
      <c r="J717" s="163"/>
      <c r="K717" s="163"/>
      <c r="L717" s="163"/>
      <c r="M717" s="163"/>
      <c r="N717" s="163"/>
      <c r="O717" s="163"/>
      <c r="P717" s="146"/>
      <c r="S717" s="130"/>
    </row>
    <row r="718" spans="1:19" ht="10.7" customHeight="1" x14ac:dyDescent="0.2">
      <c r="A718" s="122"/>
      <c r="B718" s="168" t="s">
        <v>137</v>
      </c>
      <c r="C718" s="162">
        <f>SUM(C713:C716)</f>
        <v>0</v>
      </c>
      <c r="D718" s="163">
        <f>SUM(D713:D716)</f>
        <v>0</v>
      </c>
      <c r="E718" s="163">
        <f t="shared" si="335"/>
        <v>0</v>
      </c>
      <c r="F718" s="217">
        <f t="shared" ref="F718" si="339">SUM(F713:F716)</f>
        <v>0</v>
      </c>
      <c r="G718" s="163">
        <f>SUM(G713:G716)</f>
        <v>0</v>
      </c>
      <c r="H718" s="165" t="str">
        <f t="shared" si="334"/>
        <v>n/a</v>
      </c>
      <c r="I718" s="217">
        <f t="shared" ref="I718:L718" si="340">SUM(I713:I716)</f>
        <v>0</v>
      </c>
      <c r="J718" s="163">
        <f t="shared" si="340"/>
        <v>0</v>
      </c>
      <c r="K718" s="163">
        <f t="shared" si="340"/>
        <v>0</v>
      </c>
      <c r="L718" s="163">
        <f t="shared" si="340"/>
        <v>0</v>
      </c>
      <c r="M718" s="163">
        <f>SUM(M713:M716)</f>
        <v>0</v>
      </c>
      <c r="N718" s="163" t="str">
        <f t="shared" si="337"/>
        <v>-</v>
      </c>
      <c r="O718" s="163">
        <f t="shared" si="338"/>
        <v>0</v>
      </c>
      <c r="P718" s="146">
        <f>IF(ISNUMBER(VLOOKUP(B718,[1]Closures!B:BI,61,FALSE)),TEXT(VLOOKUP(B718,[1]Closures!B:BI,61,FALSE),"ddmmm"),IF(C718&lt;=0,0,IF(I718&lt;=0,0,IF(AND(C718&gt;0,O718&lt;=0),"&gt;52",IF(I718/O718&gt;52,"&gt;52", MAX(0,I718/O718-2))))))</f>
        <v>0</v>
      </c>
      <c r="S718" s="130"/>
    </row>
    <row r="719" spans="1:19" ht="10.7" customHeight="1" x14ac:dyDescent="0.2">
      <c r="A719" s="122"/>
      <c r="B719" s="168"/>
      <c r="C719" s="162"/>
      <c r="D719" s="163"/>
      <c r="E719" s="163"/>
      <c r="F719" s="164"/>
      <c r="G719" s="163"/>
      <c r="H719" s="165"/>
      <c r="I719" s="164"/>
      <c r="J719" s="163"/>
      <c r="K719" s="163"/>
      <c r="L719" s="163"/>
      <c r="M719" s="163"/>
      <c r="N719" s="163" t="str">
        <f t="shared" si="337"/>
        <v>-</v>
      </c>
      <c r="O719" s="163"/>
      <c r="P719" s="146"/>
      <c r="S719" s="130"/>
    </row>
    <row r="720" spans="1:19" ht="10.7" customHeight="1" x14ac:dyDescent="0.2">
      <c r="A720" s="122"/>
      <c r="B720" s="174" t="s">
        <v>138</v>
      </c>
      <c r="C720" s="162">
        <f>'[2]DSS Combined'!$L$36</f>
        <v>0</v>
      </c>
      <c r="D720" s="163">
        <f>F720-VLOOKUP(B720,[1]Quota!$B$32:$BJ$43,61,FALSE)</f>
        <v>0</v>
      </c>
      <c r="E720" s="163">
        <f t="shared" si="335"/>
        <v>0</v>
      </c>
      <c r="F720" s="164">
        <f>VLOOKUP(B720,[1]Quota!$B$81:$BJ$92,61,FALSE)</f>
        <v>0</v>
      </c>
      <c r="G720" s="163">
        <f>'[1]Cumulative '!BN228</f>
        <v>0</v>
      </c>
      <c r="H720" s="165" t="str">
        <f t="shared" si="334"/>
        <v>n/a</v>
      </c>
      <c r="I720" s="164">
        <f t="shared" ref="I720:I727" si="341">F720-G720</f>
        <v>0</v>
      </c>
      <c r="J720" s="163">
        <f>VLOOKUP(B720,[1]weeks!$B$156:$BO$193,65,FALSE)-VLOOKUP(B720,[1]weeks!$B$206:$BO$243,65,FALSE)</f>
        <v>0</v>
      </c>
      <c r="K720" s="163">
        <f>VLOOKUP(B720,[1]weeks!$B$107:$BO$144,65,FALSE)-VLOOKUP(B720,[1]weeks!$B$156:$BO$193,65,FALSE)</f>
        <v>0</v>
      </c>
      <c r="L720" s="163">
        <f>VLOOKUP(B720,[1]weeks!$B$55:$BO$94,65,FALSE)-VLOOKUP(B720,[1]weeks!$B$107:$BO$144,65,FALSE)</f>
        <v>0</v>
      </c>
      <c r="M720" s="163">
        <f>VLOOKUP(B720,[1]weeks!$B$5:$BO$44,65,FALSE)-VLOOKUP(B720,[1]weeks!$B$55:$BO$94,65,FALSE)</f>
        <v>0</v>
      </c>
      <c r="N720" s="163" t="str">
        <f t="shared" si="337"/>
        <v>-</v>
      </c>
      <c r="O720" s="163">
        <f t="shared" si="338"/>
        <v>0</v>
      </c>
      <c r="P720" s="146">
        <f>IF(ISNUMBER(VLOOKUP(B720,[1]Closures!B:BI,61,FALSE)),TEXT(VLOOKUP(B720,[1]Closures!B:BI,61,FALSE),"ddmmm"),IF(C720&lt;=0,0,IF(I720&lt;=0,0,IF(AND(C720&gt;0,O720&lt;=0),"&gt;52",IF(I720/O720&gt;52,"&gt;52", MAX(0,I720/O720-2))))))</f>
        <v>0</v>
      </c>
      <c r="S720" s="130"/>
    </row>
    <row r="721" spans="1:19" ht="10.7" customHeight="1" x14ac:dyDescent="0.2">
      <c r="A721" s="122"/>
      <c r="B721" s="174" t="s">
        <v>139</v>
      </c>
      <c r="C721" s="162">
        <f>'[2]DSS Combined'!$L$37</f>
        <v>0</v>
      </c>
      <c r="D721" s="163">
        <f>F721-VLOOKUP(B721,[1]Quota!$B$32:$BJ$43,61,FALSE)</f>
        <v>0</v>
      </c>
      <c r="E721" s="163">
        <f t="shared" si="335"/>
        <v>0</v>
      </c>
      <c r="F721" s="164">
        <f>VLOOKUP(B721,[1]Quota!$B$81:$BJ$92,61,FALSE)</f>
        <v>0</v>
      </c>
      <c r="G721" s="163">
        <f>'[1]Cumulative '!BN229</f>
        <v>0</v>
      </c>
      <c r="H721" s="165" t="str">
        <f t="shared" si="334"/>
        <v>n/a</v>
      </c>
      <c r="I721" s="164">
        <f t="shared" si="341"/>
        <v>0</v>
      </c>
      <c r="J721" s="163">
        <f>VLOOKUP(B721,[1]weeks!$B$156:$BO$193,65,FALSE)-VLOOKUP(B721,[1]weeks!$B$206:$BO$243,65,FALSE)</f>
        <v>0</v>
      </c>
      <c r="K721" s="163">
        <f>VLOOKUP(B721,[1]weeks!$B$107:$BO$144,65,FALSE)-VLOOKUP(B721,[1]weeks!$B$156:$BO$193,65,FALSE)</f>
        <v>0</v>
      </c>
      <c r="L721" s="163">
        <f>VLOOKUP(B721,[1]weeks!$B$55:$BO$94,65,FALSE)-VLOOKUP(B721,[1]weeks!$B$107:$BO$144,65,FALSE)</f>
        <v>0</v>
      </c>
      <c r="M721" s="163">
        <f>VLOOKUP(B721,[1]weeks!$B$5:$BO$44,65,FALSE)-VLOOKUP(B721,[1]weeks!$B$55:$BO$94,65,FALSE)</f>
        <v>0</v>
      </c>
      <c r="N721" s="163" t="str">
        <f t="shared" si="337"/>
        <v>-</v>
      </c>
      <c r="O721" s="163">
        <f t="shared" si="338"/>
        <v>0</v>
      </c>
      <c r="P721" s="146">
        <f>IF(ISNUMBER(VLOOKUP(B721,[1]Closures!B:BI,61,FALSE)),TEXT(VLOOKUP(B721,[1]Closures!B:BI,61,FALSE),"ddmmm"),IF(C721&lt;=0,0,IF(I721&lt;=0,0,IF(AND(C721&gt;0,O721&lt;=0),"&gt;52",IF(I721/O721&gt;52,"&gt;52", MAX(0,I721/O721-2))))))</f>
        <v>0</v>
      </c>
      <c r="S721" s="130"/>
    </row>
    <row r="722" spans="1:19" ht="10.7" customHeight="1" x14ac:dyDescent="0.2">
      <c r="A722" s="122"/>
      <c r="B722" s="174" t="s">
        <v>140</v>
      </c>
      <c r="C722" s="162">
        <f>'[2]DSS Combined'!$L$38</f>
        <v>0</v>
      </c>
      <c r="D722" s="163">
        <f>F722-VLOOKUP(B722,[1]Quota!$B$32:$BJ$43,61,FALSE)</f>
        <v>0</v>
      </c>
      <c r="E722" s="163">
        <f t="shared" si="335"/>
        <v>0</v>
      </c>
      <c r="F722" s="164">
        <f>VLOOKUP(B722,[1]Quota!$B$81:$BJ$92,61,FALSE)</f>
        <v>0</v>
      </c>
      <c r="G722" s="163">
        <f>'[1]Cumulative '!BN230</f>
        <v>0</v>
      </c>
      <c r="H722" s="165" t="str">
        <f t="shared" si="334"/>
        <v>n/a</v>
      </c>
      <c r="I722" s="164">
        <f t="shared" si="341"/>
        <v>0</v>
      </c>
      <c r="J722" s="163">
        <f>VLOOKUP(B722,[1]weeks!$B$156:$BO$193,65,FALSE)-VLOOKUP(B722,[1]weeks!$B$206:$BO$243,65,FALSE)</f>
        <v>0</v>
      </c>
      <c r="K722" s="163">
        <f>VLOOKUP(B722,[1]weeks!$B$107:$BO$144,65,FALSE)-VLOOKUP(B722,[1]weeks!$B$156:$BO$193,65,FALSE)</f>
        <v>0</v>
      </c>
      <c r="L722" s="163">
        <f>VLOOKUP(B722,[1]weeks!$B$55:$BO$94,65,FALSE)-VLOOKUP(B722,[1]weeks!$B$107:$BO$144,65,FALSE)</f>
        <v>0</v>
      </c>
      <c r="M722" s="163">
        <f>VLOOKUP(B722,[1]weeks!$B$5:$BO$44,65,FALSE)-VLOOKUP(B722,[1]weeks!$B$55:$BO$94,65,FALSE)</f>
        <v>0</v>
      </c>
      <c r="N722" s="163" t="str">
        <f t="shared" si="337"/>
        <v>-</v>
      </c>
      <c r="O722" s="163">
        <f t="shared" si="338"/>
        <v>0</v>
      </c>
      <c r="P722" s="146">
        <f>IF(ISNUMBER(VLOOKUP(B722,[1]Closures!B:BI,61,FALSE)),TEXT(VLOOKUP(B722,[1]Closures!B:BI,61,FALSE),"ddmmm"),IF(C722&lt;=0,0,IF(I722&lt;=0,0,IF(AND(C722&gt;0,O722&lt;=0),"&gt;52",IF(I722/O722&gt;52,"&gt;52", MAX(0,I722/O722-2))))))</f>
        <v>0</v>
      </c>
      <c r="S722" s="130"/>
    </row>
    <row r="723" spans="1:19" ht="10.7" customHeight="1" x14ac:dyDescent="0.2">
      <c r="A723" s="122"/>
      <c r="B723" s="174" t="s">
        <v>141</v>
      </c>
      <c r="C723" s="162">
        <f>'[2]DSS Combined'!$L$39</f>
        <v>0</v>
      </c>
      <c r="D723" s="163">
        <f>F723-VLOOKUP(B723,[1]Quota!$B$32:$BJ$43,61,FALSE)</f>
        <v>0</v>
      </c>
      <c r="E723" s="163">
        <f t="shared" si="335"/>
        <v>0</v>
      </c>
      <c r="F723" s="164">
        <f>VLOOKUP(B723,[1]Quota!$B$81:$BJ$92,61,FALSE)</f>
        <v>0</v>
      </c>
      <c r="G723" s="163">
        <f>'[1]Cumulative '!BN231</f>
        <v>0</v>
      </c>
      <c r="H723" s="165" t="str">
        <f>IF(AND(F723&lt;=0),"n/a",IF(F723=0,0,100*G723/F723))</f>
        <v>n/a</v>
      </c>
      <c r="I723" s="164">
        <f t="shared" si="341"/>
        <v>0</v>
      </c>
      <c r="J723" s="163">
        <f>VLOOKUP(B723,[1]weeks!$B$156:$BO$193,65,FALSE)-VLOOKUP(B723,[1]weeks!$B$206:$BO$243,65,FALSE)</f>
        <v>0</v>
      </c>
      <c r="K723" s="163">
        <f>VLOOKUP(B723,[1]weeks!$B$107:$BO$144,65,FALSE)-VLOOKUP(B723,[1]weeks!$B$156:$BO$193,65,FALSE)</f>
        <v>0</v>
      </c>
      <c r="L723" s="163">
        <f>VLOOKUP(B723,[1]weeks!$B$55:$BO$94,65,FALSE)-VLOOKUP(B723,[1]weeks!$B$107:$BO$144,65,FALSE)</f>
        <v>0</v>
      </c>
      <c r="M723" s="163">
        <f>VLOOKUP(B723,[1]weeks!$B$5:$BO$44,65,FALSE)-VLOOKUP(B723,[1]weeks!$B$55:$BO$94,65,FALSE)</f>
        <v>0</v>
      </c>
      <c r="N723" s="163" t="str">
        <f t="shared" si="337"/>
        <v>-</v>
      </c>
      <c r="O723" s="163">
        <f t="shared" si="338"/>
        <v>0</v>
      </c>
      <c r="P723" s="146">
        <f>IF(ISNUMBER(VLOOKUP(B723,[1]Closures!B:BI,61,FALSE)),TEXT(VLOOKUP(B723,[1]Closures!B:BI,61,FALSE),"ddmmm"),IF(C723&lt;=0,0,IF(I723&lt;=0,0,IF(AND(C723&gt;0,O723&lt;=0),"&gt;52",IF(I723/O723&gt;52,"&gt;52", MAX(0,I723/O723-2))))))</f>
        <v>0</v>
      </c>
      <c r="S723" s="130"/>
    </row>
    <row r="724" spans="1:19" ht="10.7" customHeight="1" x14ac:dyDescent="0.2">
      <c r="A724" s="122"/>
      <c r="B724" s="174" t="s">
        <v>142</v>
      </c>
      <c r="C724" s="162"/>
      <c r="D724" s="163">
        <f>F724-VLOOKUP(B724,[1]Quota!$B$32:$BJ$43,61,FALSE)</f>
        <v>0</v>
      </c>
      <c r="E724" s="163"/>
      <c r="F724" s="164">
        <f>VLOOKUP(B724,[1]Quota!$B$81:$BJ$92,61,FALSE)</f>
        <v>0</v>
      </c>
      <c r="G724" s="163"/>
      <c r="H724" s="165" t="str">
        <f>IF(AND(F724&lt;=0),"n/a",IF(F724=0,0,100*G724/F724))</f>
        <v>n/a</v>
      </c>
      <c r="I724" s="164">
        <f>F724-G724</f>
        <v>0</v>
      </c>
      <c r="J724" s="163"/>
      <c r="K724" s="163"/>
      <c r="L724" s="163"/>
      <c r="M724" s="163"/>
      <c r="N724" s="163"/>
      <c r="O724" s="163"/>
      <c r="P724" s="146"/>
      <c r="S724" s="130"/>
    </row>
    <row r="725" spans="1:19" ht="10.7" customHeight="1" x14ac:dyDescent="0.2">
      <c r="A725" s="122"/>
      <c r="B725" s="168" t="s">
        <v>143</v>
      </c>
      <c r="C725" s="162">
        <f>SUM(C720:C724)</f>
        <v>0</v>
      </c>
      <c r="D725" s="163">
        <f>SUM(D720:D723)</f>
        <v>0</v>
      </c>
      <c r="E725" s="163">
        <f t="shared" si="335"/>
        <v>0</v>
      </c>
      <c r="F725" s="217">
        <f t="shared" ref="F725:G725" si="342">SUM(F720:F724)</f>
        <v>0</v>
      </c>
      <c r="G725" s="173">
        <f t="shared" si="342"/>
        <v>0</v>
      </c>
      <c r="H725" s="165" t="str">
        <f t="shared" si="334"/>
        <v>n/a</v>
      </c>
      <c r="I725" s="164">
        <f t="shared" si="341"/>
        <v>0</v>
      </c>
      <c r="J725" s="163">
        <f t="shared" ref="J725:L725" si="343">SUM(J720:J723)</f>
        <v>0</v>
      </c>
      <c r="K725" s="163">
        <f t="shared" si="343"/>
        <v>0</v>
      </c>
      <c r="L725" s="163">
        <f t="shared" si="343"/>
        <v>0</v>
      </c>
      <c r="M725" s="163">
        <f>SUM(M720:M723)</f>
        <v>0</v>
      </c>
      <c r="N725" s="163" t="str">
        <f t="shared" si="337"/>
        <v>-</v>
      </c>
      <c r="O725" s="163">
        <f>SUM(J725:M725)/4</f>
        <v>0</v>
      </c>
      <c r="P725" s="146">
        <f>IF(ISNUMBER(VLOOKUP(B725,[1]Closures!B:BI,61,FALSE)),TEXT(VLOOKUP(B725,[1]Closures!B:BI,61,FALSE),"ddmmm"),IF(C725&lt;=0,0,IF(I725&lt;=0,0,IF(AND(C725&gt;0,O725&lt;=0),"&gt;52",IF(I725/O725&gt;52,"&gt;52", MAX(0,I725/O725-2))))))</f>
        <v>0</v>
      </c>
      <c r="S725" s="130"/>
    </row>
    <row r="726" spans="1:19" ht="10.7" customHeight="1" x14ac:dyDescent="0.2">
      <c r="A726" s="122"/>
      <c r="B726" s="168"/>
      <c r="C726" s="162"/>
      <c r="D726" s="163"/>
      <c r="E726" s="163"/>
      <c r="F726" s="164"/>
      <c r="G726" s="163"/>
      <c r="H726" s="165"/>
      <c r="I726" s="164"/>
      <c r="J726" s="163"/>
      <c r="K726" s="163"/>
      <c r="L726" s="163"/>
      <c r="M726" s="163"/>
      <c r="N726" s="163"/>
      <c r="O726" s="163"/>
      <c r="P726" s="146"/>
      <c r="S726" s="130"/>
    </row>
    <row r="727" spans="1:19" ht="10.7" customHeight="1" x14ac:dyDescent="0.2">
      <c r="A727" s="122"/>
      <c r="B727" s="175" t="s">
        <v>112</v>
      </c>
      <c r="C727" s="176">
        <f>C725+C718</f>
        <v>0</v>
      </c>
      <c r="D727" s="180">
        <f>D725+D718</f>
        <v>0</v>
      </c>
      <c r="E727" s="180">
        <f t="shared" si="335"/>
        <v>0</v>
      </c>
      <c r="F727" s="189">
        <f>F725+F718</f>
        <v>0</v>
      </c>
      <c r="G727" s="180">
        <f>G725+G718</f>
        <v>0</v>
      </c>
      <c r="H727" s="179" t="str">
        <f t="shared" si="334"/>
        <v>n/a</v>
      </c>
      <c r="I727" s="218">
        <f t="shared" si="341"/>
        <v>0</v>
      </c>
      <c r="J727" s="180">
        <f t="shared" ref="J727:L727" si="344">J718+J725</f>
        <v>0</v>
      </c>
      <c r="K727" s="180">
        <f t="shared" si="344"/>
        <v>0</v>
      </c>
      <c r="L727" s="180">
        <f t="shared" si="344"/>
        <v>0</v>
      </c>
      <c r="M727" s="180">
        <f>M718+M725</f>
        <v>0</v>
      </c>
      <c r="N727" s="180" t="str">
        <f t="shared" si="337"/>
        <v>-</v>
      </c>
      <c r="O727" s="180">
        <f>SUM(J727:M727)/4</f>
        <v>0</v>
      </c>
      <c r="P727" s="153">
        <f>IF(ISNUMBER(VLOOKUP(B727,[1]Closures!B:BI,61,FALSE)),TEXT(VLOOKUP(B727,[1]Closures!B:BI,61,FALSE),"ddmmm"),IF(C727&lt;=0,0,IF(I727&lt;=0,0,IF(AND(C727&gt;0,O727&lt;=0),"&gt;52",IF(I727/O727&gt;52,"&gt;52", MAX(0,I727/O727-2))))))</f>
        <v>0</v>
      </c>
      <c r="S727" s="130"/>
    </row>
    <row r="728" spans="1:19" ht="10.7" customHeight="1" x14ac:dyDescent="0.2">
      <c r="A728" s="122"/>
      <c r="B728" s="181"/>
      <c r="C728" s="181"/>
      <c r="D728" s="163"/>
      <c r="E728" s="163"/>
      <c r="F728" s="164"/>
      <c r="G728" s="163"/>
      <c r="H728" s="2"/>
      <c r="I728" s="164"/>
      <c r="J728" s="163"/>
      <c r="K728" s="163"/>
      <c r="L728" s="163"/>
      <c r="M728" s="163"/>
      <c r="N728" s="163"/>
      <c r="O728" s="163"/>
      <c r="P728" s="182"/>
      <c r="S728" s="130"/>
    </row>
    <row r="729" spans="1:19" ht="10.7" customHeight="1" x14ac:dyDescent="0.2">
      <c r="A729" s="122"/>
      <c r="B729" s="181"/>
      <c r="C729" s="181"/>
      <c r="D729" s="183"/>
      <c r="E729" s="183"/>
      <c r="F729" s="184"/>
      <c r="G729" s="183"/>
      <c r="H729" s="163"/>
      <c r="I729" s="184"/>
      <c r="J729" s="185"/>
      <c r="K729" s="185"/>
      <c r="L729" s="185"/>
      <c r="M729" s="185"/>
      <c r="N729" s="173"/>
      <c r="O729" s="183"/>
      <c r="P729" s="182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202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tr">
        <f>C5</f>
        <v>Initial Quota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203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203" t="s">
        <v>74</v>
      </c>
      <c r="I732" s="147" t="s">
        <v>75</v>
      </c>
      <c r="J732" s="151">
        <f>[1]weeks!$B$154</f>
        <v>43166</v>
      </c>
      <c r="K732" s="151">
        <f>[1]weeks!$B$105</f>
        <v>43173</v>
      </c>
      <c r="L732" s="151">
        <f>[1]weeks!$B$55</f>
        <v>43180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204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6"/>
      <c r="C734" s="187" t="s">
        <v>131</v>
      </c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95"/>
      <c r="P734" s="145"/>
      <c r="S734" s="130"/>
    </row>
    <row r="735" spans="1:19" ht="10.7" customHeight="1" x14ac:dyDescent="0.2">
      <c r="A735" s="122"/>
      <c r="B735" s="161" t="s">
        <v>132</v>
      </c>
      <c r="C735" s="162">
        <f>'[2]DSS Combined'!$M$29</f>
        <v>0</v>
      </c>
      <c r="D735" s="163">
        <f>F735-VLOOKUP(B735,[1]Quota!$B$32:$BJ$43,58,FALSE)</f>
        <v>0</v>
      </c>
      <c r="E735" s="163">
        <f>F735-C735</f>
        <v>0</v>
      </c>
      <c r="F735" s="164">
        <f>VLOOKUP(B735,[1]Quota!$B$81:$BJ$92,58,FALSE)</f>
        <v>0</v>
      </c>
      <c r="G735" s="163">
        <f>'[1]Cumulative '!BK221</f>
        <v>0</v>
      </c>
      <c r="H735" s="165" t="str">
        <f t="shared" ref="H735:H749" si="345">IF(AND(F735&lt;=0),"n/a",IF(F735=0,0,100*G735/F735))</f>
        <v>n/a</v>
      </c>
      <c r="I735" s="164">
        <f>F735-G735</f>
        <v>0</v>
      </c>
      <c r="J735" s="163">
        <f>VLOOKUP(B735,[1]weeks!$B$156:$BO$193,62,FALSE)-VLOOKUP(B735,[1]weeks!$B$206:$BO$243,62,FALSE)</f>
        <v>0</v>
      </c>
      <c r="K735" s="163">
        <f>VLOOKUP(B735,[1]weeks!$B$107:$BO$144,62,FALSE)-VLOOKUP(B735,[1]weeks!$B$156:$BO$193,62,FALSE)</f>
        <v>0</v>
      </c>
      <c r="L735" s="163">
        <f>VLOOKUP(B735,[1]weeks!$B$55:$BO$94,62,FALSE)-VLOOKUP(B735,[1]weeks!$B$107:$BO$144,62,FALSE)</f>
        <v>0</v>
      </c>
      <c r="M735" s="163">
        <f>VLOOKUP(B735,[1]weeks!$B$5:$BO$44,62,FALSE)-VLOOKUP(B735,[1]weeks!$B$55:$BO$94,62,FALSE)</f>
        <v>0</v>
      </c>
      <c r="N735" s="163" t="str">
        <f>IF(F735&gt;0,M735/F735*100,"-")</f>
        <v>-</v>
      </c>
      <c r="O735" s="163">
        <f>SUM(J735:M735)/4</f>
        <v>0</v>
      </c>
      <c r="P735" s="146">
        <f>IF(ISNUMBER(VLOOKUP(B735,[1]Closures!B:BI,58,FALSE)),TEXT(VLOOKUP(B735,[1]Closures!B:BI,58,FALSE),"ddmmm"),IF(C735&lt;=0,0,IF(I735&lt;=0,0,IF(AND(C735&gt;0,O735&lt;=0),"&gt;52",IF(I735/O735&gt;52,"&gt;52", MAX(0,I735/O735-2))))))</f>
        <v>0</v>
      </c>
      <c r="S735" s="130"/>
    </row>
    <row r="736" spans="1:19" ht="10.7" customHeight="1" x14ac:dyDescent="0.2">
      <c r="A736" s="122"/>
      <c r="B736" s="161" t="s">
        <v>133</v>
      </c>
      <c r="C736" s="162">
        <f>'[2]DSS Combined'!$M$30</f>
        <v>0</v>
      </c>
      <c r="D736" s="163">
        <f>F736-VLOOKUP(B736,[1]Quota!$B$32:$BJ$43,58,FALSE)</f>
        <v>0</v>
      </c>
      <c r="E736" s="163">
        <f t="shared" ref="E736:E749" si="346">F736-C736</f>
        <v>0</v>
      </c>
      <c r="F736" s="164">
        <f>VLOOKUP(B736,[1]Quota!$B$81:$BJ$92,58,FALSE)</f>
        <v>0</v>
      </c>
      <c r="G736" s="163">
        <f>'[1]Cumulative '!BK222</f>
        <v>0</v>
      </c>
      <c r="H736" s="165" t="str">
        <f t="shared" si="345"/>
        <v>n/a</v>
      </c>
      <c r="I736" s="164">
        <f t="shared" ref="I736:I738" si="347">F736-G736</f>
        <v>0</v>
      </c>
      <c r="J736" s="163">
        <f>VLOOKUP(B736,[1]weeks!$B$156:$BO$193,62,FALSE)-VLOOKUP(B736,[1]weeks!$B$206:$BO$243,62,FALSE)</f>
        <v>0</v>
      </c>
      <c r="K736" s="163">
        <f>VLOOKUP(B736,[1]weeks!$B$107:$BO$144,62,FALSE)-VLOOKUP(B736,[1]weeks!$B$156:$BO$193,62,FALSE)</f>
        <v>0</v>
      </c>
      <c r="L736" s="163">
        <f>VLOOKUP(B736,[1]weeks!$B$55:$BO$94,62,FALSE)-VLOOKUP(B736,[1]weeks!$B$107:$BO$144,62,FALSE)</f>
        <v>0</v>
      </c>
      <c r="M736" s="163">
        <f>VLOOKUP(B736,[1]weeks!$B$5:$BO$44,62,FALSE)-VLOOKUP(B736,[1]weeks!$B$55:$BO$94,62,FALSE)</f>
        <v>0</v>
      </c>
      <c r="N736" s="163" t="str">
        <f t="shared" ref="N736:N749" si="348">IF(F736&gt;0,M736/F736*100,"-")</f>
        <v>-</v>
      </c>
      <c r="O736" s="163">
        <f>SUM(J736:M736)/4</f>
        <v>0</v>
      </c>
      <c r="P736" s="146">
        <f>IF(ISNUMBER(VLOOKUP(B736,[1]Closures!B:BI,58,FALSE)),TEXT(VLOOKUP(B736,[1]Closures!B:BI,58,FALSE),"ddmmm"),IF(C736&lt;=0,0,IF(I736&lt;=0,0,IF(AND(C736&gt;0,O736&lt;=0),"&gt;52",IF(I736/O736&gt;52,"&gt;52", MAX(0,I736/O736-2))))))</f>
        <v>0</v>
      </c>
      <c r="S736" s="130"/>
    </row>
    <row r="737" spans="1:19" ht="10.7" customHeight="1" x14ac:dyDescent="0.2">
      <c r="A737" s="122"/>
      <c r="B737" s="161" t="s">
        <v>134</v>
      </c>
      <c r="C737" s="162">
        <f>'[2]DSS Combined'!$M$31</f>
        <v>0</v>
      </c>
      <c r="D737" s="163">
        <f>F737-VLOOKUP(B737,[1]Quota!$B$32:$BJ$43,58,FALSE)</f>
        <v>0</v>
      </c>
      <c r="E737" s="163">
        <f t="shared" si="346"/>
        <v>0</v>
      </c>
      <c r="F737" s="164">
        <f>VLOOKUP(B737,[1]Quota!$B$81:$BJ$92,58,FALSE)</f>
        <v>0</v>
      </c>
      <c r="G737" s="163">
        <f>'[1]Cumulative '!BK223</f>
        <v>0</v>
      </c>
      <c r="H737" s="165" t="str">
        <f t="shared" si="345"/>
        <v>n/a</v>
      </c>
      <c r="I737" s="164">
        <f t="shared" si="347"/>
        <v>0</v>
      </c>
      <c r="J737" s="163">
        <f>VLOOKUP(B737,[1]weeks!$B$156:$BO$193,62,FALSE)-VLOOKUP(B737,[1]weeks!$B$206:$BO$243,62,FALSE)</f>
        <v>0</v>
      </c>
      <c r="K737" s="163">
        <f>VLOOKUP(B737,[1]weeks!$B$107:$BO$144,62,FALSE)-VLOOKUP(B737,[1]weeks!$B$156:$BO$193,62,FALSE)</f>
        <v>0</v>
      </c>
      <c r="L737" s="163">
        <f>VLOOKUP(B737,[1]weeks!$B$55:$BO$94,62,FALSE)-VLOOKUP(B737,[1]weeks!$B$107:$BO$144,62,FALSE)</f>
        <v>0</v>
      </c>
      <c r="M737" s="163">
        <f>VLOOKUP(B737,[1]weeks!$B$5:$BO$44,62,FALSE)-VLOOKUP(B737,[1]weeks!$B$55:$BO$94,62,FALSE)</f>
        <v>0</v>
      </c>
      <c r="N737" s="163" t="str">
        <f t="shared" si="348"/>
        <v>-</v>
      </c>
      <c r="O737" s="163">
        <f>SUM(J737:M737)/4</f>
        <v>0</v>
      </c>
      <c r="P737" s="146">
        <f>IF(ISNUMBER(VLOOKUP(B737,[1]Closures!B:BI,58,FALSE)),TEXT(VLOOKUP(B737,[1]Closures!B:BI,58,FALSE),"ddmmm"),IF(C737&lt;=0,0,IF(I737&lt;=0,0,IF(AND(C737&gt;0,O737&lt;=0),"&gt;52",IF(I737/O737&gt;52,"&gt;52", MAX(0,I737/O737-2))))))</f>
        <v>0</v>
      </c>
      <c r="S737" s="130"/>
    </row>
    <row r="738" spans="1:19" ht="10.7" customHeight="1" x14ac:dyDescent="0.2">
      <c r="A738" s="122"/>
      <c r="B738" s="161" t="s">
        <v>135</v>
      </c>
      <c r="C738" s="162">
        <f>'[2]DSS Combined'!$M$32</f>
        <v>0</v>
      </c>
      <c r="D738" s="163">
        <f>F738-VLOOKUP(B738,[1]Quota!$B$32:$BJ$43,58,FALSE)</f>
        <v>0</v>
      </c>
      <c r="E738" s="163">
        <f t="shared" si="346"/>
        <v>0</v>
      </c>
      <c r="F738" s="164">
        <f>VLOOKUP(B738,[1]Quota!$B$81:$BJ$92,58,FALSE)</f>
        <v>0</v>
      </c>
      <c r="G738" s="163">
        <f>'[1]Cumulative '!BK224</f>
        <v>0</v>
      </c>
      <c r="H738" s="165" t="str">
        <f t="shared" si="345"/>
        <v>n/a</v>
      </c>
      <c r="I738" s="164">
        <f t="shared" si="347"/>
        <v>0</v>
      </c>
      <c r="J738" s="163">
        <f>VLOOKUP(B738,[1]weeks!$B$156:$BO$193,62,FALSE)-VLOOKUP(B738,[1]weeks!$B$206:$BO$243,62,FALSE)</f>
        <v>0</v>
      </c>
      <c r="K738" s="163">
        <f>VLOOKUP(B738,[1]weeks!$B$107:$BO$144,62,FALSE)-VLOOKUP(B738,[1]weeks!$B$156:$BO$193,62,FALSE)</f>
        <v>0</v>
      </c>
      <c r="L738" s="163">
        <f>VLOOKUP(B738,[1]weeks!$B$55:$BO$94,62,FALSE)-VLOOKUP(B738,[1]weeks!$B$107:$BO$144,62,FALSE)</f>
        <v>0</v>
      </c>
      <c r="M738" s="163">
        <f>VLOOKUP(B738,[1]weeks!$B$5:$BO$44,62,FALSE)-VLOOKUP(B738,[1]weeks!$B$55:$BO$94,62,FALSE)</f>
        <v>0</v>
      </c>
      <c r="N738" s="163" t="str">
        <f t="shared" si="348"/>
        <v>-</v>
      </c>
      <c r="O738" s="163">
        <f>SUM(J738:M738)/4</f>
        <v>0</v>
      </c>
      <c r="P738" s="146">
        <f>IF(ISNUMBER(VLOOKUP(B738,[1]Closures!B:BI,58,FALSE)),TEXT(VLOOKUP(B738,[1]Closures!B:BI,58,FALSE),"ddmmm"),IF(C738&lt;=0,0,IF(I738&lt;=0,0,IF(AND(C738&gt;0,O738&lt;=0),"&gt;52",IF(I738/O738&gt;52,"&gt;52", MAX(0,I738/O738-2))))))</f>
        <v>0</v>
      </c>
      <c r="S738" s="130"/>
    </row>
    <row r="739" spans="1:19" ht="10.7" customHeight="1" x14ac:dyDescent="0.2">
      <c r="A739" s="122"/>
      <c r="B739" s="161"/>
      <c r="C739" s="162"/>
      <c r="D739" s="163"/>
      <c r="E739" s="163"/>
      <c r="F739" s="164"/>
      <c r="G739" s="163"/>
      <c r="H739" s="165"/>
      <c r="I739" s="164"/>
      <c r="J739" s="163"/>
      <c r="K739" s="163"/>
      <c r="L739" s="163"/>
      <c r="M739" s="163"/>
      <c r="N739" s="163"/>
      <c r="O739" s="163"/>
      <c r="P739" s="146"/>
      <c r="S739" s="130"/>
    </row>
    <row r="740" spans="1:19" ht="10.7" customHeight="1" x14ac:dyDescent="0.2">
      <c r="A740" s="122"/>
      <c r="B740" s="168" t="s">
        <v>137</v>
      </c>
      <c r="C740" s="162">
        <f>SUM(C735:C738)</f>
        <v>0</v>
      </c>
      <c r="D740" s="163">
        <f>SUM(D735:D738)</f>
        <v>0</v>
      </c>
      <c r="E740" s="163">
        <f t="shared" si="346"/>
        <v>0</v>
      </c>
      <c r="F740" s="217">
        <f t="shared" ref="F740" si="349">SUM(F735:F738)</f>
        <v>0</v>
      </c>
      <c r="G740" s="163">
        <f>SUM(G735:G738)</f>
        <v>0</v>
      </c>
      <c r="H740" s="165" t="str">
        <f t="shared" si="345"/>
        <v>n/a</v>
      </c>
      <c r="I740" s="217">
        <f t="shared" ref="I740:L740" si="350">SUM(I735:I738)</f>
        <v>0</v>
      </c>
      <c r="J740" s="163">
        <f t="shared" si="350"/>
        <v>0</v>
      </c>
      <c r="K740" s="163">
        <f t="shared" si="350"/>
        <v>0</v>
      </c>
      <c r="L740" s="163">
        <f t="shared" si="350"/>
        <v>0</v>
      </c>
      <c r="M740" s="163">
        <f>SUM(M735:M738)</f>
        <v>0</v>
      </c>
      <c r="N740" s="163" t="str">
        <f t="shared" si="348"/>
        <v>-</v>
      </c>
      <c r="O740" s="163">
        <f>SUM(J740:M740)/4</f>
        <v>0</v>
      </c>
      <c r="P740" s="146">
        <f>IF(ISNUMBER(VLOOKUP(B740,[1]Closures!B:BI,58,FALSE)),TEXT(VLOOKUP(B740,[1]Closures!B:BI,58,FALSE),"ddmmm"),IF(C740&lt;=0,0,IF(I740&lt;=0,0,IF(AND(C740&gt;0,O740&lt;=0),"&gt;52",IF(I740/O740&gt;52,"&gt;52", MAX(0,I740/O740-2))))))</f>
        <v>0</v>
      </c>
      <c r="S740" s="130"/>
    </row>
    <row r="741" spans="1:19" ht="10.7" customHeight="1" x14ac:dyDescent="0.2">
      <c r="A741" s="122"/>
      <c r="B741" s="168"/>
      <c r="C741" s="162"/>
      <c r="D741" s="163"/>
      <c r="E741" s="163"/>
      <c r="F741" s="164"/>
      <c r="G741" s="163"/>
      <c r="H741" s="165"/>
      <c r="I741" s="164"/>
      <c r="J741" s="163"/>
      <c r="K741" s="163"/>
      <c r="L741" s="163"/>
      <c r="M741" s="163"/>
      <c r="N741" s="163" t="str">
        <f t="shared" si="348"/>
        <v>-</v>
      </c>
      <c r="O741" s="163"/>
      <c r="P741" s="146"/>
      <c r="S741" s="130"/>
    </row>
    <row r="742" spans="1:19" ht="10.7" customHeight="1" x14ac:dyDescent="0.2">
      <c r="A742" s="122"/>
      <c r="B742" s="174" t="s">
        <v>138</v>
      </c>
      <c r="C742" s="162">
        <f>'[2]DSS Combined'!$M$36</f>
        <v>0</v>
      </c>
      <c r="D742" s="163">
        <f>F742-VLOOKUP(B742,[1]Quota!$B$32:$BJ$43,58,FALSE)</f>
        <v>0</v>
      </c>
      <c r="E742" s="163">
        <f t="shared" si="346"/>
        <v>0</v>
      </c>
      <c r="F742" s="164">
        <f>VLOOKUP(B742,[1]Quota!$B$81:$BJ$92,58,FALSE)</f>
        <v>0</v>
      </c>
      <c r="G742" s="163">
        <f>'[1]Cumulative '!BK228</f>
        <v>0</v>
      </c>
      <c r="H742" s="165" t="str">
        <f t="shared" si="345"/>
        <v>n/a</v>
      </c>
      <c r="I742" s="164">
        <f t="shared" ref="I742:I749" si="351">F742-G742</f>
        <v>0</v>
      </c>
      <c r="J742" s="163">
        <f>VLOOKUP(B742,[1]weeks!$B$156:$BO$193,62,FALSE)-VLOOKUP(B742,[1]weeks!$B$206:$BO$243,62,FALSE)</f>
        <v>0</v>
      </c>
      <c r="K742" s="163">
        <f>VLOOKUP(B742,[1]weeks!$B$107:$BO$144,62,FALSE)-VLOOKUP(B742,[1]weeks!$B$156:$BO$193,62,FALSE)</f>
        <v>0</v>
      </c>
      <c r="L742" s="163">
        <f>VLOOKUP(B742,[1]weeks!$B$55:$BO$94,62,FALSE)-VLOOKUP(B742,[1]weeks!$B$107:$BO$144,62,FALSE)</f>
        <v>0</v>
      </c>
      <c r="M742" s="163">
        <f>VLOOKUP(B742,[1]weeks!$B$5:$BO$44,62,FALSE)-VLOOKUP(B742,[1]weeks!$B$55:$BO$94,62,FALSE)</f>
        <v>0</v>
      </c>
      <c r="N742" s="163" t="str">
        <f t="shared" si="348"/>
        <v>-</v>
      </c>
      <c r="O742" s="163">
        <f>SUM(J742:M742)/4</f>
        <v>0</v>
      </c>
      <c r="P742" s="146">
        <f>IF(ISNUMBER(VLOOKUP(B742,[1]Closures!B:BI,58,FALSE)),TEXT(VLOOKUP(B742,[1]Closures!B:BI,58,FALSE),"ddmmm"),IF(C742&lt;=0,0,IF(I742&lt;=0,0,IF(AND(C742&gt;0,O742&lt;=0),"&gt;52",IF(I742/O742&gt;52,"&gt;52", MAX(0,I742/O742-2))))))</f>
        <v>0</v>
      </c>
      <c r="S742" s="130"/>
    </row>
    <row r="743" spans="1:19" ht="10.7" customHeight="1" x14ac:dyDescent="0.2">
      <c r="A743" s="122"/>
      <c r="B743" s="174" t="s">
        <v>139</v>
      </c>
      <c r="C743" s="162">
        <f>'[2]DSS Combined'!$M$37</f>
        <v>0</v>
      </c>
      <c r="D743" s="163">
        <f>F743-VLOOKUP(B743,[1]Quota!$B$32:$BJ$43,58,FALSE)</f>
        <v>0</v>
      </c>
      <c r="E743" s="163">
        <f t="shared" si="346"/>
        <v>0</v>
      </c>
      <c r="F743" s="164">
        <f>VLOOKUP(B743,[1]Quota!$B$81:$BJ$92,58,FALSE)</f>
        <v>0</v>
      </c>
      <c r="G743" s="163">
        <f>'[1]Cumulative '!BK229</f>
        <v>0</v>
      </c>
      <c r="H743" s="165" t="str">
        <f t="shared" si="345"/>
        <v>n/a</v>
      </c>
      <c r="I743" s="164">
        <f t="shared" si="351"/>
        <v>0</v>
      </c>
      <c r="J743" s="163">
        <f>VLOOKUP(B743,[1]weeks!$B$156:$BO$193,62,FALSE)-VLOOKUP(B743,[1]weeks!$B$206:$BO$243,62,FALSE)</f>
        <v>0</v>
      </c>
      <c r="K743" s="163">
        <f>VLOOKUP(B743,[1]weeks!$B$107:$BO$144,62,FALSE)-VLOOKUP(B743,[1]weeks!$B$156:$BO$193,62,FALSE)</f>
        <v>0</v>
      </c>
      <c r="L743" s="163">
        <f>VLOOKUP(B743,[1]weeks!$B$55:$BO$94,62,FALSE)-VLOOKUP(B743,[1]weeks!$B$107:$BO$144,62,FALSE)</f>
        <v>0</v>
      </c>
      <c r="M743" s="163">
        <f>VLOOKUP(B743,[1]weeks!$B$5:$BO$44,62,FALSE)-VLOOKUP(B743,[1]weeks!$B$55:$BO$94,62,FALSE)</f>
        <v>0</v>
      </c>
      <c r="N743" s="163" t="str">
        <f t="shared" si="348"/>
        <v>-</v>
      </c>
      <c r="O743" s="163">
        <f t="shared" ref="O743:O745" si="352">SUM(J743:M743)/4</f>
        <v>0</v>
      </c>
      <c r="P743" s="146">
        <f>IF(ISNUMBER(VLOOKUP(B743,[1]Closures!B:BI,58,FALSE)),TEXT(VLOOKUP(B743,[1]Closures!B:BI,58,FALSE),"ddmmm"),IF(C743&lt;=0,0,IF(I743&lt;=0,0,IF(AND(C743&gt;0,O743&lt;=0),"&gt;52",IF(I743/O743&gt;52,"&gt;52", MAX(0,I743/O743-2))))))</f>
        <v>0</v>
      </c>
      <c r="S743" s="130"/>
    </row>
    <row r="744" spans="1:19" ht="10.7" customHeight="1" x14ac:dyDescent="0.2">
      <c r="A744" s="122"/>
      <c r="B744" s="174" t="s">
        <v>140</v>
      </c>
      <c r="C744" s="162">
        <f>'[2]DSS Combined'!$M$38</f>
        <v>0</v>
      </c>
      <c r="D744" s="163">
        <f>F744-VLOOKUP(B744,[1]Quota!$B$32:$BJ$43,58,FALSE)</f>
        <v>0</v>
      </c>
      <c r="E744" s="163">
        <f t="shared" si="346"/>
        <v>0</v>
      </c>
      <c r="F744" s="164">
        <f>VLOOKUP(B744,[1]Quota!$B$81:$BJ$92,58,FALSE)</f>
        <v>0</v>
      </c>
      <c r="G744" s="163">
        <f>'[1]Cumulative '!BK230</f>
        <v>0</v>
      </c>
      <c r="H744" s="165" t="str">
        <f t="shared" si="345"/>
        <v>n/a</v>
      </c>
      <c r="I744" s="164">
        <f t="shared" si="351"/>
        <v>0</v>
      </c>
      <c r="J744" s="163">
        <f>VLOOKUP(B744,[1]weeks!$B$156:$BO$193,62,FALSE)-VLOOKUP(B744,[1]weeks!$B$206:$BO$243,62,FALSE)</f>
        <v>0</v>
      </c>
      <c r="K744" s="163">
        <f>VLOOKUP(B744,[1]weeks!$B$107:$BO$144,62,FALSE)-VLOOKUP(B744,[1]weeks!$B$156:$BO$193,62,FALSE)</f>
        <v>0</v>
      </c>
      <c r="L744" s="163">
        <f>VLOOKUP(B744,[1]weeks!$B$55:$BO$94,62,FALSE)-VLOOKUP(B744,[1]weeks!$B$107:$BO$144,62,FALSE)</f>
        <v>0</v>
      </c>
      <c r="M744" s="163">
        <f>VLOOKUP(B744,[1]weeks!$B$5:$BO$44,62,FALSE)-VLOOKUP(B744,[1]weeks!$B$55:$BO$94,62,FALSE)</f>
        <v>0</v>
      </c>
      <c r="N744" s="163" t="str">
        <f t="shared" si="348"/>
        <v>-</v>
      </c>
      <c r="O744" s="163">
        <f t="shared" si="352"/>
        <v>0</v>
      </c>
      <c r="P744" s="146">
        <f>IF(ISNUMBER(VLOOKUP(B744,[1]Closures!B:BI,58,FALSE)),TEXT(VLOOKUP(B744,[1]Closures!B:BI,58,FALSE),"ddmmm"),IF(C744&lt;=0,0,IF(I744&lt;=0,0,IF(AND(C744&gt;0,O744&lt;=0),"&gt;52",IF(I744/O744&gt;52,"&gt;52", MAX(0,I744/O744-2))))))</f>
        <v>0</v>
      </c>
      <c r="S744" s="130"/>
    </row>
    <row r="745" spans="1:19" ht="10.7" customHeight="1" x14ac:dyDescent="0.2">
      <c r="A745" s="122"/>
      <c r="B745" s="174" t="s">
        <v>141</v>
      </c>
      <c r="C745" s="162">
        <f>'[2]DSS Combined'!$M$39</f>
        <v>0</v>
      </c>
      <c r="D745" s="163">
        <f>F745-VLOOKUP(B745,[1]Quota!$B$32:$BJ$43,58,FALSE)</f>
        <v>0</v>
      </c>
      <c r="E745" s="163">
        <f t="shared" si="346"/>
        <v>0</v>
      </c>
      <c r="F745" s="164">
        <f>VLOOKUP(B745,[1]Quota!$B$81:$BJ$92,58,FALSE)</f>
        <v>0</v>
      </c>
      <c r="G745" s="163">
        <f>'[1]Cumulative '!BK231</f>
        <v>0</v>
      </c>
      <c r="H745" s="165" t="str">
        <f>IF(AND(F745&lt;=0),"n/a",IF(F745=0,0,100*G745/F745))</f>
        <v>n/a</v>
      </c>
      <c r="I745" s="164">
        <f t="shared" si="351"/>
        <v>0</v>
      </c>
      <c r="J745" s="163">
        <f>VLOOKUP(B745,[1]weeks!$B$156:$BO$193,62,FALSE)-VLOOKUP(B745,[1]weeks!$B$206:$BO$243,62,FALSE)</f>
        <v>0</v>
      </c>
      <c r="K745" s="163">
        <f>VLOOKUP(B745,[1]weeks!$B$107:$BO$144,62,FALSE)-VLOOKUP(B745,[1]weeks!$B$156:$BO$193,62,FALSE)</f>
        <v>0</v>
      </c>
      <c r="L745" s="163">
        <f>VLOOKUP(B745,[1]weeks!$B$55:$BO$94,62,FALSE)-VLOOKUP(B745,[1]weeks!$B$107:$BO$144,62,FALSE)</f>
        <v>0</v>
      </c>
      <c r="M745" s="163">
        <f>VLOOKUP(B745,[1]weeks!$B$5:$BO$44,62,FALSE)-VLOOKUP(B745,[1]weeks!$B$55:$BO$94,62,FALSE)</f>
        <v>0</v>
      </c>
      <c r="N745" s="163" t="str">
        <f t="shared" si="348"/>
        <v>-</v>
      </c>
      <c r="O745" s="163">
        <f t="shared" si="352"/>
        <v>0</v>
      </c>
      <c r="P745" s="146">
        <f>IF(ISNUMBER(VLOOKUP(B745,[1]Closures!B:BI,58,FALSE)),TEXT(VLOOKUP(B745,[1]Closures!B:BI,58,FALSE),"ddmmm"),IF(C745&lt;=0,0,IF(I745&lt;=0,0,IF(AND(C745&gt;0,O745&lt;=0),"&gt;52",IF(I745/O745&gt;52,"&gt;52", MAX(0,I745/O745-2))))))</f>
        <v>0</v>
      </c>
      <c r="S745" s="130"/>
    </row>
    <row r="746" spans="1:19" ht="10.7" customHeight="1" x14ac:dyDescent="0.2">
      <c r="A746" s="122"/>
      <c r="B746" s="174" t="s">
        <v>142</v>
      </c>
      <c r="C746" s="162"/>
      <c r="D746" s="163">
        <f>F746-VLOOKUP(B746,[1]Quota!$B$32:$BJ$43,58,FALSE)</f>
        <v>0</v>
      </c>
      <c r="E746" s="163"/>
      <c r="F746" s="164">
        <f>VLOOKUP(B746,[1]Quota!$B$81:$BJ$92,58,FALSE)</f>
        <v>0</v>
      </c>
      <c r="G746" s="163"/>
      <c r="H746" s="165" t="str">
        <f>IF(AND(F746&lt;=0),"n/a",IF(F746=0,0,100*G746/F746))</f>
        <v>n/a</v>
      </c>
      <c r="I746" s="164">
        <f>F746-G746</f>
        <v>0</v>
      </c>
      <c r="J746" s="163"/>
      <c r="K746" s="163"/>
      <c r="L746" s="163"/>
      <c r="M746" s="163"/>
      <c r="N746" s="163"/>
      <c r="O746" s="163"/>
      <c r="P746" s="146"/>
      <c r="S746" s="130"/>
    </row>
    <row r="747" spans="1:19" ht="10.7" customHeight="1" x14ac:dyDescent="0.2">
      <c r="A747" s="122"/>
      <c r="B747" s="168" t="s">
        <v>143</v>
      </c>
      <c r="C747" s="162">
        <f>SUM(C742:C746)</f>
        <v>0</v>
      </c>
      <c r="D747" s="163">
        <f>SUM(D742:D746)</f>
        <v>0</v>
      </c>
      <c r="E747" s="163">
        <f t="shared" si="346"/>
        <v>0</v>
      </c>
      <c r="F747" s="217">
        <f t="shared" ref="F747:G747" si="353">SUM(F742:F746)</f>
        <v>0</v>
      </c>
      <c r="G747" s="173">
        <f t="shared" si="353"/>
        <v>0</v>
      </c>
      <c r="H747" s="165" t="str">
        <f t="shared" si="345"/>
        <v>n/a</v>
      </c>
      <c r="I747" s="164">
        <f t="shared" si="351"/>
        <v>0</v>
      </c>
      <c r="J747" s="163">
        <f t="shared" ref="J747:L747" si="354">SUM(J742:J745)</f>
        <v>0</v>
      </c>
      <c r="K747" s="163">
        <f t="shared" si="354"/>
        <v>0</v>
      </c>
      <c r="L747" s="163">
        <f t="shared" si="354"/>
        <v>0</v>
      </c>
      <c r="M747" s="163">
        <f>SUM(M742:M745)</f>
        <v>0</v>
      </c>
      <c r="N747" s="163" t="str">
        <f t="shared" si="348"/>
        <v>-</v>
      </c>
      <c r="O747" s="163">
        <f>SUM(J747:M747)/4</f>
        <v>0</v>
      </c>
      <c r="P747" s="146">
        <f>IF(ISNUMBER(VLOOKUP(B747,[1]Closures!B:BI,58,FALSE)),TEXT(VLOOKUP(B747,[1]Closures!B:BI,58,FALSE),"ddmmm"),IF(C747&lt;=0,0,IF(I747&lt;=0,0,IF(AND(C747&gt;0,O747&lt;=0),"&gt;52",IF(I747/O747&gt;52,"&gt;52", MAX(0,I747/O747-2))))))</f>
        <v>0</v>
      </c>
      <c r="S747" s="130"/>
    </row>
    <row r="748" spans="1:19" ht="10.7" customHeight="1" x14ac:dyDescent="0.2">
      <c r="A748" s="122"/>
      <c r="B748" s="168"/>
      <c r="C748" s="162"/>
      <c r="D748" s="163"/>
      <c r="E748" s="163"/>
      <c r="F748" s="164"/>
      <c r="G748" s="163"/>
      <c r="H748" s="165"/>
      <c r="I748" s="164"/>
      <c r="J748" s="163"/>
      <c r="K748" s="163"/>
      <c r="L748" s="163"/>
      <c r="M748" s="163"/>
      <c r="N748" s="163"/>
      <c r="O748" s="163"/>
      <c r="P748" s="146"/>
      <c r="S748" s="130"/>
    </row>
    <row r="749" spans="1:19" ht="10.7" customHeight="1" x14ac:dyDescent="0.2">
      <c r="A749" s="122"/>
      <c r="B749" s="175" t="s">
        <v>112</v>
      </c>
      <c r="C749" s="176">
        <f>C747+C740</f>
        <v>0</v>
      </c>
      <c r="D749" s="180">
        <f>D747+D740</f>
        <v>0</v>
      </c>
      <c r="E749" s="180">
        <f t="shared" si="346"/>
        <v>0</v>
      </c>
      <c r="F749" s="189">
        <f>F747+F740</f>
        <v>0</v>
      </c>
      <c r="G749" s="180">
        <f>G747+G740</f>
        <v>0</v>
      </c>
      <c r="H749" s="179" t="str">
        <f t="shared" si="345"/>
        <v>n/a</v>
      </c>
      <c r="I749" s="218">
        <f t="shared" si="351"/>
        <v>0</v>
      </c>
      <c r="J749" s="180">
        <f t="shared" ref="J749:L749" si="355">J740+J747</f>
        <v>0</v>
      </c>
      <c r="K749" s="180">
        <f t="shared" si="355"/>
        <v>0</v>
      </c>
      <c r="L749" s="180">
        <f t="shared" si="355"/>
        <v>0</v>
      </c>
      <c r="M749" s="180">
        <f>M740+M747</f>
        <v>0</v>
      </c>
      <c r="N749" s="180" t="str">
        <f t="shared" si="348"/>
        <v>-</v>
      </c>
      <c r="O749" s="180">
        <f>SUM(J749:M749)/4</f>
        <v>0</v>
      </c>
      <c r="P749" s="153">
        <f>IF(ISNUMBER(VLOOKUP(B749,[1]Closures!B:BI,58,FALSE)),TEXT(VLOOKUP(B749,[1]Closures!B:BI,58,FALSE),"ddmmm"),IF(C749&lt;=0,0,IF(I749&lt;=0,0,IF(AND(C749&gt;0,O749&lt;=0),"&gt;52",IF(I749/O749&gt;52,"&gt;52", MAX(0,I749/O749-2))))))</f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3" sqref="B3"/>
    </sheetView>
  </sheetViews>
  <sheetFormatPr defaultColWidth="8.85546875" defaultRowHeight="12" x14ac:dyDescent="0.2"/>
  <cols>
    <col min="1" max="1" width="4.5703125" style="219" customWidth="1"/>
    <col min="2" max="2" width="19.7109375" style="219" bestFit="1" customWidth="1"/>
    <col min="3" max="3" width="25.7109375" style="219" bestFit="1" customWidth="1"/>
    <col min="4" max="4" width="12.42578125" style="219" customWidth="1"/>
    <col min="5" max="5" width="11.5703125" style="219" customWidth="1"/>
    <col min="6" max="6" width="12.5703125" style="219" bestFit="1" customWidth="1"/>
    <col min="7" max="8" width="8.85546875" style="219"/>
    <col min="9" max="15" width="0" style="219" hidden="1" customWidth="1"/>
    <col min="16" max="18" width="8.85546875" style="219"/>
    <col min="19" max="19" width="44.42578125" style="219" bestFit="1" customWidth="1"/>
    <col min="20" max="16384" width="8.85546875" style="219"/>
  </cols>
  <sheetData>
    <row r="1" spans="2:16" ht="12.75" thickBot="1" x14ac:dyDescent="0.25"/>
    <row r="2" spans="2:16" x14ac:dyDescent="0.2">
      <c r="B2" s="220"/>
      <c r="C2" s="221"/>
      <c r="D2" s="220"/>
      <c r="E2" s="222"/>
      <c r="F2" s="220"/>
    </row>
    <row r="3" spans="2:16" x14ac:dyDescent="0.2">
      <c r="B3" s="223" t="s">
        <v>61</v>
      </c>
      <c r="C3" s="224" t="s">
        <v>187</v>
      </c>
      <c r="D3" s="223" t="s">
        <v>188</v>
      </c>
      <c r="E3" s="225" t="s">
        <v>63</v>
      </c>
      <c r="F3" s="223" t="s">
        <v>189</v>
      </c>
    </row>
    <row r="4" spans="2:16" x14ac:dyDescent="0.2">
      <c r="B4" s="223"/>
      <c r="C4" s="224" t="s">
        <v>71</v>
      </c>
      <c r="D4" s="223" t="s">
        <v>190</v>
      </c>
      <c r="E4" s="225" t="s">
        <v>13</v>
      </c>
      <c r="F4" s="223"/>
    </row>
    <row r="5" spans="2:16" ht="12.75" thickBot="1" x14ac:dyDescent="0.25">
      <c r="B5" s="226"/>
      <c r="C5" s="227"/>
      <c r="D5" s="226"/>
      <c r="E5" s="228" t="s">
        <v>71</v>
      </c>
      <c r="F5" s="226"/>
    </row>
    <row r="6" spans="2:16" x14ac:dyDescent="0.2">
      <c r="B6" s="223"/>
      <c r="C6" s="229" t="s">
        <v>191</v>
      </c>
      <c r="D6" s="230"/>
      <c r="E6" s="230"/>
      <c r="F6" s="231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23" t="s">
        <v>80</v>
      </c>
      <c r="C7" s="232">
        <v>867.1</v>
      </c>
      <c r="E7" s="233">
        <f>C7-D7</f>
        <v>867.1</v>
      </c>
      <c r="F7" s="232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23" t="s">
        <v>81</v>
      </c>
      <c r="C8" s="232">
        <v>24.4</v>
      </c>
      <c r="E8" s="233">
        <f t="shared" ref="E8:E47" si="1">C8-D8</f>
        <v>24.4</v>
      </c>
      <c r="F8" s="232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23" t="s">
        <v>82</v>
      </c>
      <c r="C9" s="232">
        <v>36.6</v>
      </c>
      <c r="E9" s="233">
        <f t="shared" si="1"/>
        <v>36.6</v>
      </c>
      <c r="F9" s="232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23" t="s">
        <v>83</v>
      </c>
      <c r="C10" s="232">
        <v>55.6</v>
      </c>
      <c r="E10" s="233">
        <f t="shared" si="1"/>
        <v>55.6</v>
      </c>
      <c r="F10" s="232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23" t="s">
        <v>84</v>
      </c>
      <c r="C11" s="232">
        <v>1.8</v>
      </c>
      <c r="E11" s="233">
        <f t="shared" si="1"/>
        <v>1.8</v>
      </c>
      <c r="F11" s="232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23" t="s">
        <v>85</v>
      </c>
      <c r="C12" s="232">
        <v>7.5</v>
      </c>
      <c r="E12" s="233">
        <f t="shared" si="1"/>
        <v>7.5</v>
      </c>
      <c r="F12" s="232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23" t="s">
        <v>86</v>
      </c>
      <c r="C13" s="232">
        <v>22.7</v>
      </c>
      <c r="E13" s="233">
        <f t="shared" si="1"/>
        <v>22.7</v>
      </c>
      <c r="F13" s="232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23" t="s">
        <v>87</v>
      </c>
      <c r="C14" s="232">
        <v>24.8</v>
      </c>
      <c r="E14" s="233">
        <f t="shared" si="1"/>
        <v>24.8</v>
      </c>
      <c r="F14" s="232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23" t="s">
        <v>88</v>
      </c>
      <c r="C15" s="232">
        <v>0</v>
      </c>
      <c r="E15" s="233">
        <f t="shared" si="1"/>
        <v>0</v>
      </c>
      <c r="F15" s="232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23" t="s">
        <v>89</v>
      </c>
      <c r="C16" s="232">
        <v>1.5</v>
      </c>
      <c r="E16" s="233">
        <f t="shared" si="1"/>
        <v>1.5</v>
      </c>
      <c r="F16" s="232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23"/>
      <c r="C17" s="232"/>
      <c r="E17" s="233">
        <f t="shared" si="1"/>
        <v>0</v>
      </c>
      <c r="F17" s="232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36" customFormat="1" x14ac:dyDescent="0.2">
      <c r="B18" s="234" t="s">
        <v>91</v>
      </c>
      <c r="C18" s="235"/>
      <c r="E18" s="233">
        <f t="shared" si="1"/>
        <v>0</v>
      </c>
      <c r="F18" s="232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23"/>
      <c r="C19" s="232"/>
      <c r="E19" s="233">
        <f t="shared" si="1"/>
        <v>0</v>
      </c>
      <c r="F19" s="232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23" t="s">
        <v>92</v>
      </c>
      <c r="C20" s="232">
        <v>17.2</v>
      </c>
      <c r="E20" s="233">
        <f t="shared" si="1"/>
        <v>17.2</v>
      </c>
      <c r="F20" s="232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23" t="s">
        <v>93</v>
      </c>
      <c r="C21" s="232">
        <v>6.7</v>
      </c>
      <c r="E21" s="233">
        <f t="shared" si="1"/>
        <v>6.7</v>
      </c>
      <c r="F21" s="232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23" t="s">
        <v>94</v>
      </c>
      <c r="C22" s="232"/>
      <c r="E22" s="233">
        <f t="shared" si="1"/>
        <v>0</v>
      </c>
      <c r="F22" s="232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23" t="s">
        <v>95</v>
      </c>
      <c r="C23" s="232">
        <v>0.5</v>
      </c>
      <c r="E23" s="233">
        <f t="shared" si="1"/>
        <v>0.5</v>
      </c>
      <c r="F23" s="232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23" t="s">
        <v>96</v>
      </c>
      <c r="C24" s="232">
        <v>24</v>
      </c>
      <c r="E24" s="233">
        <f t="shared" si="1"/>
        <v>24</v>
      </c>
      <c r="F24" s="232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23" t="s">
        <v>97</v>
      </c>
      <c r="C25" s="232">
        <v>228.8</v>
      </c>
      <c r="E25" s="233">
        <f t="shared" si="1"/>
        <v>228.8</v>
      </c>
      <c r="F25" s="232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23" t="s">
        <v>98</v>
      </c>
      <c r="C26" s="232">
        <v>1.1000000000000001</v>
      </c>
      <c r="E26" s="233">
        <f t="shared" si="1"/>
        <v>1.1000000000000001</v>
      </c>
      <c r="F26" s="232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23" t="s">
        <v>99</v>
      </c>
      <c r="C27" s="232">
        <v>0</v>
      </c>
      <c r="E27" s="233">
        <f t="shared" si="1"/>
        <v>0</v>
      </c>
      <c r="F27" s="232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23" t="s">
        <v>100</v>
      </c>
      <c r="C28" s="232">
        <v>0</v>
      </c>
      <c r="E28" s="233">
        <f t="shared" si="1"/>
        <v>0</v>
      </c>
      <c r="F28" s="232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23" t="s">
        <v>101</v>
      </c>
      <c r="C29" s="232">
        <v>0</v>
      </c>
      <c r="E29" s="233">
        <f t="shared" si="1"/>
        <v>0</v>
      </c>
      <c r="F29" s="232">
        <f t="shared" si="0"/>
        <v>0</v>
      </c>
    </row>
    <row r="30" spans="2:15" x14ac:dyDescent="0.2">
      <c r="B30" s="223" t="s">
        <v>102</v>
      </c>
      <c r="C30" s="232">
        <v>0</v>
      </c>
      <c r="E30" s="233">
        <f t="shared" si="1"/>
        <v>0</v>
      </c>
      <c r="F30" s="232">
        <f t="shared" si="0"/>
        <v>0</v>
      </c>
    </row>
    <row r="31" spans="2:15" x14ac:dyDescent="0.2">
      <c r="B31" s="223" t="s">
        <v>103</v>
      </c>
      <c r="C31" s="232">
        <v>0</v>
      </c>
      <c r="E31" s="233">
        <f t="shared" si="1"/>
        <v>0</v>
      </c>
      <c r="F31" s="232">
        <f t="shared" si="0"/>
        <v>0</v>
      </c>
    </row>
    <row r="32" spans="2:15" x14ac:dyDescent="0.2">
      <c r="B32" s="223" t="s">
        <v>104</v>
      </c>
      <c r="C32" s="232">
        <v>0</v>
      </c>
      <c r="E32" s="233">
        <f t="shared" si="1"/>
        <v>0</v>
      </c>
      <c r="F32" s="232">
        <f t="shared" si="0"/>
        <v>0</v>
      </c>
    </row>
    <row r="33" spans="2:6" x14ac:dyDescent="0.2">
      <c r="B33" s="223"/>
      <c r="C33" s="232"/>
      <c r="E33" s="233"/>
      <c r="F33" s="232"/>
    </row>
    <row r="34" spans="2:6" s="236" customFormat="1" x14ac:dyDescent="0.2">
      <c r="B34" s="234" t="s">
        <v>106</v>
      </c>
      <c r="C34" s="235"/>
      <c r="E34" s="233"/>
      <c r="F34" s="234"/>
    </row>
    <row r="35" spans="2:6" x14ac:dyDescent="0.2">
      <c r="B35" s="223"/>
      <c r="C35" s="232"/>
      <c r="E35" s="233"/>
      <c r="F35" s="223"/>
    </row>
    <row r="36" spans="2:6" x14ac:dyDescent="0.2">
      <c r="B36" s="223" t="s">
        <v>210</v>
      </c>
      <c r="C36" s="232">
        <v>0</v>
      </c>
      <c r="E36" s="233">
        <f t="shared" si="1"/>
        <v>0</v>
      </c>
      <c r="F36" s="232">
        <f t="shared" ref="F36:F49" si="4">C36</f>
        <v>0</v>
      </c>
    </row>
    <row r="37" spans="2:6" x14ac:dyDescent="0.2">
      <c r="B37" s="223" t="s">
        <v>211</v>
      </c>
      <c r="C37" s="232">
        <v>0</v>
      </c>
      <c r="E37" s="233">
        <f t="shared" si="1"/>
        <v>0</v>
      </c>
      <c r="F37" s="232">
        <f t="shared" si="4"/>
        <v>0</v>
      </c>
    </row>
    <row r="38" spans="2:6" x14ac:dyDescent="0.2">
      <c r="B38" s="223" t="s">
        <v>212</v>
      </c>
      <c r="C38" s="232">
        <v>0</v>
      </c>
      <c r="E38" s="233">
        <f t="shared" si="1"/>
        <v>0</v>
      </c>
      <c r="F38" s="232">
        <f t="shared" si="4"/>
        <v>0</v>
      </c>
    </row>
    <row r="39" spans="2:6" x14ac:dyDescent="0.2">
      <c r="B39" s="223" t="s">
        <v>213</v>
      </c>
      <c r="C39" s="232">
        <v>0</v>
      </c>
      <c r="E39" s="233">
        <f t="shared" si="1"/>
        <v>0</v>
      </c>
      <c r="F39" s="232">
        <f t="shared" si="4"/>
        <v>0</v>
      </c>
    </row>
    <row r="40" spans="2:6" x14ac:dyDescent="0.2">
      <c r="B40" s="223" t="s">
        <v>214</v>
      </c>
      <c r="C40" s="235">
        <v>0</v>
      </c>
      <c r="E40" s="233">
        <f t="shared" si="1"/>
        <v>0</v>
      </c>
      <c r="F40" s="232">
        <f t="shared" si="4"/>
        <v>0</v>
      </c>
    </row>
    <row r="41" spans="2:6" s="236" customFormat="1" x14ac:dyDescent="0.2">
      <c r="B41" s="234"/>
      <c r="C41" s="223"/>
      <c r="E41" s="233"/>
      <c r="F41" s="232"/>
    </row>
    <row r="42" spans="2:6" x14ac:dyDescent="0.2">
      <c r="B42" s="223" t="s">
        <v>215</v>
      </c>
      <c r="C42" s="223">
        <v>0</v>
      </c>
      <c r="E42" s="233">
        <f t="shared" si="1"/>
        <v>0</v>
      </c>
      <c r="F42" s="232">
        <f t="shared" si="4"/>
        <v>0</v>
      </c>
    </row>
    <row r="43" spans="2:6" x14ac:dyDescent="0.2">
      <c r="B43" s="223" t="s">
        <v>216</v>
      </c>
      <c r="C43" s="223">
        <v>0</v>
      </c>
      <c r="E43" s="233">
        <f t="shared" si="1"/>
        <v>0</v>
      </c>
      <c r="F43" s="232">
        <f t="shared" si="4"/>
        <v>0</v>
      </c>
    </row>
    <row r="44" spans="2:6" x14ac:dyDescent="0.2">
      <c r="B44" s="223" t="s">
        <v>217</v>
      </c>
      <c r="C44" s="223">
        <v>0</v>
      </c>
      <c r="E44" s="233">
        <f t="shared" si="1"/>
        <v>0</v>
      </c>
      <c r="F44" s="232">
        <f t="shared" si="4"/>
        <v>0</v>
      </c>
    </row>
    <row r="45" spans="2:6" x14ac:dyDescent="0.2">
      <c r="B45" s="223" t="s">
        <v>218</v>
      </c>
      <c r="C45" s="223">
        <v>0</v>
      </c>
      <c r="E45" s="233">
        <f t="shared" si="1"/>
        <v>0</v>
      </c>
      <c r="F45" s="232">
        <f t="shared" si="4"/>
        <v>0</v>
      </c>
    </row>
    <row r="46" spans="2:6" x14ac:dyDescent="0.2">
      <c r="B46" s="223" t="s">
        <v>219</v>
      </c>
      <c r="C46" s="223">
        <v>0</v>
      </c>
      <c r="E46" s="233">
        <f t="shared" si="1"/>
        <v>0</v>
      </c>
      <c r="F46" s="232">
        <f t="shared" si="4"/>
        <v>0</v>
      </c>
    </row>
    <row r="47" spans="2:6" x14ac:dyDescent="0.2">
      <c r="B47" s="223" t="s">
        <v>220</v>
      </c>
      <c r="C47" s="223">
        <v>0</v>
      </c>
      <c r="E47" s="233">
        <f t="shared" si="1"/>
        <v>0</v>
      </c>
      <c r="F47" s="232">
        <f t="shared" si="4"/>
        <v>0</v>
      </c>
    </row>
    <row r="48" spans="2:6" x14ac:dyDescent="0.2">
      <c r="B48" s="223"/>
      <c r="C48" s="223"/>
      <c r="F48" s="232"/>
    </row>
    <row r="49" spans="2:6" ht="12.75" thickBot="1" x14ac:dyDescent="0.25">
      <c r="B49" s="226" t="s">
        <v>57</v>
      </c>
      <c r="C49" s="226">
        <v>278.3</v>
      </c>
      <c r="D49" s="228"/>
      <c r="E49" s="228"/>
      <c r="F49" s="237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"/>
    </sheetView>
  </sheetViews>
  <sheetFormatPr defaultRowHeight="12.75" x14ac:dyDescent="0.2"/>
  <cols>
    <col min="1" max="1" width="19.7109375" style="238" bestFit="1" customWidth="1"/>
    <col min="2" max="2" width="11.140625" style="238" bestFit="1" customWidth="1"/>
    <col min="3" max="3" width="21" style="238" bestFit="1" customWidth="1"/>
    <col min="4" max="4" width="20" style="238" bestFit="1" customWidth="1"/>
    <col min="5" max="16384" width="9.140625" style="238"/>
  </cols>
  <sheetData>
    <row r="1" spans="1:4" ht="13.5" thickBot="1" x14ac:dyDescent="0.25"/>
    <row r="2" spans="1:4" ht="13.5" thickBot="1" x14ac:dyDescent="0.25">
      <c r="A2" s="239"/>
      <c r="B2" s="240" t="s">
        <v>71</v>
      </c>
      <c r="C2" s="240" t="s">
        <v>221</v>
      </c>
      <c r="D2" s="241" t="s">
        <v>222</v>
      </c>
    </row>
    <row r="3" spans="1:4" x14ac:dyDescent="0.2">
      <c r="A3" s="224" t="s">
        <v>80</v>
      </c>
      <c r="B3" s="225">
        <v>17.7</v>
      </c>
      <c r="C3" s="225"/>
      <c r="D3" s="242">
        <f>B3-C3</f>
        <v>17.7</v>
      </c>
    </row>
    <row r="4" spans="1:4" x14ac:dyDescent="0.2">
      <c r="A4" s="224" t="s">
        <v>223</v>
      </c>
      <c r="B4" s="225">
        <v>1.1000000000000001</v>
      </c>
      <c r="C4" s="225"/>
      <c r="D4" s="242">
        <f t="shared" ref="D4:D44" si="0">B4-C4</f>
        <v>1.1000000000000001</v>
      </c>
    </row>
    <row r="5" spans="1:4" x14ac:dyDescent="0.2">
      <c r="A5" s="224" t="s">
        <v>82</v>
      </c>
      <c r="B5" s="225">
        <v>15.7</v>
      </c>
      <c r="C5" s="225"/>
      <c r="D5" s="242">
        <f t="shared" si="0"/>
        <v>15.7</v>
      </c>
    </row>
    <row r="6" spans="1:4" x14ac:dyDescent="0.2">
      <c r="A6" s="224" t="s">
        <v>224</v>
      </c>
      <c r="B6" s="225">
        <v>155.80000000000001</v>
      </c>
      <c r="C6" s="225"/>
      <c r="D6" s="242">
        <f t="shared" si="0"/>
        <v>155.80000000000001</v>
      </c>
    </row>
    <row r="7" spans="1:4" x14ac:dyDescent="0.2">
      <c r="A7" s="224" t="s">
        <v>225</v>
      </c>
      <c r="B7" s="225">
        <v>25</v>
      </c>
      <c r="C7" s="225"/>
      <c r="D7" s="242">
        <f t="shared" si="0"/>
        <v>25</v>
      </c>
    </row>
    <row r="8" spans="1:4" x14ac:dyDescent="0.2">
      <c r="A8" s="224" t="s">
        <v>226</v>
      </c>
      <c r="B8" s="225">
        <v>30.5</v>
      </c>
      <c r="C8" s="225"/>
      <c r="D8" s="242">
        <f t="shared" si="0"/>
        <v>30.5</v>
      </c>
    </row>
    <row r="9" spans="1:4" x14ac:dyDescent="0.2">
      <c r="A9" s="224" t="s">
        <v>227</v>
      </c>
      <c r="B9" s="225">
        <v>4.9000000000000004</v>
      </c>
      <c r="C9" s="225"/>
      <c r="D9" s="242">
        <f t="shared" si="0"/>
        <v>4.9000000000000004</v>
      </c>
    </row>
    <row r="10" spans="1:4" x14ac:dyDescent="0.2">
      <c r="A10" s="224" t="s">
        <v>228</v>
      </c>
      <c r="B10" s="225">
        <v>23.9</v>
      </c>
      <c r="C10" s="225"/>
      <c r="D10" s="242">
        <f t="shared" si="0"/>
        <v>23.9</v>
      </c>
    </row>
    <row r="11" spans="1:4" x14ac:dyDescent="0.2">
      <c r="A11" s="224" t="s">
        <v>88</v>
      </c>
      <c r="B11" s="225">
        <v>0.4</v>
      </c>
      <c r="C11" s="225"/>
      <c r="D11" s="242">
        <f t="shared" si="0"/>
        <v>0.4</v>
      </c>
    </row>
    <row r="12" spans="1:4" x14ac:dyDescent="0.2">
      <c r="A12" s="224" t="s">
        <v>229</v>
      </c>
      <c r="B12" s="225">
        <v>0</v>
      </c>
      <c r="C12" s="225"/>
      <c r="D12" s="242">
        <f t="shared" si="0"/>
        <v>0</v>
      </c>
    </row>
    <row r="13" spans="1:4" x14ac:dyDescent="0.2">
      <c r="A13" s="224"/>
      <c r="B13" s="225"/>
      <c r="C13" s="225"/>
      <c r="D13" s="242"/>
    </row>
    <row r="14" spans="1:4" s="246" customFormat="1" x14ac:dyDescent="0.2">
      <c r="A14" s="243"/>
      <c r="B14" s="244"/>
      <c r="C14" s="244"/>
      <c r="D14" s="245"/>
    </row>
    <row r="15" spans="1:4" x14ac:dyDescent="0.2">
      <c r="A15" s="224"/>
      <c r="B15" s="225"/>
      <c r="C15" s="225"/>
      <c r="D15" s="242"/>
    </row>
    <row r="16" spans="1:4" x14ac:dyDescent="0.2">
      <c r="A16" s="224" t="s">
        <v>230</v>
      </c>
      <c r="B16" s="225">
        <v>17.399999999999999</v>
      </c>
      <c r="C16" s="225"/>
      <c r="D16" s="242">
        <f t="shared" si="0"/>
        <v>17.399999999999999</v>
      </c>
    </row>
    <row r="17" spans="1:4" x14ac:dyDescent="0.2">
      <c r="A17" s="224" t="s">
        <v>93</v>
      </c>
      <c r="B17" s="225">
        <v>14.4</v>
      </c>
      <c r="C17" s="225"/>
      <c r="D17" s="242">
        <f t="shared" si="0"/>
        <v>14.4</v>
      </c>
    </row>
    <row r="18" spans="1:4" x14ac:dyDescent="0.2">
      <c r="A18" s="224"/>
      <c r="B18" s="225"/>
      <c r="C18" s="225"/>
      <c r="D18" s="242">
        <f t="shared" si="0"/>
        <v>0</v>
      </c>
    </row>
    <row r="19" spans="1:4" x14ac:dyDescent="0.2">
      <c r="A19" s="224" t="s">
        <v>231</v>
      </c>
      <c r="B19" s="225">
        <v>0</v>
      </c>
      <c r="C19" s="225"/>
      <c r="D19" s="242">
        <f t="shared" si="0"/>
        <v>0</v>
      </c>
    </row>
    <row r="20" spans="1:4" x14ac:dyDescent="0.2">
      <c r="A20" s="224" t="s">
        <v>96</v>
      </c>
      <c r="B20" s="225">
        <v>10.5</v>
      </c>
      <c r="C20" s="225"/>
      <c r="D20" s="242">
        <f t="shared" si="0"/>
        <v>10.5</v>
      </c>
    </row>
    <row r="21" spans="1:4" x14ac:dyDescent="0.2">
      <c r="A21" s="224" t="s">
        <v>97</v>
      </c>
      <c r="B21" s="225">
        <v>5.4</v>
      </c>
      <c r="C21" s="225"/>
      <c r="D21" s="242">
        <f t="shared" si="0"/>
        <v>5.4</v>
      </c>
    </row>
    <row r="22" spans="1:4" x14ac:dyDescent="0.2">
      <c r="A22" s="224" t="s">
        <v>232</v>
      </c>
      <c r="B22" s="225">
        <v>17.399999999999999</v>
      </c>
      <c r="C22" s="225"/>
      <c r="D22" s="242">
        <f t="shared" si="0"/>
        <v>17.399999999999999</v>
      </c>
    </row>
    <row r="23" spans="1:4" x14ac:dyDescent="0.2">
      <c r="A23" s="224" t="s">
        <v>233</v>
      </c>
      <c r="B23" s="225">
        <v>0.2</v>
      </c>
      <c r="C23" s="225"/>
      <c r="D23" s="242">
        <f t="shared" si="0"/>
        <v>0.2</v>
      </c>
    </row>
    <row r="24" spans="1:4" x14ac:dyDescent="0.2">
      <c r="A24" s="224" t="s">
        <v>234</v>
      </c>
      <c r="B24" s="225">
        <v>0</v>
      </c>
      <c r="C24" s="225"/>
      <c r="D24" s="242">
        <f t="shared" si="0"/>
        <v>0</v>
      </c>
    </row>
    <row r="25" spans="1:4" x14ac:dyDescent="0.2">
      <c r="A25" s="224" t="s">
        <v>235</v>
      </c>
      <c r="B25" s="225">
        <v>0.5</v>
      </c>
      <c r="C25" s="225"/>
      <c r="D25" s="242">
        <f t="shared" si="0"/>
        <v>0.5</v>
      </c>
    </row>
    <row r="26" spans="1:4" x14ac:dyDescent="0.2">
      <c r="A26" s="224" t="s">
        <v>236</v>
      </c>
      <c r="B26" s="225">
        <v>2.7</v>
      </c>
      <c r="C26" s="225"/>
      <c r="D26" s="242">
        <f t="shared" si="0"/>
        <v>2.7</v>
      </c>
    </row>
    <row r="27" spans="1:4" x14ac:dyDescent="0.2">
      <c r="A27" s="224" t="s">
        <v>103</v>
      </c>
      <c r="B27" s="225">
        <v>5</v>
      </c>
      <c r="C27" s="225"/>
      <c r="D27" s="242">
        <f t="shared" si="0"/>
        <v>5</v>
      </c>
    </row>
    <row r="28" spans="1:4" x14ac:dyDescent="0.2">
      <c r="A28" s="224" t="s">
        <v>237</v>
      </c>
      <c r="B28" s="225">
        <v>0</v>
      </c>
      <c r="C28" s="225"/>
      <c r="D28" s="242">
        <f t="shared" si="0"/>
        <v>0</v>
      </c>
    </row>
    <row r="29" spans="1:4" x14ac:dyDescent="0.2">
      <c r="A29" s="224"/>
      <c r="B29" s="225"/>
      <c r="C29" s="225"/>
      <c r="D29" s="242"/>
    </row>
    <row r="30" spans="1:4" s="246" customFormat="1" x14ac:dyDescent="0.2">
      <c r="A30" s="243"/>
      <c r="B30" s="244"/>
      <c r="C30" s="244"/>
      <c r="D30" s="245"/>
    </row>
    <row r="31" spans="1:4" x14ac:dyDescent="0.2">
      <c r="A31" s="224"/>
      <c r="B31" s="225"/>
      <c r="C31" s="225"/>
      <c r="D31" s="242">
        <f t="shared" si="0"/>
        <v>0</v>
      </c>
    </row>
    <row r="32" spans="1:4" x14ac:dyDescent="0.2">
      <c r="A32" s="224"/>
      <c r="B32" s="225"/>
      <c r="C32" s="225"/>
      <c r="D32" s="242">
        <f t="shared" si="0"/>
        <v>0</v>
      </c>
    </row>
    <row r="33" spans="1:10" x14ac:dyDescent="0.2">
      <c r="A33" s="224" t="s">
        <v>210</v>
      </c>
      <c r="B33" s="225">
        <v>0.1</v>
      </c>
      <c r="C33" s="225"/>
      <c r="D33" s="242">
        <f t="shared" si="0"/>
        <v>0.1</v>
      </c>
    </row>
    <row r="34" spans="1:10" x14ac:dyDescent="0.2">
      <c r="A34" s="224" t="s">
        <v>211</v>
      </c>
      <c r="B34" s="225">
        <v>13.5</v>
      </c>
      <c r="C34" s="225"/>
      <c r="D34" s="242">
        <f t="shared" si="0"/>
        <v>13.5</v>
      </c>
    </row>
    <row r="35" spans="1:10" x14ac:dyDescent="0.2">
      <c r="A35" s="224" t="s">
        <v>212</v>
      </c>
      <c r="B35" s="225">
        <v>0.1</v>
      </c>
      <c r="C35" s="225"/>
      <c r="D35" s="242">
        <f t="shared" si="0"/>
        <v>0.1</v>
      </c>
    </row>
    <row r="36" spans="1:10" x14ac:dyDescent="0.2">
      <c r="A36" s="224" t="s">
        <v>213</v>
      </c>
      <c r="B36" s="225">
        <v>0</v>
      </c>
      <c r="C36" s="225"/>
      <c r="D36" s="242">
        <f t="shared" si="0"/>
        <v>0</v>
      </c>
      <c r="J36" s="246"/>
    </row>
    <row r="37" spans="1:10" s="246" customFormat="1" x14ac:dyDescent="0.2">
      <c r="A37" s="224" t="s">
        <v>214</v>
      </c>
      <c r="B37" s="225">
        <v>0.1</v>
      </c>
      <c r="C37" s="225">
        <f t="shared" ref="C37" si="1">SUM(C3:C36)</f>
        <v>0</v>
      </c>
      <c r="D37" s="242">
        <f t="shared" si="0"/>
        <v>0.1</v>
      </c>
    </row>
    <row r="38" spans="1:10" x14ac:dyDescent="0.2">
      <c r="A38" s="247"/>
      <c r="D38" s="242"/>
    </row>
    <row r="39" spans="1:10" x14ac:dyDescent="0.2">
      <c r="A39" s="224" t="s">
        <v>215</v>
      </c>
      <c r="B39" s="219">
        <v>0</v>
      </c>
      <c r="D39" s="242">
        <f t="shared" si="0"/>
        <v>0</v>
      </c>
    </row>
    <row r="40" spans="1:10" x14ac:dyDescent="0.2">
      <c r="A40" s="224" t="s">
        <v>216</v>
      </c>
      <c r="B40" s="219">
        <v>0</v>
      </c>
      <c r="D40" s="242">
        <f t="shared" si="0"/>
        <v>0</v>
      </c>
    </row>
    <row r="41" spans="1:10" x14ac:dyDescent="0.2">
      <c r="A41" s="224" t="s">
        <v>217</v>
      </c>
      <c r="B41" s="219">
        <v>0</v>
      </c>
      <c r="D41" s="242">
        <f t="shared" si="0"/>
        <v>0</v>
      </c>
    </row>
    <row r="42" spans="1:10" x14ac:dyDescent="0.2">
      <c r="A42" s="224" t="s">
        <v>218</v>
      </c>
      <c r="B42" s="219">
        <v>0</v>
      </c>
      <c r="D42" s="242">
        <f t="shared" si="0"/>
        <v>0</v>
      </c>
    </row>
    <row r="43" spans="1:10" x14ac:dyDescent="0.2">
      <c r="A43" s="224" t="s">
        <v>219</v>
      </c>
      <c r="B43" s="219">
        <v>0.1</v>
      </c>
      <c r="D43" s="242">
        <f t="shared" si="0"/>
        <v>0.1</v>
      </c>
    </row>
    <row r="44" spans="1:10" ht="13.5" thickBot="1" x14ac:dyDescent="0.25">
      <c r="A44" s="227" t="s">
        <v>220</v>
      </c>
      <c r="B44" s="228">
        <v>0</v>
      </c>
      <c r="C44" s="248"/>
      <c r="D44" s="249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2" sqref="B2"/>
    </sheetView>
  </sheetViews>
  <sheetFormatPr defaultRowHeight="12.75" x14ac:dyDescent="0.2"/>
  <cols>
    <col min="1" max="1" width="2.85546875" style="238" customWidth="1"/>
    <col min="2" max="2" width="15.28515625" style="238" bestFit="1" customWidth="1"/>
    <col min="3" max="3" width="9.5703125" style="238" customWidth="1"/>
    <col min="4" max="4" width="10.28515625" style="238" customWidth="1"/>
    <col min="5" max="5" width="9.7109375" style="238" customWidth="1"/>
    <col min="6" max="6" width="12.5703125" style="238" bestFit="1" customWidth="1"/>
    <col min="7" max="16384" width="9.140625" style="238"/>
  </cols>
  <sheetData>
    <row r="1" spans="1:6" ht="13.5" thickBot="1" x14ac:dyDescent="0.25">
      <c r="A1" s="219"/>
      <c r="B1" s="219"/>
      <c r="C1" s="219"/>
      <c r="D1" s="219"/>
      <c r="E1" s="219"/>
      <c r="F1" s="219"/>
    </row>
    <row r="2" spans="1:6" x14ac:dyDescent="0.2">
      <c r="A2" s="219"/>
      <c r="B2" s="220"/>
      <c r="C2" s="221"/>
      <c r="D2" s="220"/>
      <c r="E2" s="222"/>
      <c r="F2" s="220"/>
    </row>
    <row r="3" spans="1:6" x14ac:dyDescent="0.2">
      <c r="A3" s="219"/>
      <c r="B3" s="223" t="s">
        <v>61</v>
      </c>
      <c r="C3" s="224" t="s">
        <v>187</v>
      </c>
      <c r="D3" s="223" t="s">
        <v>188</v>
      </c>
      <c r="E3" s="225" t="s">
        <v>63</v>
      </c>
      <c r="F3" s="223" t="s">
        <v>189</v>
      </c>
    </row>
    <row r="4" spans="1:6" x14ac:dyDescent="0.2">
      <c r="A4" s="219"/>
      <c r="B4" s="223"/>
      <c r="C4" s="224" t="s">
        <v>71</v>
      </c>
      <c r="D4" s="223" t="s">
        <v>190</v>
      </c>
      <c r="E4" s="225" t="s">
        <v>13</v>
      </c>
      <c r="F4" s="223"/>
    </row>
    <row r="5" spans="1:6" ht="13.5" thickBot="1" x14ac:dyDescent="0.25">
      <c r="A5" s="219"/>
      <c r="B5" s="226"/>
      <c r="C5" s="227"/>
      <c r="D5" s="226"/>
      <c r="E5" s="228" t="s">
        <v>71</v>
      </c>
      <c r="F5" s="226"/>
    </row>
    <row r="6" spans="1:6" x14ac:dyDescent="0.2">
      <c r="A6" s="219"/>
      <c r="B6" s="223"/>
      <c r="C6" s="229" t="s">
        <v>238</v>
      </c>
      <c r="D6" s="230"/>
      <c r="E6" s="230"/>
      <c r="F6" s="231"/>
    </row>
    <row r="7" spans="1:6" x14ac:dyDescent="0.2">
      <c r="A7" s="219"/>
      <c r="B7" s="223" t="s">
        <v>80</v>
      </c>
      <c r="C7" s="250">
        <v>0</v>
      </c>
      <c r="D7" s="232"/>
      <c r="E7" s="233">
        <f>C7-D7</f>
        <v>0</v>
      </c>
      <c r="F7" s="232">
        <f>D7</f>
        <v>0</v>
      </c>
    </row>
    <row r="8" spans="1:6" x14ac:dyDescent="0.2">
      <c r="A8" s="219"/>
      <c r="B8" s="223" t="s">
        <v>223</v>
      </c>
      <c r="C8" s="250">
        <v>0</v>
      </c>
      <c r="D8" s="232"/>
      <c r="E8" s="233">
        <f t="shared" ref="E8:E48" si="0">C8-D8</f>
        <v>0</v>
      </c>
      <c r="F8" s="232">
        <f t="shared" ref="F8:F48" si="1">D8</f>
        <v>0</v>
      </c>
    </row>
    <row r="9" spans="1:6" x14ac:dyDescent="0.2">
      <c r="A9" s="219"/>
      <c r="B9" s="223" t="s">
        <v>82</v>
      </c>
      <c r="C9" s="250">
        <v>0</v>
      </c>
      <c r="D9" s="232"/>
      <c r="E9" s="233">
        <f t="shared" si="0"/>
        <v>0</v>
      </c>
      <c r="F9" s="232">
        <f t="shared" si="1"/>
        <v>0</v>
      </c>
    </row>
    <row r="10" spans="1:6" x14ac:dyDescent="0.2">
      <c r="A10" s="219"/>
      <c r="B10" s="223" t="s">
        <v>224</v>
      </c>
      <c r="C10" s="250">
        <v>0</v>
      </c>
      <c r="D10" s="232"/>
      <c r="E10" s="233">
        <f t="shared" si="0"/>
        <v>0</v>
      </c>
      <c r="F10" s="232">
        <f t="shared" si="1"/>
        <v>0</v>
      </c>
    </row>
    <row r="11" spans="1:6" x14ac:dyDescent="0.2">
      <c r="A11" s="219"/>
      <c r="B11" s="223" t="s">
        <v>225</v>
      </c>
      <c r="C11" s="250">
        <v>0.3</v>
      </c>
      <c r="D11" s="232"/>
      <c r="E11" s="233">
        <f t="shared" si="0"/>
        <v>0.3</v>
      </c>
      <c r="F11" s="232">
        <f t="shared" si="1"/>
        <v>0</v>
      </c>
    </row>
    <row r="12" spans="1:6" x14ac:dyDescent="0.2">
      <c r="A12" s="219"/>
      <c r="B12" s="223" t="s">
        <v>226</v>
      </c>
      <c r="C12" s="250">
        <v>0</v>
      </c>
      <c r="D12" s="232"/>
      <c r="E12" s="233">
        <f t="shared" si="0"/>
        <v>0</v>
      </c>
      <c r="F12" s="232">
        <f t="shared" si="1"/>
        <v>0</v>
      </c>
    </row>
    <row r="13" spans="1:6" x14ac:dyDescent="0.2">
      <c r="A13" s="219"/>
      <c r="B13" s="223" t="s">
        <v>227</v>
      </c>
      <c r="C13" s="250">
        <v>0</v>
      </c>
      <c r="D13" s="232"/>
      <c r="E13" s="233">
        <f t="shared" si="0"/>
        <v>0</v>
      </c>
      <c r="F13" s="232">
        <f t="shared" si="1"/>
        <v>0</v>
      </c>
    </row>
    <row r="14" spans="1:6" x14ac:dyDescent="0.2">
      <c r="A14" s="219"/>
      <c r="B14" s="223" t="s">
        <v>228</v>
      </c>
      <c r="C14" s="250">
        <v>0</v>
      </c>
      <c r="D14" s="232"/>
      <c r="E14" s="233">
        <f t="shared" si="0"/>
        <v>0</v>
      </c>
      <c r="F14" s="232">
        <f t="shared" si="1"/>
        <v>0</v>
      </c>
    </row>
    <row r="15" spans="1:6" x14ac:dyDescent="0.2">
      <c r="A15" s="219"/>
      <c r="B15" s="223" t="s">
        <v>88</v>
      </c>
      <c r="C15" s="251">
        <v>0</v>
      </c>
      <c r="D15" s="232"/>
      <c r="E15" s="233">
        <f t="shared" si="0"/>
        <v>0</v>
      </c>
      <c r="F15" s="232">
        <f t="shared" si="1"/>
        <v>0</v>
      </c>
    </row>
    <row r="16" spans="1:6" x14ac:dyDescent="0.2">
      <c r="A16" s="219"/>
      <c r="B16" s="223" t="s">
        <v>229</v>
      </c>
      <c r="C16" s="250">
        <v>0</v>
      </c>
      <c r="D16" s="232"/>
      <c r="E16" s="233">
        <f t="shared" si="0"/>
        <v>0</v>
      </c>
      <c r="F16" s="232">
        <f t="shared" si="1"/>
        <v>0</v>
      </c>
    </row>
    <row r="17" spans="1:6" x14ac:dyDescent="0.2">
      <c r="A17" s="219"/>
      <c r="B17" s="223"/>
      <c r="C17" s="251"/>
      <c r="D17" s="232"/>
      <c r="E17" s="233"/>
      <c r="F17" s="232"/>
    </row>
    <row r="18" spans="1:6" x14ac:dyDescent="0.2">
      <c r="A18" s="236"/>
      <c r="B18" s="234"/>
      <c r="C18" s="252"/>
      <c r="D18" s="235"/>
      <c r="E18" s="233"/>
      <c r="F18" s="232"/>
    </row>
    <row r="19" spans="1:6" x14ac:dyDescent="0.2">
      <c r="A19" s="219"/>
      <c r="B19" s="223"/>
      <c r="C19" s="251"/>
      <c r="D19" s="232"/>
      <c r="E19" s="233"/>
      <c r="F19" s="232"/>
    </row>
    <row r="20" spans="1:6" x14ac:dyDescent="0.2">
      <c r="A20" s="219"/>
      <c r="B20" s="223" t="s">
        <v>230</v>
      </c>
      <c r="C20" s="250">
        <v>0</v>
      </c>
      <c r="D20" s="232"/>
      <c r="E20" s="233">
        <f t="shared" si="0"/>
        <v>0</v>
      </c>
      <c r="F20" s="232">
        <f t="shared" si="1"/>
        <v>0</v>
      </c>
    </row>
    <row r="21" spans="1:6" x14ac:dyDescent="0.2">
      <c r="A21" s="219"/>
      <c r="B21" s="223" t="s">
        <v>93</v>
      </c>
      <c r="C21" s="250">
        <v>0.1</v>
      </c>
      <c r="D21" s="232"/>
      <c r="E21" s="233">
        <f t="shared" si="0"/>
        <v>0.1</v>
      </c>
      <c r="F21" s="232">
        <f t="shared" si="1"/>
        <v>0</v>
      </c>
    </row>
    <row r="22" spans="1:6" x14ac:dyDescent="0.2">
      <c r="A22" s="219"/>
      <c r="B22" s="223"/>
      <c r="C22" s="250"/>
      <c r="D22" s="232"/>
      <c r="E22" s="233"/>
      <c r="F22" s="232"/>
    </row>
    <row r="23" spans="1:6" x14ac:dyDescent="0.2">
      <c r="A23" s="219"/>
      <c r="B23" s="223" t="s">
        <v>231</v>
      </c>
      <c r="C23" s="253">
        <v>0.6</v>
      </c>
      <c r="D23" s="232"/>
      <c r="E23" s="233">
        <f t="shared" si="0"/>
        <v>0.6</v>
      </c>
      <c r="F23" s="232">
        <f t="shared" si="1"/>
        <v>0</v>
      </c>
    </row>
    <row r="24" spans="1:6" x14ac:dyDescent="0.2">
      <c r="A24" s="219"/>
      <c r="B24" s="223" t="s">
        <v>96</v>
      </c>
      <c r="C24" s="250">
        <v>0</v>
      </c>
      <c r="D24" s="232"/>
      <c r="E24" s="233">
        <f t="shared" si="0"/>
        <v>0</v>
      </c>
      <c r="F24" s="232">
        <f t="shared" si="1"/>
        <v>0</v>
      </c>
    </row>
    <row r="25" spans="1:6" x14ac:dyDescent="0.2">
      <c r="A25" s="219"/>
      <c r="B25" s="223" t="s">
        <v>97</v>
      </c>
      <c r="C25" s="250">
        <v>0</v>
      </c>
      <c r="D25" s="232"/>
      <c r="E25" s="233">
        <f t="shared" si="0"/>
        <v>0</v>
      </c>
      <c r="F25" s="232">
        <f t="shared" si="1"/>
        <v>0</v>
      </c>
    </row>
    <row r="26" spans="1:6" x14ac:dyDescent="0.2">
      <c r="A26" s="219"/>
      <c r="B26" s="223" t="s">
        <v>232</v>
      </c>
      <c r="C26" s="250">
        <v>0.2</v>
      </c>
      <c r="D26" s="232"/>
      <c r="E26" s="233">
        <f t="shared" si="0"/>
        <v>0.2</v>
      </c>
      <c r="F26" s="232">
        <f t="shared" si="1"/>
        <v>0</v>
      </c>
    </row>
    <row r="27" spans="1:6" x14ac:dyDescent="0.2">
      <c r="A27" s="219"/>
      <c r="B27" s="223" t="s">
        <v>233</v>
      </c>
      <c r="C27" s="253">
        <v>3.5</v>
      </c>
      <c r="D27" s="232"/>
      <c r="E27" s="233">
        <f t="shared" si="0"/>
        <v>3.5</v>
      </c>
      <c r="F27" s="232">
        <f t="shared" si="1"/>
        <v>0</v>
      </c>
    </row>
    <row r="28" spans="1:6" x14ac:dyDescent="0.2">
      <c r="A28" s="219"/>
      <c r="B28" s="223" t="s">
        <v>234</v>
      </c>
      <c r="C28" s="251">
        <v>0.5</v>
      </c>
      <c r="D28" s="232"/>
      <c r="E28" s="233">
        <f t="shared" si="0"/>
        <v>0.5</v>
      </c>
      <c r="F28" s="232">
        <f t="shared" si="1"/>
        <v>0</v>
      </c>
    </row>
    <row r="29" spans="1:6" x14ac:dyDescent="0.2">
      <c r="A29" s="219"/>
      <c r="B29" s="223" t="s">
        <v>235</v>
      </c>
      <c r="C29" s="251">
        <v>0</v>
      </c>
      <c r="D29" s="232"/>
      <c r="E29" s="233">
        <f t="shared" si="0"/>
        <v>0</v>
      </c>
      <c r="F29" s="232">
        <f t="shared" si="1"/>
        <v>0</v>
      </c>
    </row>
    <row r="30" spans="1:6" x14ac:dyDescent="0.2">
      <c r="A30" s="219"/>
      <c r="B30" s="223" t="s">
        <v>236</v>
      </c>
      <c r="C30" s="251">
        <v>0</v>
      </c>
      <c r="D30" s="232"/>
      <c r="E30" s="233">
        <f t="shared" si="0"/>
        <v>0</v>
      </c>
      <c r="F30" s="232">
        <f t="shared" si="1"/>
        <v>0</v>
      </c>
    </row>
    <row r="31" spans="1:6" x14ac:dyDescent="0.2">
      <c r="A31" s="219"/>
      <c r="B31" s="223" t="s">
        <v>103</v>
      </c>
      <c r="C31" s="251">
        <v>0</v>
      </c>
      <c r="D31" s="232"/>
      <c r="E31" s="233">
        <f t="shared" si="0"/>
        <v>0</v>
      </c>
      <c r="F31" s="232">
        <f t="shared" si="1"/>
        <v>0</v>
      </c>
    </row>
    <row r="32" spans="1:6" x14ac:dyDescent="0.2">
      <c r="A32" s="219"/>
      <c r="B32" s="223" t="s">
        <v>237</v>
      </c>
      <c r="C32" s="251">
        <v>0</v>
      </c>
      <c r="D32" s="232"/>
      <c r="E32" s="233">
        <f t="shared" si="0"/>
        <v>0</v>
      </c>
      <c r="F32" s="232">
        <f t="shared" si="1"/>
        <v>0</v>
      </c>
    </row>
    <row r="33" spans="1:6" x14ac:dyDescent="0.2">
      <c r="A33" s="219"/>
      <c r="B33" s="223"/>
      <c r="C33" s="251"/>
      <c r="D33" s="232"/>
      <c r="E33" s="233"/>
      <c r="F33" s="232"/>
    </row>
    <row r="34" spans="1:6" x14ac:dyDescent="0.2">
      <c r="A34" s="236"/>
      <c r="B34" s="234"/>
      <c r="C34" s="252"/>
      <c r="D34" s="235"/>
      <c r="E34" s="233"/>
      <c r="F34" s="232"/>
    </row>
    <row r="35" spans="1:6" x14ac:dyDescent="0.2">
      <c r="A35" s="219"/>
      <c r="B35" s="223"/>
      <c r="C35" s="251"/>
      <c r="D35" s="232"/>
      <c r="E35" s="233"/>
      <c r="F35" s="232"/>
    </row>
    <row r="36" spans="1:6" x14ac:dyDescent="0.2">
      <c r="A36" s="219"/>
      <c r="B36" s="223"/>
      <c r="C36" s="251"/>
      <c r="D36" s="232"/>
      <c r="E36" s="233"/>
      <c r="F36" s="232"/>
    </row>
    <row r="37" spans="1:6" x14ac:dyDescent="0.2">
      <c r="A37" s="219"/>
      <c r="B37" s="223" t="s">
        <v>210</v>
      </c>
      <c r="C37" s="250">
        <v>0</v>
      </c>
      <c r="D37" s="232"/>
      <c r="E37" s="233">
        <f t="shared" si="0"/>
        <v>0</v>
      </c>
      <c r="F37" s="232">
        <f t="shared" si="1"/>
        <v>0</v>
      </c>
    </row>
    <row r="38" spans="1:6" x14ac:dyDescent="0.2">
      <c r="A38" s="219"/>
      <c r="B38" s="223" t="s">
        <v>211</v>
      </c>
      <c r="C38" s="232">
        <v>1.5</v>
      </c>
      <c r="D38" s="232"/>
      <c r="E38" s="233">
        <f t="shared" si="0"/>
        <v>1.5</v>
      </c>
      <c r="F38" s="232">
        <f t="shared" si="1"/>
        <v>0</v>
      </c>
    </row>
    <row r="39" spans="1:6" x14ac:dyDescent="0.2">
      <c r="A39" s="219"/>
      <c r="B39" s="223" t="s">
        <v>212</v>
      </c>
      <c r="C39" s="232">
        <v>0</v>
      </c>
      <c r="D39" s="232"/>
      <c r="E39" s="233">
        <f t="shared" si="0"/>
        <v>0</v>
      </c>
      <c r="F39" s="232">
        <f t="shared" si="1"/>
        <v>0</v>
      </c>
    </row>
    <row r="40" spans="1:6" x14ac:dyDescent="0.2">
      <c r="A40" s="219"/>
      <c r="B40" s="223" t="s">
        <v>213</v>
      </c>
      <c r="C40" s="232">
        <v>0</v>
      </c>
      <c r="D40" s="232"/>
      <c r="E40" s="233">
        <f t="shared" si="0"/>
        <v>0</v>
      </c>
      <c r="F40" s="232">
        <f t="shared" si="1"/>
        <v>0</v>
      </c>
    </row>
    <row r="41" spans="1:6" x14ac:dyDescent="0.2">
      <c r="A41" s="236"/>
      <c r="B41" s="223" t="s">
        <v>214</v>
      </c>
      <c r="C41" s="232">
        <v>0</v>
      </c>
      <c r="D41" s="235"/>
      <c r="E41" s="233">
        <f t="shared" si="0"/>
        <v>0</v>
      </c>
      <c r="F41" s="232">
        <f t="shared" si="1"/>
        <v>0</v>
      </c>
    </row>
    <row r="42" spans="1:6" x14ac:dyDescent="0.2">
      <c r="A42" s="219"/>
      <c r="B42" s="223"/>
      <c r="C42" s="223"/>
      <c r="D42" s="223"/>
      <c r="E42" s="233"/>
      <c r="F42" s="232"/>
    </row>
    <row r="43" spans="1:6" x14ac:dyDescent="0.2">
      <c r="B43" s="223" t="s">
        <v>215</v>
      </c>
      <c r="C43" s="223">
        <v>0</v>
      </c>
      <c r="D43" s="223"/>
      <c r="E43" s="233">
        <f t="shared" si="0"/>
        <v>0</v>
      </c>
      <c r="F43" s="232">
        <f t="shared" si="1"/>
        <v>0</v>
      </c>
    </row>
    <row r="44" spans="1:6" x14ac:dyDescent="0.2">
      <c r="B44" s="223" t="s">
        <v>216</v>
      </c>
      <c r="C44" s="223">
        <v>0</v>
      </c>
      <c r="D44" s="223"/>
      <c r="E44" s="233">
        <f t="shared" si="0"/>
        <v>0</v>
      </c>
      <c r="F44" s="232">
        <f t="shared" si="1"/>
        <v>0</v>
      </c>
    </row>
    <row r="45" spans="1:6" x14ac:dyDescent="0.2">
      <c r="B45" s="223" t="s">
        <v>217</v>
      </c>
      <c r="C45" s="223">
        <v>12.2</v>
      </c>
      <c r="D45" s="223"/>
      <c r="E45" s="233">
        <f t="shared" si="0"/>
        <v>12.2</v>
      </c>
      <c r="F45" s="232">
        <f t="shared" si="1"/>
        <v>0</v>
      </c>
    </row>
    <row r="46" spans="1:6" x14ac:dyDescent="0.2">
      <c r="B46" s="223" t="s">
        <v>218</v>
      </c>
      <c r="C46" s="223">
        <v>0.2</v>
      </c>
      <c r="D46" s="223"/>
      <c r="E46" s="233">
        <f t="shared" si="0"/>
        <v>0.2</v>
      </c>
      <c r="F46" s="232">
        <f t="shared" si="1"/>
        <v>0</v>
      </c>
    </row>
    <row r="47" spans="1:6" x14ac:dyDescent="0.2">
      <c r="B47" s="223" t="s">
        <v>219</v>
      </c>
      <c r="C47" s="223">
        <v>0.1</v>
      </c>
      <c r="D47" s="223"/>
      <c r="E47" s="233">
        <f t="shared" si="0"/>
        <v>0.1</v>
      </c>
      <c r="F47" s="232">
        <f t="shared" si="1"/>
        <v>0</v>
      </c>
    </row>
    <row r="48" spans="1:6" ht="13.5" thickBot="1" x14ac:dyDescent="0.25">
      <c r="B48" s="226" t="s">
        <v>220</v>
      </c>
      <c r="C48" s="226">
        <v>0</v>
      </c>
      <c r="D48" s="226"/>
      <c r="E48" s="254">
        <f t="shared" si="0"/>
        <v>0</v>
      </c>
      <c r="F48" s="237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 </vt:lpstr>
      <vt:lpstr>Ang Flex</vt:lpstr>
      <vt:lpstr>Had Flex</vt:lpstr>
      <vt:lpstr>NS Skr Flex 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2018-03-28T11:55:46Z</dcterms:modified>
</cp:coreProperties>
</file>