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DH222DF\x955467$\Weekly Spreadsheets\"/>
    </mc:Choice>
  </mc:AlternateContent>
  <xr:revisionPtr revIDLastSave="0" documentId="8_{A3C58DFE-7C9A-4E6B-9D81-F64C8F8C93E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ELAGIC" sheetId="182" r:id="rId1"/>
    <sheet name="New Sectoral" sheetId="183" r:id="rId2"/>
    <sheet name="Pel Non PO " sheetId="184" r:id="rId3"/>
    <sheet name="Spe Cond stocks" sheetId="185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>'[3]Landings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>'[3]Landings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>'[3]Landings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>'[3]Landings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 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>'[3]Landings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>'[3]Landings '!$I$2:$AF$53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2" i="184" l="1"/>
  <c r="D302" i="184"/>
  <c r="C302" i="184"/>
  <c r="P302" i="184" s="1"/>
  <c r="G300" i="184"/>
  <c r="F300" i="184"/>
  <c r="D300" i="184"/>
  <c r="C300" i="184"/>
  <c r="M300" i="184" s="1"/>
  <c r="P299" i="184"/>
  <c r="K299" i="184"/>
  <c r="G299" i="184"/>
  <c r="F299" i="184"/>
  <c r="D299" i="184"/>
  <c r="C299" i="184"/>
  <c r="M298" i="184"/>
  <c r="L298" i="184"/>
  <c r="I298" i="184"/>
  <c r="G298" i="184"/>
  <c r="F298" i="184"/>
  <c r="D298" i="184"/>
  <c r="C298" i="184"/>
  <c r="M297" i="184"/>
  <c r="J297" i="184"/>
  <c r="I297" i="184"/>
  <c r="G297" i="184"/>
  <c r="F297" i="184"/>
  <c r="D297" i="184"/>
  <c r="C297" i="184"/>
  <c r="P297" i="184" s="1"/>
  <c r="M296" i="184"/>
  <c r="K296" i="184"/>
  <c r="J296" i="184"/>
  <c r="I296" i="184"/>
  <c r="G296" i="184"/>
  <c r="F296" i="184"/>
  <c r="D296" i="184"/>
  <c r="C296" i="184"/>
  <c r="P296" i="184" s="1"/>
  <c r="G295" i="184"/>
  <c r="F295" i="184"/>
  <c r="D295" i="184"/>
  <c r="C295" i="184"/>
  <c r="G294" i="184"/>
  <c r="F294" i="184"/>
  <c r="D294" i="184"/>
  <c r="C294" i="184"/>
  <c r="I294" i="184" s="1"/>
  <c r="N293" i="184"/>
  <c r="G293" i="184"/>
  <c r="F293" i="184"/>
  <c r="D293" i="184"/>
  <c r="C293" i="184"/>
  <c r="P293" i="184" s="1"/>
  <c r="G292" i="184"/>
  <c r="F292" i="184"/>
  <c r="D292" i="184"/>
  <c r="C292" i="184"/>
  <c r="P292" i="184" s="1"/>
  <c r="G291" i="184"/>
  <c r="F291" i="184"/>
  <c r="D291" i="184"/>
  <c r="C291" i="184"/>
  <c r="M290" i="184"/>
  <c r="L290" i="184"/>
  <c r="I290" i="184"/>
  <c r="G290" i="184"/>
  <c r="F290" i="184"/>
  <c r="D290" i="184"/>
  <c r="C290" i="184"/>
  <c r="M289" i="184"/>
  <c r="J289" i="184"/>
  <c r="I289" i="184"/>
  <c r="G289" i="184"/>
  <c r="F289" i="184"/>
  <c r="D289" i="184"/>
  <c r="C289" i="184"/>
  <c r="P289" i="184" s="1"/>
  <c r="M288" i="184"/>
  <c r="K288" i="184"/>
  <c r="J288" i="184"/>
  <c r="I288" i="184"/>
  <c r="G288" i="184"/>
  <c r="F288" i="184"/>
  <c r="D288" i="184"/>
  <c r="C288" i="184"/>
  <c r="P288" i="184" s="1"/>
  <c r="P287" i="184"/>
  <c r="G287" i="184"/>
  <c r="F287" i="184"/>
  <c r="D287" i="184"/>
  <c r="C287" i="184"/>
  <c r="G286" i="184"/>
  <c r="F286" i="184"/>
  <c r="D286" i="184"/>
  <c r="C286" i="184"/>
  <c r="L286" i="184" s="1"/>
  <c r="G285" i="184"/>
  <c r="F285" i="184"/>
  <c r="D285" i="184"/>
  <c r="C285" i="184"/>
  <c r="P285" i="184" s="1"/>
  <c r="K284" i="184"/>
  <c r="I284" i="184"/>
  <c r="G284" i="184"/>
  <c r="F284" i="184"/>
  <c r="D284" i="184"/>
  <c r="C284" i="184"/>
  <c r="P284" i="184" s="1"/>
  <c r="G283" i="184"/>
  <c r="F283" i="184"/>
  <c r="D283" i="184"/>
  <c r="C283" i="184"/>
  <c r="K283" i="184" s="1"/>
  <c r="M282" i="184"/>
  <c r="G282" i="184"/>
  <c r="F282" i="184"/>
  <c r="D282" i="184"/>
  <c r="C282" i="184"/>
  <c r="L282" i="184" s="1"/>
  <c r="M281" i="184"/>
  <c r="G281" i="184"/>
  <c r="F281" i="184"/>
  <c r="D281" i="184"/>
  <c r="C281" i="184"/>
  <c r="P281" i="184" s="1"/>
  <c r="M280" i="184"/>
  <c r="G280" i="184"/>
  <c r="F280" i="184"/>
  <c r="D280" i="184"/>
  <c r="C280" i="184"/>
  <c r="P280" i="184" s="1"/>
  <c r="G279" i="184"/>
  <c r="F279" i="184"/>
  <c r="D279" i="184"/>
  <c r="C279" i="184"/>
  <c r="M278" i="184"/>
  <c r="M302" i="184" s="1"/>
  <c r="L278" i="184"/>
  <c r="I278" i="184"/>
  <c r="G278" i="184"/>
  <c r="G302" i="184" s="1"/>
  <c r="F278" i="184"/>
  <c r="D278" i="184"/>
  <c r="C278" i="184"/>
  <c r="F268" i="184"/>
  <c r="D268" i="184"/>
  <c r="C268" i="184"/>
  <c r="P268" i="184" s="1"/>
  <c r="N266" i="184"/>
  <c r="G266" i="184"/>
  <c r="F266" i="184"/>
  <c r="D266" i="184"/>
  <c r="C266" i="184"/>
  <c r="P266" i="184" s="1"/>
  <c r="G265" i="184"/>
  <c r="F265" i="184"/>
  <c r="D265" i="184"/>
  <c r="C265" i="184"/>
  <c r="P265" i="184" s="1"/>
  <c r="G264" i="184"/>
  <c r="F264" i="184"/>
  <c r="D264" i="184"/>
  <c r="C264" i="184"/>
  <c r="L264" i="184" s="1"/>
  <c r="M263" i="184"/>
  <c r="L263" i="184"/>
  <c r="G263" i="184"/>
  <c r="F263" i="184"/>
  <c r="D263" i="184"/>
  <c r="C263" i="184"/>
  <c r="N262" i="184"/>
  <c r="M262" i="184"/>
  <c r="J262" i="184"/>
  <c r="I262" i="184"/>
  <c r="G262" i="184"/>
  <c r="F262" i="184"/>
  <c r="D262" i="184"/>
  <c r="C262" i="184"/>
  <c r="P262" i="184" s="1"/>
  <c r="N261" i="184"/>
  <c r="K261" i="184"/>
  <c r="J261" i="184"/>
  <c r="G261" i="184"/>
  <c r="F261" i="184"/>
  <c r="D261" i="184"/>
  <c r="C261" i="184"/>
  <c r="M261" i="184" s="1"/>
  <c r="G260" i="184"/>
  <c r="F260" i="184"/>
  <c r="D260" i="184"/>
  <c r="C260" i="184"/>
  <c r="P260" i="184" s="1"/>
  <c r="G259" i="184"/>
  <c r="F259" i="184"/>
  <c r="D259" i="184"/>
  <c r="C259" i="184"/>
  <c r="P259" i="184" s="1"/>
  <c r="M258" i="184"/>
  <c r="G258" i="184"/>
  <c r="F258" i="184"/>
  <c r="D258" i="184"/>
  <c r="C258" i="184"/>
  <c r="P258" i="184" s="1"/>
  <c r="N257" i="184"/>
  <c r="K257" i="184"/>
  <c r="G257" i="184"/>
  <c r="F257" i="184"/>
  <c r="D257" i="184"/>
  <c r="C257" i="184"/>
  <c r="M257" i="184" s="1"/>
  <c r="L256" i="184"/>
  <c r="K256" i="184"/>
  <c r="G256" i="184"/>
  <c r="F256" i="184"/>
  <c r="D256" i="184"/>
  <c r="C256" i="184"/>
  <c r="M255" i="184"/>
  <c r="L255" i="184"/>
  <c r="G255" i="184"/>
  <c r="F255" i="184"/>
  <c r="D255" i="184"/>
  <c r="C255" i="184"/>
  <c r="G254" i="184"/>
  <c r="F254" i="184"/>
  <c r="D254" i="184"/>
  <c r="C254" i="184"/>
  <c r="K254" i="184" s="1"/>
  <c r="M253" i="184"/>
  <c r="G253" i="184"/>
  <c r="F253" i="184"/>
  <c r="D253" i="184"/>
  <c r="C253" i="184"/>
  <c r="L253" i="184" s="1"/>
  <c r="K252" i="184"/>
  <c r="G252" i="184"/>
  <c r="F252" i="184"/>
  <c r="D252" i="184"/>
  <c r="C252" i="184"/>
  <c r="P252" i="184" s="1"/>
  <c r="N251" i="184"/>
  <c r="K251" i="184"/>
  <c r="G251" i="184"/>
  <c r="F251" i="184"/>
  <c r="D251" i="184"/>
  <c r="C251" i="184"/>
  <c r="M251" i="184" s="1"/>
  <c r="P250" i="184"/>
  <c r="G250" i="184"/>
  <c r="F250" i="184"/>
  <c r="D250" i="184"/>
  <c r="C250" i="184"/>
  <c r="M249" i="184"/>
  <c r="L249" i="184"/>
  <c r="I249" i="184"/>
  <c r="G249" i="184"/>
  <c r="F249" i="184"/>
  <c r="D249" i="184"/>
  <c r="C249" i="184"/>
  <c r="M248" i="184"/>
  <c r="K248" i="184"/>
  <c r="J248" i="184"/>
  <c r="I248" i="184"/>
  <c r="G248" i="184"/>
  <c r="F248" i="184"/>
  <c r="D248" i="184"/>
  <c r="C248" i="184"/>
  <c r="P248" i="184" s="1"/>
  <c r="N247" i="184"/>
  <c r="K247" i="184"/>
  <c r="J247" i="184"/>
  <c r="G247" i="184"/>
  <c r="F247" i="184"/>
  <c r="D247" i="184"/>
  <c r="C247" i="184"/>
  <c r="M247" i="184" s="1"/>
  <c r="G246" i="184"/>
  <c r="F246" i="184"/>
  <c r="D246" i="184"/>
  <c r="C246" i="184"/>
  <c r="P245" i="184"/>
  <c r="G245" i="184"/>
  <c r="F245" i="184"/>
  <c r="D245" i="184"/>
  <c r="C245" i="184"/>
  <c r="M244" i="184"/>
  <c r="M268" i="184" s="1"/>
  <c r="K244" i="184"/>
  <c r="J244" i="184"/>
  <c r="I244" i="184"/>
  <c r="G244" i="184"/>
  <c r="G268" i="184" s="1"/>
  <c r="F244" i="184"/>
  <c r="D244" i="184"/>
  <c r="C244" i="184"/>
  <c r="P244" i="184" s="1"/>
  <c r="L240" i="184"/>
  <c r="K240" i="184"/>
  <c r="J240" i="184"/>
  <c r="B238" i="184"/>
  <c r="B237" i="184"/>
  <c r="N229" i="184"/>
  <c r="D229" i="184"/>
  <c r="P227" i="184"/>
  <c r="M227" i="184"/>
  <c r="L227" i="184"/>
  <c r="K227" i="184"/>
  <c r="J227" i="184"/>
  <c r="G227" i="184"/>
  <c r="F227" i="184"/>
  <c r="E227" i="184" s="1"/>
  <c r="C227" i="184"/>
  <c r="P226" i="184"/>
  <c r="M226" i="184"/>
  <c r="L226" i="184"/>
  <c r="K226" i="184"/>
  <c r="J226" i="184"/>
  <c r="G226" i="184"/>
  <c r="F226" i="184"/>
  <c r="E226" i="184" s="1"/>
  <c r="D226" i="184"/>
  <c r="C226" i="184"/>
  <c r="N226" i="184" s="1"/>
  <c r="P225" i="184"/>
  <c r="M225" i="184"/>
  <c r="L225" i="184"/>
  <c r="K225" i="184"/>
  <c r="J225" i="184"/>
  <c r="J229" i="184" s="1"/>
  <c r="G225" i="184"/>
  <c r="F225" i="184"/>
  <c r="C225" i="184"/>
  <c r="N225" i="184" s="1"/>
  <c r="P224" i="184"/>
  <c r="M224" i="184"/>
  <c r="L224" i="184"/>
  <c r="K224" i="184"/>
  <c r="J224" i="184"/>
  <c r="G224" i="184"/>
  <c r="F224" i="184"/>
  <c r="E224" i="184" s="1"/>
  <c r="C224" i="184"/>
  <c r="N224" i="184" s="1"/>
  <c r="P220" i="184"/>
  <c r="M220" i="184"/>
  <c r="L220" i="184"/>
  <c r="K220" i="184"/>
  <c r="J220" i="184"/>
  <c r="G220" i="184"/>
  <c r="H220" i="184" s="1"/>
  <c r="F220" i="184"/>
  <c r="D220" i="184" s="1"/>
  <c r="C220" i="184"/>
  <c r="P219" i="184"/>
  <c r="M219" i="184"/>
  <c r="L219" i="184"/>
  <c r="K219" i="184"/>
  <c r="J219" i="184"/>
  <c r="G219" i="184"/>
  <c r="F219" i="184"/>
  <c r="I219" i="184" s="1"/>
  <c r="E219" i="184"/>
  <c r="D219" i="184"/>
  <c r="C219" i="184"/>
  <c r="P218" i="184"/>
  <c r="M218" i="184"/>
  <c r="L218" i="184"/>
  <c r="K218" i="184"/>
  <c r="J218" i="184"/>
  <c r="G218" i="184"/>
  <c r="H218" i="184" s="1"/>
  <c r="F218" i="184"/>
  <c r="D218" i="184" s="1"/>
  <c r="C218" i="184"/>
  <c r="P217" i="184"/>
  <c r="M217" i="184"/>
  <c r="M222" i="184" s="1"/>
  <c r="L217" i="184"/>
  <c r="K217" i="184"/>
  <c r="J217" i="184"/>
  <c r="G217" i="184"/>
  <c r="F217" i="184"/>
  <c r="F222" i="184" s="1"/>
  <c r="D217" i="184"/>
  <c r="C217" i="184"/>
  <c r="N217" i="184" s="1"/>
  <c r="C212" i="184"/>
  <c r="B208" i="184"/>
  <c r="P206" i="184"/>
  <c r="P205" i="184"/>
  <c r="O205" i="184"/>
  <c r="N205" i="184"/>
  <c r="P202" i="184"/>
  <c r="M202" i="184"/>
  <c r="L202" i="184"/>
  <c r="K202" i="184"/>
  <c r="J202" i="184"/>
  <c r="G202" i="184"/>
  <c r="F202" i="184"/>
  <c r="H202" i="184" s="1"/>
  <c r="D202" i="184"/>
  <c r="C202" i="184"/>
  <c r="P201" i="184"/>
  <c r="M201" i="184"/>
  <c r="L201" i="184"/>
  <c r="K201" i="184"/>
  <c r="J201" i="184"/>
  <c r="G201" i="184"/>
  <c r="F201" i="184"/>
  <c r="D201" i="184"/>
  <c r="C201" i="184"/>
  <c r="P200" i="184"/>
  <c r="M200" i="184"/>
  <c r="L200" i="184"/>
  <c r="K200" i="184"/>
  <c r="J200" i="184"/>
  <c r="G200" i="184"/>
  <c r="F200" i="184"/>
  <c r="E200" i="184" s="1"/>
  <c r="D200" i="184"/>
  <c r="C200" i="184"/>
  <c r="N200" i="184" s="1"/>
  <c r="P199" i="184"/>
  <c r="M199" i="184"/>
  <c r="L199" i="184"/>
  <c r="K199" i="184"/>
  <c r="K204" i="184" s="1"/>
  <c r="J199" i="184"/>
  <c r="G199" i="184"/>
  <c r="F199" i="184"/>
  <c r="D199" i="184"/>
  <c r="D204" i="184" s="1"/>
  <c r="C199" i="184"/>
  <c r="N199" i="184" s="1"/>
  <c r="P195" i="184"/>
  <c r="M195" i="184"/>
  <c r="L195" i="184"/>
  <c r="K195" i="184"/>
  <c r="J195" i="184"/>
  <c r="G195" i="184"/>
  <c r="H195" i="184" s="1"/>
  <c r="F195" i="184"/>
  <c r="D195" i="184"/>
  <c r="C195" i="184"/>
  <c r="N195" i="184" s="1"/>
  <c r="P194" i="184"/>
  <c r="M194" i="184"/>
  <c r="L194" i="184"/>
  <c r="K194" i="184"/>
  <c r="J194" i="184"/>
  <c r="G194" i="184"/>
  <c r="F194" i="184"/>
  <c r="H194" i="184" s="1"/>
  <c r="D194" i="184"/>
  <c r="C194" i="184"/>
  <c r="P193" i="184"/>
  <c r="M193" i="184"/>
  <c r="L193" i="184"/>
  <c r="K193" i="184"/>
  <c r="J193" i="184"/>
  <c r="G193" i="184"/>
  <c r="F193" i="184"/>
  <c r="D193" i="184"/>
  <c r="C193" i="184"/>
  <c r="P192" i="184"/>
  <c r="M192" i="184"/>
  <c r="M197" i="184" s="1"/>
  <c r="L192" i="184"/>
  <c r="K192" i="184"/>
  <c r="J192" i="184"/>
  <c r="G192" i="184"/>
  <c r="G197" i="184" s="1"/>
  <c r="F192" i="184"/>
  <c r="I192" i="184" s="1"/>
  <c r="D192" i="184"/>
  <c r="C192" i="184"/>
  <c r="C187" i="184"/>
  <c r="M180" i="184"/>
  <c r="L180" i="184"/>
  <c r="K180" i="184"/>
  <c r="J180" i="184"/>
  <c r="G180" i="184"/>
  <c r="F180" i="184"/>
  <c r="P180" i="184" s="1"/>
  <c r="C180" i="184"/>
  <c r="P179" i="184"/>
  <c r="M179" i="184"/>
  <c r="L179" i="184"/>
  <c r="K179" i="184"/>
  <c r="J179" i="184"/>
  <c r="G179" i="184"/>
  <c r="H179" i="184" s="1"/>
  <c r="F179" i="184"/>
  <c r="D179" i="184"/>
  <c r="C179" i="184"/>
  <c r="N179" i="184" s="1"/>
  <c r="N178" i="184"/>
  <c r="M178" i="184"/>
  <c r="L178" i="184"/>
  <c r="K178" i="184"/>
  <c r="J178" i="184"/>
  <c r="G178" i="184"/>
  <c r="F178" i="184"/>
  <c r="P178" i="184" s="1"/>
  <c r="C178" i="184"/>
  <c r="M177" i="184"/>
  <c r="L177" i="184"/>
  <c r="K177" i="184"/>
  <c r="J177" i="184"/>
  <c r="G177" i="184"/>
  <c r="F177" i="184"/>
  <c r="F182" i="184" s="1"/>
  <c r="C177" i="184"/>
  <c r="P173" i="184"/>
  <c r="M173" i="184"/>
  <c r="L173" i="184"/>
  <c r="K173" i="184"/>
  <c r="J173" i="184"/>
  <c r="G173" i="184"/>
  <c r="H173" i="184" s="1"/>
  <c r="F173" i="184"/>
  <c r="D173" i="184"/>
  <c r="C173" i="184"/>
  <c r="N173" i="184" s="1"/>
  <c r="N172" i="184"/>
  <c r="M172" i="184"/>
  <c r="L172" i="184"/>
  <c r="K172" i="184"/>
  <c r="J172" i="184"/>
  <c r="G172" i="184"/>
  <c r="F172" i="184"/>
  <c r="P172" i="184" s="1"/>
  <c r="C172" i="184"/>
  <c r="P171" i="184"/>
  <c r="M171" i="184"/>
  <c r="L171" i="184"/>
  <c r="K171" i="184"/>
  <c r="J171" i="184"/>
  <c r="G171" i="184"/>
  <c r="H171" i="184" s="1"/>
  <c r="F171" i="184"/>
  <c r="D171" i="184" s="1"/>
  <c r="C171" i="184"/>
  <c r="N171" i="184" s="1"/>
  <c r="M170" i="184"/>
  <c r="N170" i="184" s="1"/>
  <c r="L170" i="184"/>
  <c r="K170" i="184"/>
  <c r="J170" i="184"/>
  <c r="I170" i="184"/>
  <c r="G170" i="184"/>
  <c r="F170" i="184"/>
  <c r="C170" i="184"/>
  <c r="E170" i="184" s="1"/>
  <c r="C165" i="184"/>
  <c r="P158" i="184"/>
  <c r="M158" i="184"/>
  <c r="L158" i="184"/>
  <c r="K158" i="184"/>
  <c r="J158" i="184"/>
  <c r="G158" i="184"/>
  <c r="H158" i="184" s="1"/>
  <c r="F158" i="184"/>
  <c r="D158" i="184" s="1"/>
  <c r="C158" i="184"/>
  <c r="O158" i="184" s="1"/>
  <c r="P157" i="184"/>
  <c r="M157" i="184"/>
  <c r="L157" i="184"/>
  <c r="K157" i="184"/>
  <c r="J157" i="184"/>
  <c r="G157" i="184"/>
  <c r="F157" i="184"/>
  <c r="E157" i="184" s="1"/>
  <c r="C157" i="184"/>
  <c r="N157" i="184" s="1"/>
  <c r="P156" i="184"/>
  <c r="M156" i="184"/>
  <c r="L156" i="184"/>
  <c r="O156" i="184" s="1"/>
  <c r="K156" i="184"/>
  <c r="J156" i="184"/>
  <c r="G156" i="184"/>
  <c r="F156" i="184"/>
  <c r="D156" i="184" s="1"/>
  <c r="C156" i="184"/>
  <c r="N156" i="184" s="1"/>
  <c r="P155" i="184"/>
  <c r="M155" i="184"/>
  <c r="N155" i="184" s="1"/>
  <c r="L155" i="184"/>
  <c r="K155" i="184"/>
  <c r="J155" i="184"/>
  <c r="G155" i="184"/>
  <c r="F155" i="184"/>
  <c r="C155" i="184"/>
  <c r="P151" i="184"/>
  <c r="N151" i="184"/>
  <c r="M151" i="184"/>
  <c r="L151" i="184"/>
  <c r="K151" i="184"/>
  <c r="J151" i="184"/>
  <c r="G151" i="184"/>
  <c r="G153" i="184" s="1"/>
  <c r="F151" i="184"/>
  <c r="I151" i="184" s="1"/>
  <c r="C151" i="184"/>
  <c r="P150" i="184"/>
  <c r="M150" i="184"/>
  <c r="L150" i="184"/>
  <c r="K150" i="184"/>
  <c r="J150" i="184"/>
  <c r="H150" i="184"/>
  <c r="G150" i="184"/>
  <c r="F150" i="184"/>
  <c r="D150" i="184"/>
  <c r="C150" i="184"/>
  <c r="P149" i="184"/>
  <c r="M149" i="184"/>
  <c r="L149" i="184"/>
  <c r="K149" i="184"/>
  <c r="J149" i="184"/>
  <c r="G149" i="184"/>
  <c r="F149" i="184"/>
  <c r="I149" i="184" s="1"/>
  <c r="C149" i="184"/>
  <c r="N149" i="184" s="1"/>
  <c r="P148" i="184"/>
  <c r="M148" i="184"/>
  <c r="M153" i="184" s="1"/>
  <c r="L148" i="184"/>
  <c r="K148" i="184"/>
  <c r="J148" i="184"/>
  <c r="H148" i="184"/>
  <c r="G148" i="184"/>
  <c r="F148" i="184"/>
  <c r="D148" i="184"/>
  <c r="C148" i="184"/>
  <c r="C143" i="184"/>
  <c r="B139" i="184"/>
  <c r="P133" i="184"/>
  <c r="M133" i="184"/>
  <c r="L133" i="184"/>
  <c r="K133" i="184"/>
  <c r="J133" i="184"/>
  <c r="H133" i="184"/>
  <c r="G133" i="184"/>
  <c r="F133" i="184"/>
  <c r="D133" i="184"/>
  <c r="C133" i="184"/>
  <c r="M132" i="184"/>
  <c r="L132" i="184"/>
  <c r="K132" i="184"/>
  <c r="J132" i="184"/>
  <c r="G132" i="184"/>
  <c r="F132" i="184"/>
  <c r="C132" i="184"/>
  <c r="M131" i="184"/>
  <c r="L131" i="184"/>
  <c r="K131" i="184"/>
  <c r="J131" i="184"/>
  <c r="G131" i="184"/>
  <c r="F131" i="184"/>
  <c r="P131" i="184" s="1"/>
  <c r="D131" i="184"/>
  <c r="C131" i="184"/>
  <c r="N131" i="184" s="1"/>
  <c r="M130" i="184"/>
  <c r="L130" i="184"/>
  <c r="K130" i="184"/>
  <c r="J130" i="184"/>
  <c r="G130" i="184"/>
  <c r="I130" i="184" s="1"/>
  <c r="F130" i="184"/>
  <c r="E130" i="184" s="1"/>
  <c r="C130" i="184"/>
  <c r="N130" i="184" s="1"/>
  <c r="P126" i="184"/>
  <c r="M126" i="184"/>
  <c r="L126" i="184"/>
  <c r="K126" i="184"/>
  <c r="J126" i="184"/>
  <c r="G126" i="184"/>
  <c r="F126" i="184"/>
  <c r="E126" i="184" s="1"/>
  <c r="C126" i="184"/>
  <c r="N126" i="184" s="1"/>
  <c r="P125" i="184"/>
  <c r="M125" i="184"/>
  <c r="L125" i="184"/>
  <c r="O125" i="184" s="1"/>
  <c r="K125" i="184"/>
  <c r="J125" i="184"/>
  <c r="G125" i="184"/>
  <c r="F125" i="184"/>
  <c r="D125" i="184" s="1"/>
  <c r="C125" i="184"/>
  <c r="P124" i="184"/>
  <c r="N124" i="184"/>
  <c r="M124" i="184"/>
  <c r="L124" i="184"/>
  <c r="K124" i="184"/>
  <c r="J124" i="184"/>
  <c r="G124" i="184"/>
  <c r="F124" i="184"/>
  <c r="C124" i="184"/>
  <c r="P123" i="184"/>
  <c r="M123" i="184"/>
  <c r="L123" i="184"/>
  <c r="K123" i="184"/>
  <c r="K128" i="184" s="1"/>
  <c r="J123" i="184"/>
  <c r="G123" i="184"/>
  <c r="F123" i="184"/>
  <c r="D123" i="184"/>
  <c r="C123" i="184"/>
  <c r="N123" i="184" s="1"/>
  <c r="C118" i="184"/>
  <c r="M111" i="184"/>
  <c r="L111" i="184"/>
  <c r="K111" i="184"/>
  <c r="J111" i="184"/>
  <c r="G111" i="184"/>
  <c r="F111" i="184"/>
  <c r="I111" i="184" s="1"/>
  <c r="C111" i="184"/>
  <c r="N110" i="184"/>
  <c r="M110" i="184"/>
  <c r="L110" i="184"/>
  <c r="K110" i="184"/>
  <c r="J110" i="184"/>
  <c r="G110" i="184"/>
  <c r="F110" i="184"/>
  <c r="C110" i="184"/>
  <c r="M109" i="184"/>
  <c r="L109" i="184"/>
  <c r="K109" i="184"/>
  <c r="J109" i="184"/>
  <c r="G109" i="184"/>
  <c r="F109" i="184"/>
  <c r="E109" i="184" s="1"/>
  <c r="C109" i="184"/>
  <c r="C113" i="184" s="1"/>
  <c r="M108" i="184"/>
  <c r="M113" i="184" s="1"/>
  <c r="L108" i="184"/>
  <c r="K108" i="184"/>
  <c r="J108" i="184"/>
  <c r="G108" i="184"/>
  <c r="F108" i="184"/>
  <c r="C108" i="184"/>
  <c r="P104" i="184"/>
  <c r="M104" i="184"/>
  <c r="L104" i="184"/>
  <c r="K104" i="184"/>
  <c r="J104" i="184"/>
  <c r="G104" i="184"/>
  <c r="F104" i="184"/>
  <c r="C104" i="184"/>
  <c r="O104" i="184" s="1"/>
  <c r="P103" i="184"/>
  <c r="M103" i="184"/>
  <c r="L103" i="184"/>
  <c r="K103" i="184"/>
  <c r="J103" i="184"/>
  <c r="G103" i="184"/>
  <c r="H103" i="184" s="1"/>
  <c r="F103" i="184"/>
  <c r="I103" i="184" s="1"/>
  <c r="D103" i="184"/>
  <c r="C103" i="184"/>
  <c r="P102" i="184"/>
  <c r="M102" i="184"/>
  <c r="L102" i="184"/>
  <c r="K102" i="184"/>
  <c r="J102" i="184"/>
  <c r="G102" i="184"/>
  <c r="F102" i="184"/>
  <c r="C102" i="184"/>
  <c r="N102" i="184" s="1"/>
  <c r="P101" i="184"/>
  <c r="M101" i="184"/>
  <c r="M106" i="184" s="1"/>
  <c r="M115" i="184" s="1"/>
  <c r="L101" i="184"/>
  <c r="K101" i="184"/>
  <c r="J101" i="184"/>
  <c r="I101" i="184"/>
  <c r="H101" i="184"/>
  <c r="G101" i="184"/>
  <c r="F101" i="184"/>
  <c r="E101" i="184"/>
  <c r="D101" i="184"/>
  <c r="C101" i="184"/>
  <c r="C96" i="184"/>
  <c r="M89" i="184"/>
  <c r="L89" i="184"/>
  <c r="K89" i="184"/>
  <c r="J89" i="184"/>
  <c r="G89" i="184"/>
  <c r="F89" i="184"/>
  <c r="C89" i="184"/>
  <c r="M88" i="184"/>
  <c r="L88" i="184"/>
  <c r="K88" i="184"/>
  <c r="J88" i="184"/>
  <c r="G88" i="184"/>
  <c r="H88" i="184" s="1"/>
  <c r="F88" i="184"/>
  <c r="I88" i="184" s="1"/>
  <c r="D88" i="184"/>
  <c r="C88" i="184"/>
  <c r="M87" i="184"/>
  <c r="L87" i="184"/>
  <c r="K87" i="184"/>
  <c r="J87" i="184"/>
  <c r="G87" i="184"/>
  <c r="F87" i="184"/>
  <c r="C87" i="184"/>
  <c r="N87" i="184" s="1"/>
  <c r="M86" i="184"/>
  <c r="M91" i="184" s="1"/>
  <c r="L86" i="184"/>
  <c r="K86" i="184"/>
  <c r="J86" i="184"/>
  <c r="I86" i="184"/>
  <c r="G86" i="184"/>
  <c r="F86" i="184"/>
  <c r="D86" i="184" s="1"/>
  <c r="E86" i="184"/>
  <c r="C86" i="184"/>
  <c r="P82" i="184"/>
  <c r="M82" i="184"/>
  <c r="L82" i="184"/>
  <c r="K82" i="184"/>
  <c r="J82" i="184"/>
  <c r="G82" i="184"/>
  <c r="F82" i="184"/>
  <c r="H82" i="184" s="1"/>
  <c r="D82" i="184"/>
  <c r="C82" i="184"/>
  <c r="P81" i="184"/>
  <c r="M81" i="184"/>
  <c r="L81" i="184"/>
  <c r="K81" i="184"/>
  <c r="J81" i="184"/>
  <c r="G81" i="184"/>
  <c r="I81" i="184" s="1"/>
  <c r="F81" i="184"/>
  <c r="E81" i="184" s="1"/>
  <c r="C81" i="184"/>
  <c r="P80" i="184"/>
  <c r="M80" i="184"/>
  <c r="L80" i="184"/>
  <c r="K80" i="184"/>
  <c r="J80" i="184"/>
  <c r="J84" i="184" s="1"/>
  <c r="G80" i="184"/>
  <c r="F80" i="184"/>
  <c r="C80" i="184"/>
  <c r="P79" i="184"/>
  <c r="M79" i="184"/>
  <c r="L79" i="184"/>
  <c r="L84" i="184" s="1"/>
  <c r="K79" i="184"/>
  <c r="J79" i="184"/>
  <c r="G79" i="184"/>
  <c r="F79" i="184"/>
  <c r="C79" i="184"/>
  <c r="N79" i="184" s="1"/>
  <c r="C74" i="184"/>
  <c r="B69" i="184"/>
  <c r="M64" i="184"/>
  <c r="L64" i="184"/>
  <c r="K64" i="184"/>
  <c r="J64" i="184"/>
  <c r="H64" i="184"/>
  <c r="G64" i="184"/>
  <c r="F64" i="184"/>
  <c r="D64" i="184"/>
  <c r="C64" i="184"/>
  <c r="M63" i="184"/>
  <c r="L63" i="184"/>
  <c r="K63" i="184"/>
  <c r="J63" i="184"/>
  <c r="G63" i="184"/>
  <c r="F63" i="184"/>
  <c r="C63" i="184"/>
  <c r="O63" i="184" s="1"/>
  <c r="M62" i="184"/>
  <c r="L62" i="184"/>
  <c r="K62" i="184"/>
  <c r="J62" i="184"/>
  <c r="G62" i="184"/>
  <c r="F62" i="184"/>
  <c r="I62" i="184" s="1"/>
  <c r="C62" i="184"/>
  <c r="M61" i="184"/>
  <c r="L61" i="184"/>
  <c r="K61" i="184"/>
  <c r="J61" i="184"/>
  <c r="J66" i="184" s="1"/>
  <c r="G61" i="184"/>
  <c r="G66" i="184" s="1"/>
  <c r="F61" i="184"/>
  <c r="C61" i="184"/>
  <c r="N57" i="184"/>
  <c r="M57" i="184"/>
  <c r="L57" i="184"/>
  <c r="K57" i="184"/>
  <c r="J57" i="184"/>
  <c r="G57" i="184"/>
  <c r="F57" i="184"/>
  <c r="C57" i="184"/>
  <c r="P56" i="184"/>
  <c r="N56" i="184"/>
  <c r="M56" i="184"/>
  <c r="L56" i="184"/>
  <c r="K56" i="184"/>
  <c r="J56" i="184"/>
  <c r="G56" i="184"/>
  <c r="F56" i="184"/>
  <c r="D56" i="184" s="1"/>
  <c r="C56" i="184"/>
  <c r="N55" i="184"/>
  <c r="M55" i="184"/>
  <c r="L55" i="184"/>
  <c r="K55" i="184"/>
  <c r="J55" i="184"/>
  <c r="G55" i="184"/>
  <c r="F55" i="184"/>
  <c r="C55" i="184"/>
  <c r="N54" i="184"/>
  <c r="M54" i="184"/>
  <c r="L54" i="184"/>
  <c r="K54" i="184"/>
  <c r="K59" i="184" s="1"/>
  <c r="J54" i="184"/>
  <c r="J59" i="184" s="1"/>
  <c r="G54" i="184"/>
  <c r="F54" i="184"/>
  <c r="D54" i="184" s="1"/>
  <c r="E54" i="184"/>
  <c r="C54" i="184"/>
  <c r="K51" i="184"/>
  <c r="C49" i="184"/>
  <c r="P42" i="184"/>
  <c r="M42" i="184"/>
  <c r="L42" i="184"/>
  <c r="K42" i="184"/>
  <c r="J42" i="184"/>
  <c r="G42" i="184"/>
  <c r="F42" i="184"/>
  <c r="D42" i="184" s="1"/>
  <c r="C42" i="184"/>
  <c r="P41" i="184"/>
  <c r="M41" i="184"/>
  <c r="L41" i="184"/>
  <c r="K41" i="184"/>
  <c r="J41" i="184"/>
  <c r="G41" i="184"/>
  <c r="F41" i="184"/>
  <c r="I41" i="184" s="1"/>
  <c r="C41" i="184"/>
  <c r="O41" i="184" s="1"/>
  <c r="P40" i="184"/>
  <c r="M40" i="184"/>
  <c r="M44" i="184" s="1"/>
  <c r="L40" i="184"/>
  <c r="K40" i="184"/>
  <c r="J40" i="184"/>
  <c r="G40" i="184"/>
  <c r="H40" i="184" s="1"/>
  <c r="F40" i="184"/>
  <c r="I40" i="184" s="1"/>
  <c r="D40" i="184"/>
  <c r="C40" i="184"/>
  <c r="P39" i="184"/>
  <c r="M39" i="184"/>
  <c r="L39" i="184"/>
  <c r="K39" i="184"/>
  <c r="K44" i="184" s="1"/>
  <c r="J39" i="184"/>
  <c r="G39" i="184"/>
  <c r="F39" i="184"/>
  <c r="C39" i="184"/>
  <c r="M35" i="184"/>
  <c r="L35" i="184"/>
  <c r="K35" i="184"/>
  <c r="J35" i="184"/>
  <c r="G35" i="184"/>
  <c r="F35" i="184"/>
  <c r="C35" i="184"/>
  <c r="N35" i="184" s="1"/>
  <c r="M34" i="184"/>
  <c r="L34" i="184"/>
  <c r="K34" i="184"/>
  <c r="J34" i="184"/>
  <c r="G34" i="184"/>
  <c r="F34" i="184"/>
  <c r="E34" i="184" s="1"/>
  <c r="C34" i="184"/>
  <c r="M33" i="184"/>
  <c r="L33" i="184"/>
  <c r="K33" i="184"/>
  <c r="J33" i="184"/>
  <c r="G33" i="184"/>
  <c r="F33" i="184"/>
  <c r="C33" i="184"/>
  <c r="N33" i="184" s="1"/>
  <c r="M32" i="184"/>
  <c r="L32" i="184"/>
  <c r="L37" i="184" s="1"/>
  <c r="K32" i="184"/>
  <c r="J32" i="184"/>
  <c r="G32" i="184"/>
  <c r="F32" i="184"/>
  <c r="F37" i="184" s="1"/>
  <c r="E32" i="184"/>
  <c r="C32" i="184"/>
  <c r="C27" i="184"/>
  <c r="P20" i="184"/>
  <c r="M20" i="184"/>
  <c r="L20" i="184"/>
  <c r="K20" i="184"/>
  <c r="J20" i="184"/>
  <c r="G20" i="184"/>
  <c r="F20" i="184"/>
  <c r="I20" i="184" s="1"/>
  <c r="C20" i="184"/>
  <c r="N20" i="184" s="1"/>
  <c r="P19" i="184"/>
  <c r="M19" i="184"/>
  <c r="L19" i="184"/>
  <c r="K19" i="184"/>
  <c r="J19" i="184"/>
  <c r="I19" i="184"/>
  <c r="H19" i="184"/>
  <c r="G19" i="184"/>
  <c r="F19" i="184"/>
  <c r="E19" i="184"/>
  <c r="D19" i="184"/>
  <c r="C19" i="184"/>
  <c r="P18" i="184"/>
  <c r="M18" i="184"/>
  <c r="L18" i="184"/>
  <c r="K18" i="184"/>
  <c r="J18" i="184"/>
  <c r="G18" i="184"/>
  <c r="F18" i="184"/>
  <c r="I18" i="184" s="1"/>
  <c r="C18" i="184"/>
  <c r="N18" i="184" s="1"/>
  <c r="P17" i="184"/>
  <c r="M17" i="184"/>
  <c r="L17" i="184"/>
  <c r="K17" i="184"/>
  <c r="K22" i="184" s="1"/>
  <c r="J17" i="184"/>
  <c r="J22" i="184" s="1"/>
  <c r="I17" i="184"/>
  <c r="H17" i="184"/>
  <c r="G17" i="184"/>
  <c r="F17" i="184"/>
  <c r="D17" i="184"/>
  <c r="C17" i="184"/>
  <c r="C22" i="184" s="1"/>
  <c r="P13" i="184"/>
  <c r="N13" i="184"/>
  <c r="M13" i="184"/>
  <c r="L13" i="184"/>
  <c r="K13" i="184"/>
  <c r="J13" i="184"/>
  <c r="G13" i="184"/>
  <c r="F13" i="184"/>
  <c r="H13" i="184" s="1"/>
  <c r="E13" i="184"/>
  <c r="C13" i="184"/>
  <c r="P12" i="184"/>
  <c r="N12" i="184"/>
  <c r="M12" i="184"/>
  <c r="L12" i="184"/>
  <c r="K12" i="184"/>
  <c r="J12" i="184"/>
  <c r="G12" i="184"/>
  <c r="F12" i="184"/>
  <c r="I12" i="184" s="1"/>
  <c r="C12" i="184"/>
  <c r="P11" i="184"/>
  <c r="M11" i="184"/>
  <c r="L11" i="184"/>
  <c r="K11" i="184"/>
  <c r="J11" i="184"/>
  <c r="G11" i="184"/>
  <c r="F11" i="184"/>
  <c r="E11" i="184" s="1"/>
  <c r="D11" i="184"/>
  <c r="C11" i="184"/>
  <c r="P10" i="184"/>
  <c r="N10" i="184"/>
  <c r="M10" i="184"/>
  <c r="L10" i="184"/>
  <c r="K10" i="184"/>
  <c r="J10" i="184"/>
  <c r="G10" i="184"/>
  <c r="G22" i="184" s="1"/>
  <c r="F10" i="184"/>
  <c r="F15" i="184" s="1"/>
  <c r="C10" i="184"/>
  <c r="L7" i="184"/>
  <c r="L76" i="184" s="1"/>
  <c r="K7" i="184"/>
  <c r="K29" i="184" s="1"/>
  <c r="J7" i="184"/>
  <c r="J29" i="184" s="1"/>
  <c r="K1" i="184"/>
  <c r="H219" i="184" l="1"/>
  <c r="L229" i="184"/>
  <c r="O225" i="184"/>
  <c r="H226" i="184"/>
  <c r="N248" i="184"/>
  <c r="I252" i="184"/>
  <c r="L254" i="184"/>
  <c r="I258" i="184"/>
  <c r="I259" i="184"/>
  <c r="K264" i="184"/>
  <c r="K265" i="184"/>
  <c r="J266" i="184"/>
  <c r="J280" i="184"/>
  <c r="I281" i="184"/>
  <c r="I282" i="184"/>
  <c r="P283" i="184"/>
  <c r="M284" i="184"/>
  <c r="M285" i="184"/>
  <c r="M286" i="184"/>
  <c r="K292" i="184"/>
  <c r="J293" i="184"/>
  <c r="L294" i="184"/>
  <c r="J300" i="184"/>
  <c r="I32" i="184"/>
  <c r="M66" i="184"/>
  <c r="K197" i="184"/>
  <c r="K206" i="184" s="1"/>
  <c r="O80" i="184"/>
  <c r="O81" i="184"/>
  <c r="N81" i="184"/>
  <c r="L91" i="184"/>
  <c r="O110" i="184"/>
  <c r="O111" i="184"/>
  <c r="O124" i="184"/>
  <c r="E132" i="184"/>
  <c r="J160" i="184"/>
  <c r="H156" i="184"/>
  <c r="J175" i="184"/>
  <c r="M175" i="184"/>
  <c r="M182" i="184"/>
  <c r="I180" i="184"/>
  <c r="D197" i="184"/>
  <c r="L197" i="184"/>
  <c r="L204" i="184"/>
  <c r="I200" i="184"/>
  <c r="H217" i="184"/>
  <c r="I226" i="184"/>
  <c r="J251" i="184"/>
  <c r="J252" i="184"/>
  <c r="J257" i="184"/>
  <c r="J258" i="184"/>
  <c r="M265" i="184"/>
  <c r="M266" i="184"/>
  <c r="K280" i="184"/>
  <c r="J281" i="184"/>
  <c r="N284" i="184"/>
  <c r="N285" i="184"/>
  <c r="M292" i="184"/>
  <c r="M293" i="184"/>
  <c r="M294" i="184"/>
  <c r="K300" i="184"/>
  <c r="M37" i="184"/>
  <c r="M46" i="184" s="1"/>
  <c r="P62" i="184"/>
  <c r="O64" i="184"/>
  <c r="L106" i="184"/>
  <c r="L115" i="184" s="1"/>
  <c r="I13" i="184"/>
  <c r="L22" i="184"/>
  <c r="P34" i="184"/>
  <c r="C44" i="184"/>
  <c r="O40" i="184"/>
  <c r="G113" i="184"/>
  <c r="P109" i="184"/>
  <c r="O132" i="184"/>
  <c r="M15" i="184"/>
  <c r="H11" i="184"/>
  <c r="E17" i="184"/>
  <c r="J37" i="184"/>
  <c r="F44" i="184"/>
  <c r="N61" i="184"/>
  <c r="O13" i="184"/>
  <c r="F22" i="184"/>
  <c r="F24" i="184" s="1"/>
  <c r="C37" i="184"/>
  <c r="K37" i="184"/>
  <c r="K46" i="184" s="1"/>
  <c r="H34" i="184"/>
  <c r="I35" i="184"/>
  <c r="G44" i="184"/>
  <c r="E40" i="184"/>
  <c r="G59" i="184"/>
  <c r="O57" i="184"/>
  <c r="C66" i="184"/>
  <c r="O62" i="184"/>
  <c r="G91" i="184"/>
  <c r="E88" i="184"/>
  <c r="E103" i="184"/>
  <c r="K113" i="184"/>
  <c r="H109" i="184"/>
  <c r="D111" i="184"/>
  <c r="H123" i="184"/>
  <c r="N125" i="184"/>
  <c r="J135" i="184"/>
  <c r="H131" i="184"/>
  <c r="I133" i="184"/>
  <c r="K153" i="184"/>
  <c r="I150" i="184"/>
  <c r="K160" i="184"/>
  <c r="O160" i="184" s="1"/>
  <c r="I157" i="184"/>
  <c r="K175" i="184"/>
  <c r="I172" i="184"/>
  <c r="I173" i="184"/>
  <c r="N177" i="184"/>
  <c r="O178" i="184"/>
  <c r="E192" i="184"/>
  <c r="I194" i="184"/>
  <c r="I217" i="184"/>
  <c r="O224" i="184"/>
  <c r="N265" i="184"/>
  <c r="N292" i="184"/>
  <c r="N300" i="184"/>
  <c r="P111" i="184"/>
  <c r="P32" i="184"/>
  <c r="O34" i="184"/>
  <c r="L15" i="184"/>
  <c r="L24" i="184" s="1"/>
  <c r="L182" i="184"/>
  <c r="O192" i="184"/>
  <c r="J197" i="184"/>
  <c r="O12" i="184"/>
  <c r="N17" i="184"/>
  <c r="L44" i="184"/>
  <c r="L46" i="184" s="1"/>
  <c r="I11" i="184"/>
  <c r="O10" i="184"/>
  <c r="D13" i="184"/>
  <c r="O19" i="184"/>
  <c r="D32" i="184"/>
  <c r="I34" i="184"/>
  <c r="J44" i="184"/>
  <c r="H54" i="184"/>
  <c r="D62" i="184"/>
  <c r="N62" i="184"/>
  <c r="N63" i="184"/>
  <c r="H86" i="184"/>
  <c r="O89" i="184"/>
  <c r="N104" i="184"/>
  <c r="I109" i="184"/>
  <c r="E111" i="184"/>
  <c r="J128" i="184"/>
  <c r="I132" i="184"/>
  <c r="L153" i="184"/>
  <c r="E151" i="184"/>
  <c r="L175" i="184"/>
  <c r="L184" i="184" s="1"/>
  <c r="D177" i="184"/>
  <c r="E178" i="184"/>
  <c r="I195" i="184"/>
  <c r="E202" i="184"/>
  <c r="J222" i="184"/>
  <c r="J231" i="184" s="1"/>
  <c r="O219" i="184"/>
  <c r="D224" i="184"/>
  <c r="M252" i="184"/>
  <c r="N258" i="184"/>
  <c r="N280" i="184"/>
  <c r="N281" i="184"/>
  <c r="N252" i="184"/>
  <c r="C204" i="184"/>
  <c r="O131" i="184"/>
  <c r="H177" i="184"/>
  <c r="O180" i="184"/>
  <c r="F204" i="184"/>
  <c r="D222" i="184"/>
  <c r="D231" i="184" s="1"/>
  <c r="O226" i="184"/>
  <c r="J15" i="184"/>
  <c r="J24" i="184" s="1"/>
  <c r="G37" i="184"/>
  <c r="D34" i="184"/>
  <c r="C59" i="184"/>
  <c r="L59" i="184"/>
  <c r="K66" i="184"/>
  <c r="H62" i="184"/>
  <c r="I64" i="184"/>
  <c r="P64" i="184" s="1"/>
  <c r="I82" i="184"/>
  <c r="C91" i="184"/>
  <c r="K91" i="184"/>
  <c r="O108" i="184"/>
  <c r="D109" i="184"/>
  <c r="L113" i="184"/>
  <c r="H111" i="184"/>
  <c r="I126" i="184"/>
  <c r="F153" i="184"/>
  <c r="C160" i="184"/>
  <c r="M160" i="184"/>
  <c r="O172" i="184"/>
  <c r="J182" i="184"/>
  <c r="I178" i="184"/>
  <c r="I179" i="184"/>
  <c r="E180" i="184"/>
  <c r="G182" i="184"/>
  <c r="H199" i="184"/>
  <c r="I202" i="184"/>
  <c r="E217" i="184"/>
  <c r="N219" i="184"/>
  <c r="I265" i="184"/>
  <c r="H268" i="184"/>
  <c r="J284" i="184"/>
  <c r="O284" i="184" s="1"/>
  <c r="I285" i="184"/>
  <c r="I286" i="184"/>
  <c r="N288" i="184"/>
  <c r="N289" i="184"/>
  <c r="I292" i="184"/>
  <c r="N296" i="184"/>
  <c r="N297" i="184"/>
  <c r="I302" i="184"/>
  <c r="O11" i="184"/>
  <c r="O15" i="184" s="1"/>
  <c r="N148" i="184"/>
  <c r="K84" i="184"/>
  <c r="H125" i="184"/>
  <c r="H192" i="184"/>
  <c r="O194" i="184"/>
  <c r="K15" i="184"/>
  <c r="K24" i="184" s="1"/>
  <c r="N11" i="184"/>
  <c r="N15" i="184" s="1"/>
  <c r="H32" i="184"/>
  <c r="I33" i="184"/>
  <c r="M59" i="184"/>
  <c r="M68" i="184" s="1"/>
  <c r="O102" i="184"/>
  <c r="F113" i="184"/>
  <c r="O123" i="184"/>
  <c r="N132" i="184"/>
  <c r="E149" i="184"/>
  <c r="G175" i="184"/>
  <c r="I171" i="184"/>
  <c r="E172" i="184"/>
  <c r="K182" i="184"/>
  <c r="E194" i="184"/>
  <c r="N194" i="184"/>
  <c r="J204" i="184"/>
  <c r="H200" i="184"/>
  <c r="N244" i="184"/>
  <c r="J265" i="184"/>
  <c r="I266" i="184"/>
  <c r="I280" i="184"/>
  <c r="J285" i="184"/>
  <c r="J292" i="184"/>
  <c r="I293" i="184"/>
  <c r="N302" i="184"/>
  <c r="P44" i="184"/>
  <c r="E44" i="184"/>
  <c r="H44" i="184"/>
  <c r="F46" i="184"/>
  <c r="I44" i="184"/>
  <c r="P37" i="184"/>
  <c r="H37" i="184"/>
  <c r="E37" i="184"/>
  <c r="I37" i="184"/>
  <c r="O37" i="184"/>
  <c r="N37" i="184"/>
  <c r="G46" i="184"/>
  <c r="P15" i="184"/>
  <c r="I22" i="184"/>
  <c r="E22" i="184"/>
  <c r="C15" i="184"/>
  <c r="E15" i="184" s="1"/>
  <c r="G15" i="184"/>
  <c r="H15" i="184" s="1"/>
  <c r="O20" i="184"/>
  <c r="M22" i="184"/>
  <c r="O22" i="184" s="1"/>
  <c r="P22" i="184" s="1"/>
  <c r="O35" i="184"/>
  <c r="O44" i="184"/>
  <c r="O39" i="184"/>
  <c r="J68" i="184"/>
  <c r="I55" i="184"/>
  <c r="E55" i="184"/>
  <c r="P55" i="184"/>
  <c r="C68" i="184"/>
  <c r="O66" i="184"/>
  <c r="I80" i="184"/>
  <c r="E80" i="184"/>
  <c r="D80" i="184"/>
  <c r="H80" i="184"/>
  <c r="N91" i="184"/>
  <c r="J274" i="184"/>
  <c r="J167" i="184"/>
  <c r="J189" i="184"/>
  <c r="J120" i="184"/>
  <c r="J76" i="184"/>
  <c r="J214" i="184"/>
  <c r="J145" i="184"/>
  <c r="J98" i="184"/>
  <c r="D10" i="184"/>
  <c r="H10" i="184"/>
  <c r="D18" i="184"/>
  <c r="D22" i="184" s="1"/>
  <c r="H18" i="184"/>
  <c r="N19" i="184"/>
  <c r="D20" i="184"/>
  <c r="H20" i="184"/>
  <c r="L29" i="184"/>
  <c r="N32" i="184"/>
  <c r="D33" i="184"/>
  <c r="D37" i="184" s="1"/>
  <c r="H33" i="184"/>
  <c r="H35" i="184" s="1"/>
  <c r="P33" i="184"/>
  <c r="N34" i="184"/>
  <c r="D35" i="184"/>
  <c r="P35" i="184"/>
  <c r="D39" i="184"/>
  <c r="H39" i="184"/>
  <c r="N40" i="184"/>
  <c r="D41" i="184"/>
  <c r="H41" i="184"/>
  <c r="H42" i="184"/>
  <c r="N44" i="184"/>
  <c r="L51" i="184"/>
  <c r="F59" i="184"/>
  <c r="I54" i="184"/>
  <c r="P54" i="184" s="1"/>
  <c r="K68" i="184"/>
  <c r="O56" i="184"/>
  <c r="H56" i="184"/>
  <c r="I57" i="184"/>
  <c r="E57" i="184"/>
  <c r="P57" i="184"/>
  <c r="H57" i="184"/>
  <c r="D57" i="184"/>
  <c r="I61" i="184"/>
  <c r="E61" i="184"/>
  <c r="P61" i="184"/>
  <c r="H61" i="184"/>
  <c r="D61" i="184"/>
  <c r="L66" i="184"/>
  <c r="L68" i="184" s="1"/>
  <c r="F66" i="184"/>
  <c r="G84" i="184"/>
  <c r="G93" i="184" s="1"/>
  <c r="N150" i="184"/>
  <c r="O150" i="184"/>
  <c r="H155" i="184"/>
  <c r="D155" i="184"/>
  <c r="F160" i="184"/>
  <c r="E155" i="184"/>
  <c r="I155" i="184"/>
  <c r="O157" i="184"/>
  <c r="O171" i="184"/>
  <c r="O173" i="184"/>
  <c r="I201" i="184"/>
  <c r="H201" i="184"/>
  <c r="L274" i="184"/>
  <c r="L145" i="184"/>
  <c r="L120" i="184"/>
  <c r="L214" i="184"/>
  <c r="L189" i="184"/>
  <c r="L98" i="184"/>
  <c r="L167" i="184"/>
  <c r="O18" i="184"/>
  <c r="O33" i="184"/>
  <c r="I63" i="184"/>
  <c r="E63" i="184"/>
  <c r="P63" i="184"/>
  <c r="H63" i="184"/>
  <c r="D63" i="184"/>
  <c r="I102" i="184"/>
  <c r="E102" i="184"/>
  <c r="H102" i="184"/>
  <c r="D102" i="184"/>
  <c r="D106" i="184" s="1"/>
  <c r="E113" i="184"/>
  <c r="I113" i="184"/>
  <c r="F115" i="184"/>
  <c r="O193" i="184"/>
  <c r="H225" i="184"/>
  <c r="D225" i="184"/>
  <c r="E225" i="184"/>
  <c r="I225" i="184"/>
  <c r="D12" i="184"/>
  <c r="H12" i="184"/>
  <c r="K274" i="184"/>
  <c r="K145" i="184"/>
  <c r="K120" i="184"/>
  <c r="K214" i="184"/>
  <c r="K189" i="184"/>
  <c r="K76" i="184"/>
  <c r="K167" i="184"/>
  <c r="K98" i="184"/>
  <c r="E10" i="184"/>
  <c r="I10" i="184"/>
  <c r="E12" i="184"/>
  <c r="O17" i="184"/>
  <c r="E18" i="184"/>
  <c r="E20" i="184"/>
  <c r="O32" i="184"/>
  <c r="E33" i="184"/>
  <c r="E35" i="184"/>
  <c r="E39" i="184"/>
  <c r="I39" i="184"/>
  <c r="E41" i="184"/>
  <c r="O59" i="184"/>
  <c r="N59" i="184"/>
  <c r="N64" i="184" s="1"/>
  <c r="O55" i="184"/>
  <c r="H55" i="184"/>
  <c r="G68" i="184"/>
  <c r="O87" i="184"/>
  <c r="N113" i="184"/>
  <c r="H124" i="184"/>
  <c r="D124" i="184"/>
  <c r="E124" i="184"/>
  <c r="I124" i="184"/>
  <c r="L128" i="184"/>
  <c r="O133" i="184"/>
  <c r="D153" i="184"/>
  <c r="O179" i="184"/>
  <c r="N39" i="184"/>
  <c r="N41" i="184"/>
  <c r="I42" i="184"/>
  <c r="E42" i="184"/>
  <c r="C46" i="184"/>
  <c r="J51" i="184"/>
  <c r="D55" i="184"/>
  <c r="I56" i="184"/>
  <c r="E56" i="184"/>
  <c r="N66" i="184"/>
  <c r="B138" i="184"/>
  <c r="B232" i="184"/>
  <c r="B207" i="184"/>
  <c r="I79" i="184"/>
  <c r="E79" i="184"/>
  <c r="F84" i="184"/>
  <c r="H79" i="184"/>
  <c r="D79" i="184"/>
  <c r="K93" i="184"/>
  <c r="I110" i="184"/>
  <c r="E110" i="184"/>
  <c r="P110" i="184"/>
  <c r="H110" i="184"/>
  <c r="D110" i="184"/>
  <c r="J137" i="184"/>
  <c r="O126" i="184"/>
  <c r="M135" i="184"/>
  <c r="I153" i="184"/>
  <c r="H153" i="184"/>
  <c r="K162" i="184"/>
  <c r="O61" i="184"/>
  <c r="E62" i="184"/>
  <c r="E64" i="184"/>
  <c r="O79" i="184"/>
  <c r="O82" i="184"/>
  <c r="N82" i="184"/>
  <c r="C84" i="184"/>
  <c r="C93" i="184" s="1"/>
  <c r="I87" i="184"/>
  <c r="P87" i="184" s="1"/>
  <c r="E87" i="184"/>
  <c r="H87" i="184"/>
  <c r="D87" i="184"/>
  <c r="O88" i="184"/>
  <c r="P88" i="184" s="1"/>
  <c r="O103" i="184"/>
  <c r="J113" i="184"/>
  <c r="O113" i="184" s="1"/>
  <c r="P113" i="184" s="1"/>
  <c r="N108" i="184"/>
  <c r="F128" i="184"/>
  <c r="G128" i="184"/>
  <c r="H130" i="184"/>
  <c r="D130" i="184"/>
  <c r="K135" i="184"/>
  <c r="K137" i="184" s="1"/>
  <c r="O149" i="184"/>
  <c r="H151" i="184"/>
  <c r="D151" i="184"/>
  <c r="G160" i="184"/>
  <c r="G162" i="184" s="1"/>
  <c r="L160" i="184"/>
  <c r="L162" i="184" s="1"/>
  <c r="I158" i="184"/>
  <c r="K184" i="184"/>
  <c r="O177" i="184"/>
  <c r="D206" i="184"/>
  <c r="P204" i="184"/>
  <c r="I204" i="184"/>
  <c r="E204" i="184"/>
  <c r="O200" i="184"/>
  <c r="N201" i="184"/>
  <c r="E201" i="184"/>
  <c r="O201" i="184"/>
  <c r="P222" i="184"/>
  <c r="O244" i="184"/>
  <c r="K245" i="184"/>
  <c r="N245" i="184"/>
  <c r="J245" i="184"/>
  <c r="M245" i="184"/>
  <c r="L245" i="184"/>
  <c r="I245" i="184"/>
  <c r="H245" i="184"/>
  <c r="N279" i="184"/>
  <c r="J279" i="184"/>
  <c r="M279" i="184"/>
  <c r="I279" i="184"/>
  <c r="L279" i="184"/>
  <c r="P279" i="184"/>
  <c r="K279" i="184"/>
  <c r="H279" i="184"/>
  <c r="N295" i="184"/>
  <c r="J295" i="184"/>
  <c r="M295" i="184"/>
  <c r="I295" i="184"/>
  <c r="L295" i="184"/>
  <c r="P295" i="184"/>
  <c r="K295" i="184"/>
  <c r="H295" i="184"/>
  <c r="L93" i="184"/>
  <c r="I89" i="184"/>
  <c r="P89" i="184" s="1"/>
  <c r="E89" i="184"/>
  <c r="H89" i="184"/>
  <c r="D89" i="184"/>
  <c r="F106" i="184"/>
  <c r="J106" i="184"/>
  <c r="I104" i="184"/>
  <c r="E104" i="184"/>
  <c r="H104" i="184"/>
  <c r="D104" i="184"/>
  <c r="H126" i="184"/>
  <c r="D126" i="184"/>
  <c r="G135" i="184"/>
  <c r="L135" i="184"/>
  <c r="P132" i="184"/>
  <c r="H132" i="184"/>
  <c r="D132" i="184"/>
  <c r="F135" i="184"/>
  <c r="M162" i="184"/>
  <c r="C153" i="184"/>
  <c r="C162" i="184" s="1"/>
  <c r="N160" i="184"/>
  <c r="H157" i="184"/>
  <c r="D157" i="184"/>
  <c r="I193" i="184"/>
  <c r="E193" i="184"/>
  <c r="H193" i="184"/>
  <c r="F197" i="184"/>
  <c r="O195" i="184"/>
  <c r="M204" i="184"/>
  <c r="M206" i="184" s="1"/>
  <c r="N204" i="184"/>
  <c r="O220" i="184"/>
  <c r="O54" i="184"/>
  <c r="M84" i="184"/>
  <c r="M93" i="184" s="1"/>
  <c r="H81" i="184"/>
  <c r="D81" i="184"/>
  <c r="E82" i="184"/>
  <c r="F91" i="184"/>
  <c r="J91" i="184"/>
  <c r="J93" i="184" s="1"/>
  <c r="C106" i="184"/>
  <c r="G106" i="184"/>
  <c r="G115" i="184" s="1"/>
  <c r="K106" i="184"/>
  <c r="K115" i="184" s="1"/>
  <c r="I108" i="184"/>
  <c r="E108" i="184"/>
  <c r="P108" i="184"/>
  <c r="H108" i="184"/>
  <c r="D108" i="184"/>
  <c r="D113" i="184" s="1"/>
  <c r="O109" i="184"/>
  <c r="M128" i="184"/>
  <c r="I125" i="184"/>
  <c r="C128" i="184"/>
  <c r="C135" i="184"/>
  <c r="I131" i="184"/>
  <c r="J153" i="184"/>
  <c r="J162" i="184" s="1"/>
  <c r="O148" i="184"/>
  <c r="H149" i="184"/>
  <c r="D149" i="184"/>
  <c r="O151" i="184"/>
  <c r="I156" i="184"/>
  <c r="C175" i="184"/>
  <c r="I182" i="184"/>
  <c r="E182" i="184"/>
  <c r="F184" i="184"/>
  <c r="H182" i="184"/>
  <c r="C182" i="184"/>
  <c r="O199" i="184"/>
  <c r="G204" i="184"/>
  <c r="G206" i="184" s="1"/>
  <c r="L222" i="184"/>
  <c r="L231" i="184" s="1"/>
  <c r="O218" i="184"/>
  <c r="N218" i="184"/>
  <c r="M229" i="184"/>
  <c r="M231" i="184" s="1"/>
  <c r="N250" i="184"/>
  <c r="J250" i="184"/>
  <c r="M250" i="184"/>
  <c r="I250" i="184"/>
  <c r="L250" i="184"/>
  <c r="K250" i="184"/>
  <c r="O250" i="184" s="1"/>
  <c r="H250" i="184"/>
  <c r="F175" i="184"/>
  <c r="K229" i="184"/>
  <c r="H227" i="184"/>
  <c r="D227" i="184"/>
  <c r="F229" i="184"/>
  <c r="N246" i="184"/>
  <c r="J246" i="184"/>
  <c r="O246" i="184" s="1"/>
  <c r="M246" i="184"/>
  <c r="I246" i="184"/>
  <c r="H246" i="184"/>
  <c r="P246" i="184"/>
  <c r="N291" i="184"/>
  <c r="J291" i="184"/>
  <c r="M291" i="184"/>
  <c r="I291" i="184"/>
  <c r="L291" i="184"/>
  <c r="H291" i="184"/>
  <c r="N86" i="184"/>
  <c r="N88" i="184"/>
  <c r="N101" i="184"/>
  <c r="N103" i="184"/>
  <c r="N109" i="184"/>
  <c r="E123" i="184"/>
  <c r="I123" i="184"/>
  <c r="E125" i="184"/>
  <c r="O130" i="184"/>
  <c r="P130" i="184" s="1"/>
  <c r="E131" i="184"/>
  <c r="E133" i="184"/>
  <c r="E148" i="184"/>
  <c r="I148" i="184"/>
  <c r="E150" i="184"/>
  <c r="O155" i="184"/>
  <c r="E156" i="184"/>
  <c r="E158" i="184"/>
  <c r="O170" i="184"/>
  <c r="P170" i="184" s="1"/>
  <c r="E171" i="184"/>
  <c r="E173" i="184"/>
  <c r="E177" i="184"/>
  <c r="I177" i="184"/>
  <c r="E179" i="184"/>
  <c r="N192" i="184"/>
  <c r="E195" i="184"/>
  <c r="C197" i="184"/>
  <c r="C206" i="184" s="1"/>
  <c r="E199" i="184"/>
  <c r="I199" i="184"/>
  <c r="I218" i="184"/>
  <c r="E218" i="184"/>
  <c r="N220" i="184"/>
  <c r="G229" i="184"/>
  <c r="K246" i="184"/>
  <c r="K253" i="184"/>
  <c r="N253" i="184"/>
  <c r="J253" i="184"/>
  <c r="H253" i="184"/>
  <c r="P253" i="184"/>
  <c r="N260" i="184"/>
  <c r="J260" i="184"/>
  <c r="M260" i="184"/>
  <c r="I260" i="184"/>
  <c r="L260" i="184"/>
  <c r="K260" i="184"/>
  <c r="O260" i="184" s="1"/>
  <c r="H260" i="184"/>
  <c r="N287" i="184"/>
  <c r="J287" i="184"/>
  <c r="M287" i="184"/>
  <c r="I287" i="184"/>
  <c r="L287" i="184"/>
  <c r="H287" i="184"/>
  <c r="O288" i="184"/>
  <c r="K291" i="184"/>
  <c r="O86" i="184"/>
  <c r="P86" i="184" s="1"/>
  <c r="O101" i="184"/>
  <c r="D170" i="184"/>
  <c r="H170" i="184"/>
  <c r="D172" i="184"/>
  <c r="H172" i="184"/>
  <c r="D178" i="184"/>
  <c r="D182" i="184" s="1"/>
  <c r="H178" i="184"/>
  <c r="D180" i="184"/>
  <c r="H180" i="184"/>
  <c r="C222" i="184"/>
  <c r="G222" i="184"/>
  <c r="I222" i="184" s="1"/>
  <c r="K222" i="184"/>
  <c r="K231" i="184" s="1"/>
  <c r="I220" i="184"/>
  <c r="E220" i="184"/>
  <c r="I224" i="184"/>
  <c r="L246" i="184"/>
  <c r="K249" i="184"/>
  <c r="N249" i="184"/>
  <c r="J249" i="184"/>
  <c r="O249" i="184" s="1"/>
  <c r="H249" i="184"/>
  <c r="P249" i="184"/>
  <c r="I253" i="184"/>
  <c r="N254" i="184"/>
  <c r="J254" i="184"/>
  <c r="M254" i="184"/>
  <c r="I254" i="184"/>
  <c r="H254" i="184"/>
  <c r="P254" i="184"/>
  <c r="K259" i="184"/>
  <c r="N259" i="184"/>
  <c r="J259" i="184"/>
  <c r="M259" i="184"/>
  <c r="L259" i="184"/>
  <c r="H259" i="184"/>
  <c r="N283" i="184"/>
  <c r="J283" i="184"/>
  <c r="O283" i="184" s="1"/>
  <c r="M283" i="184"/>
  <c r="I283" i="184"/>
  <c r="L283" i="184"/>
  <c r="H283" i="184"/>
  <c r="K287" i="184"/>
  <c r="O287" i="184" s="1"/>
  <c r="P291" i="184"/>
  <c r="N299" i="184"/>
  <c r="J299" i="184"/>
  <c r="M299" i="184"/>
  <c r="I299" i="184"/>
  <c r="L299" i="184"/>
  <c r="H299" i="184"/>
  <c r="H247" i="184"/>
  <c r="L247" i="184"/>
  <c r="O247" i="184" s="1"/>
  <c r="P247" i="184"/>
  <c r="H251" i="184"/>
  <c r="L251" i="184"/>
  <c r="P251" i="184"/>
  <c r="K255" i="184"/>
  <c r="N255" i="184"/>
  <c r="J255" i="184"/>
  <c r="O255" i="184" s="1"/>
  <c r="H255" i="184"/>
  <c r="P255" i="184"/>
  <c r="K263" i="184"/>
  <c r="N263" i="184"/>
  <c r="J263" i="184"/>
  <c r="H263" i="184"/>
  <c r="P263" i="184"/>
  <c r="N268" i="184"/>
  <c r="I268" i="184"/>
  <c r="O217" i="184"/>
  <c r="H244" i="184"/>
  <c r="L244" i="184"/>
  <c r="I247" i="184"/>
  <c r="H248" i="184"/>
  <c r="L248" i="184"/>
  <c r="O248" i="184" s="1"/>
  <c r="I251" i="184"/>
  <c r="H252" i="184"/>
  <c r="L252" i="184"/>
  <c r="O252" i="184" s="1"/>
  <c r="I255" i="184"/>
  <c r="N256" i="184"/>
  <c r="J256" i="184"/>
  <c r="M256" i="184"/>
  <c r="I256" i="184"/>
  <c r="H256" i="184"/>
  <c r="P256" i="184"/>
  <c r="I263" i="184"/>
  <c r="N264" i="184"/>
  <c r="J264" i="184"/>
  <c r="M264" i="184"/>
  <c r="I264" i="184"/>
  <c r="H264" i="184"/>
  <c r="P264" i="184"/>
  <c r="K278" i="184"/>
  <c r="O278" i="184" s="1"/>
  <c r="N278" i="184"/>
  <c r="J278" i="184"/>
  <c r="H278" i="184"/>
  <c r="P278" i="184"/>
  <c r="K282" i="184"/>
  <c r="N282" i="184"/>
  <c r="J282" i="184"/>
  <c r="O282" i="184" s="1"/>
  <c r="H282" i="184"/>
  <c r="P282" i="184"/>
  <c r="K286" i="184"/>
  <c r="O286" i="184" s="1"/>
  <c r="N286" i="184"/>
  <c r="J286" i="184"/>
  <c r="H286" i="184"/>
  <c r="P286" i="184"/>
  <c r="K290" i="184"/>
  <c r="N290" i="184"/>
  <c r="J290" i="184"/>
  <c r="H290" i="184"/>
  <c r="P290" i="184"/>
  <c r="K294" i="184"/>
  <c r="N294" i="184"/>
  <c r="J294" i="184"/>
  <c r="H294" i="184"/>
  <c r="P294" i="184"/>
  <c r="K298" i="184"/>
  <c r="N298" i="184"/>
  <c r="J298" i="184"/>
  <c r="H298" i="184"/>
  <c r="P298" i="184"/>
  <c r="H257" i="184"/>
  <c r="L257" i="184"/>
  <c r="O257" i="184" s="1"/>
  <c r="P257" i="184"/>
  <c r="K258" i="184"/>
  <c r="H261" i="184"/>
  <c r="L261" i="184"/>
  <c r="O261" i="184" s="1"/>
  <c r="P261" i="184"/>
  <c r="K262" i="184"/>
  <c r="O262" i="184"/>
  <c r="H265" i="184"/>
  <c r="L265" i="184"/>
  <c r="O265" i="184" s="1"/>
  <c r="K266" i="184"/>
  <c r="H280" i="184"/>
  <c r="L280" i="184"/>
  <c r="O280" i="184" s="1"/>
  <c r="K281" i="184"/>
  <c r="H284" i="184"/>
  <c r="L284" i="184"/>
  <c r="K285" i="184"/>
  <c r="H288" i="184"/>
  <c r="L288" i="184"/>
  <c r="K289" i="184"/>
  <c r="H292" i="184"/>
  <c r="L292" i="184"/>
  <c r="O292" i="184" s="1"/>
  <c r="K293" i="184"/>
  <c r="H296" i="184"/>
  <c r="L296" i="184"/>
  <c r="O296" i="184" s="1"/>
  <c r="K297" i="184"/>
  <c r="O297" i="184" s="1"/>
  <c r="H300" i="184"/>
  <c r="L300" i="184"/>
  <c r="P300" i="184"/>
  <c r="I257" i="184"/>
  <c r="H258" i="184"/>
  <c r="L258" i="184"/>
  <c r="O258" i="184" s="1"/>
  <c r="I261" i="184"/>
  <c r="H262" i="184"/>
  <c r="L262" i="184"/>
  <c r="H266" i="184"/>
  <c r="L266" i="184"/>
  <c r="H281" i="184"/>
  <c r="L281" i="184"/>
  <c r="O281" i="184" s="1"/>
  <c r="H285" i="184"/>
  <c r="L285" i="184"/>
  <c r="H289" i="184"/>
  <c r="L289" i="184"/>
  <c r="O289" i="184" s="1"/>
  <c r="H293" i="184"/>
  <c r="L293" i="184"/>
  <c r="H297" i="184"/>
  <c r="L297" i="184"/>
  <c r="I300" i="184"/>
  <c r="H302" i="184"/>
  <c r="O290" i="184" l="1"/>
  <c r="O291" i="184"/>
  <c r="O204" i="184"/>
  <c r="O295" i="184"/>
  <c r="O279" i="184"/>
  <c r="D46" i="184"/>
  <c r="M184" i="184"/>
  <c r="J184" i="184"/>
  <c r="H22" i="184"/>
  <c r="O293" i="184"/>
  <c r="J115" i="184"/>
  <c r="K268" i="184"/>
  <c r="D175" i="184"/>
  <c r="O229" i="184"/>
  <c r="D128" i="184"/>
  <c r="J206" i="184"/>
  <c r="J46" i="184"/>
  <c r="D44" i="184"/>
  <c r="O300" i="184"/>
  <c r="D115" i="184"/>
  <c r="O294" i="184"/>
  <c r="O298" i="184"/>
  <c r="O251" i="184"/>
  <c r="O254" i="184"/>
  <c r="M137" i="184"/>
  <c r="D160" i="184"/>
  <c r="D162" i="184" s="1"/>
  <c r="O266" i="184"/>
  <c r="O253" i="184"/>
  <c r="O42" i="184"/>
  <c r="O285" i="184"/>
  <c r="O263" i="184"/>
  <c r="O299" i="184"/>
  <c r="O259" i="184"/>
  <c r="P177" i="184"/>
  <c r="O245" i="184"/>
  <c r="G137" i="184"/>
  <c r="L206" i="184"/>
  <c r="G184" i="184"/>
  <c r="N162" i="184"/>
  <c r="O162" i="184"/>
  <c r="O93" i="184"/>
  <c r="N93" i="184"/>
  <c r="O206" i="184"/>
  <c r="N206" i="184"/>
  <c r="I227" i="184"/>
  <c r="D184" i="184"/>
  <c r="L302" i="184"/>
  <c r="N182" i="184"/>
  <c r="C184" i="184"/>
  <c r="O182" i="184"/>
  <c r="P182" i="184" s="1"/>
  <c r="N128" i="184"/>
  <c r="N133" i="184" s="1"/>
  <c r="O128" i="184"/>
  <c r="O106" i="184"/>
  <c r="N106" i="184"/>
  <c r="I206" i="184"/>
  <c r="D84" i="184"/>
  <c r="O256" i="184"/>
  <c r="N111" i="184"/>
  <c r="P197" i="184"/>
  <c r="H197" i="184"/>
  <c r="I197" i="184"/>
  <c r="E197" i="184"/>
  <c r="F137" i="184"/>
  <c r="H135" i="184"/>
  <c r="I135" i="184"/>
  <c r="I137" i="184" s="1"/>
  <c r="E135" i="184"/>
  <c r="J268" i="184"/>
  <c r="H204" i="184"/>
  <c r="D135" i="184"/>
  <c r="I128" i="184"/>
  <c r="E128" i="184"/>
  <c r="P128" i="184"/>
  <c r="H128" i="184"/>
  <c r="E153" i="184"/>
  <c r="N46" i="184"/>
  <c r="O46" i="184"/>
  <c r="I66" i="184"/>
  <c r="P66" i="184" s="1"/>
  <c r="E66" i="184"/>
  <c r="F68" i="184"/>
  <c r="H66" i="184"/>
  <c r="N42" i="184"/>
  <c r="D15" i="184"/>
  <c r="D24" i="184" s="1"/>
  <c r="N68" i="184"/>
  <c r="O68" i="184"/>
  <c r="C24" i="184"/>
  <c r="E24" i="184" s="1"/>
  <c r="I46" i="184"/>
  <c r="E46" i="184"/>
  <c r="H46" i="184"/>
  <c r="P46" i="184"/>
  <c r="M24" i="184"/>
  <c r="K302" i="184"/>
  <c r="C115" i="184"/>
  <c r="H115" i="184"/>
  <c r="I115" i="184"/>
  <c r="J302" i="184"/>
  <c r="O264" i="184"/>
  <c r="L268" i="184"/>
  <c r="O197" i="184"/>
  <c r="O202" i="184" s="1"/>
  <c r="N197" i="184"/>
  <c r="N202" i="184" s="1"/>
  <c r="F231" i="184"/>
  <c r="P229" i="184"/>
  <c r="I229" i="184"/>
  <c r="E229" i="184"/>
  <c r="H175" i="184"/>
  <c r="I175" i="184"/>
  <c r="E175" i="184"/>
  <c r="H222" i="184"/>
  <c r="E91" i="184"/>
  <c r="F93" i="184"/>
  <c r="I91" i="184"/>
  <c r="P91" i="184" s="1"/>
  <c r="H91" i="184"/>
  <c r="N153" i="184"/>
  <c r="N158" i="184" s="1"/>
  <c r="O153" i="184"/>
  <c r="P153" i="184" s="1"/>
  <c r="I106" i="184"/>
  <c r="P106" i="184" s="1"/>
  <c r="H106" i="184"/>
  <c r="E106" i="184"/>
  <c r="F206" i="184"/>
  <c r="D91" i="184"/>
  <c r="I84" i="184"/>
  <c r="P84" i="184" s="1"/>
  <c r="E84" i="184"/>
  <c r="H84" i="184"/>
  <c r="L137" i="184"/>
  <c r="I59" i="184"/>
  <c r="P59" i="184" s="1"/>
  <c r="E59" i="184"/>
  <c r="H59" i="184"/>
  <c r="N22" i="184"/>
  <c r="G24" i="184"/>
  <c r="I24" i="184" s="1"/>
  <c r="I15" i="184"/>
  <c r="O222" i="184"/>
  <c r="O227" i="184" s="1"/>
  <c r="C231" i="184"/>
  <c r="N222" i="184"/>
  <c r="N227" i="184" s="1"/>
  <c r="G231" i="184"/>
  <c r="H184" i="184"/>
  <c r="E184" i="184"/>
  <c r="I184" i="184"/>
  <c r="O175" i="184"/>
  <c r="N175" i="184"/>
  <c r="N180" i="184" s="1"/>
  <c r="O135" i="184"/>
  <c r="C137" i="184"/>
  <c r="N135" i="184"/>
  <c r="E222" i="184"/>
  <c r="O84" i="184"/>
  <c r="N84" i="184"/>
  <c r="N89" i="184" s="1"/>
  <c r="D59" i="184"/>
  <c r="F162" i="184"/>
  <c r="P160" i="184"/>
  <c r="H160" i="184"/>
  <c r="I160" i="184"/>
  <c r="I162" i="184" s="1"/>
  <c r="E160" i="184"/>
  <c r="D66" i="184"/>
  <c r="O91" i="184"/>
  <c r="H24" i="184"/>
  <c r="D137" i="184" l="1"/>
  <c r="P175" i="184"/>
  <c r="O302" i="184"/>
  <c r="N137" i="184"/>
  <c r="O137" i="184"/>
  <c r="I93" i="184"/>
  <c r="P93" i="184" s="1"/>
  <c r="E93" i="184"/>
  <c r="H93" i="184"/>
  <c r="O115" i="184"/>
  <c r="P115" i="184" s="1"/>
  <c r="N115" i="184"/>
  <c r="E162" i="184"/>
  <c r="P162" i="184"/>
  <c r="H162" i="184"/>
  <c r="E115" i="184"/>
  <c r="I68" i="184"/>
  <c r="P68" i="184" s="1"/>
  <c r="E68" i="184"/>
  <c r="H68" i="184"/>
  <c r="O268" i="184"/>
  <c r="P135" i="184"/>
  <c r="D93" i="184"/>
  <c r="O184" i="184"/>
  <c r="N184" i="184"/>
  <c r="D68" i="184"/>
  <c r="O231" i="184"/>
  <c r="N231" i="184"/>
  <c r="H206" i="184"/>
  <c r="E206" i="184"/>
  <c r="E231" i="184"/>
  <c r="I231" i="184"/>
  <c r="P231" i="184"/>
  <c r="N24" i="184"/>
  <c r="O24" i="184"/>
  <c r="P24" i="184" s="1"/>
  <c r="E137" i="184"/>
  <c r="P137" i="184"/>
  <c r="H137" i="184"/>
</calcChain>
</file>

<file path=xl/sharedStrings.xml><?xml version="1.0" encoding="utf-8"?>
<sst xmlns="http://schemas.openxmlformats.org/spreadsheetml/2006/main" count="3355" uniqueCount="168">
  <si>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</si>
  <si>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</si>
  <si>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</si>
  <si>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</si>
  <si>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</si>
  <si>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</si>
  <si>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</si>
  <si>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</si>
  <si>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</si>
  <si>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</si>
  <si>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</si>
  <si>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</si>
  <si>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</si>
  <si>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</si>
  <si>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</si>
  <si>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</si>
  <si>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</si>
  <si>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</si>
  <si>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</si>
  <si>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</si>
  <si>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</si>
  <si>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</si>
  <si>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</si>
  <si>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</si>
  <si>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</si>
  <si>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</si>
  <si>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</si>
  <si>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</si>
  <si>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</si>
  <si>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</si>
  <si>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</si>
  <si>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</si>
  <si>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</si>
  <si>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</si>
  <si>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</si>
  <si>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</si>
  <si>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</si>
  <si>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</si>
  <si>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</si>
  <si>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</si>
  <si>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</si>
  <si>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</si>
  <si>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</si>
  <si>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</si>
  <si>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</si>
  <si>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</si>
  <si>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</si>
  <si>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</si>
  <si>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</si>
  <si>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</si>
  <si>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</si>
  <si>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</si>
  <si>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</si>
  <si>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</si>
  <si>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</si>
  <si>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</si>
  <si>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</si>
  <si>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</si>
  <si>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</si>
  <si>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</si>
  <si>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</si>
  <si>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</si>
  <si>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</si>
  <si>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</si>
  <si>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</si>
  <si>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</si>
  <si>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</si>
  <si>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</si>
  <si>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</si>
  <si>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</si>
  <si>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</si>
  <si>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</si>
  <si>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</si>
  <si>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</si>
  <si>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</si>
  <si>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</si>
  <si>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</si>
  <si>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</si>
  <si>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</si>
  <si>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</si>
  <si>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</si>
  <si>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</si>
  <si>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</si>
  <si>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</si>
  <si>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</si>
  <si>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</si>
  <si>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</si>
  <si>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</si>
  <si>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</si>
  <si>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</si>
  <si>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</si>
  <si>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</si>
  <si>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</si>
  <si>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</si>
  <si>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</si>
  <si>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</si>
  <si>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</si>
  <si>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</si>
  <si>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</si>
  <si>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</si>
  <si>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</si>
  <si>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</si>
  <si>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</si>
  <si>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</si>
  <si>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</si>
  <si>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</si>
  <si>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</si>
  <si>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</si>
  <si>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</si>
  <si>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</si>
  <si>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</si>
  <si>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</si>
  <si>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</si>
  <si>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</si>
  <si>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</si>
  <si>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</si>
  <si>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</si>
  <si>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</si>
  <si>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</si>
  <si>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</si>
  <si>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</si>
  <si>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</si>
  <si>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</si>
  <si>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</si>
  <si>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</si>
  <si>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</si>
  <si>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</si>
  <si>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</si>
  <si>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</si>
  <si>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</si>
  <si>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</si>
  <si>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</si>
  <si>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</si>
  <si>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</si>
  <si>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</si>
  <si>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</si>
  <si>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</si>
  <si>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</si>
  <si>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</si>
  <si>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</si>
  <si>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</si>
  <si>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</si>
  <si>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</si>
  <si>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</si>
  <si>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</si>
  <si>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</si>
  <si>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</si>
  <si>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</si>
  <si>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</si>
  <si>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</si>
  <si>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</si>
  <si>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n/a</t>
  </si>
  <si>
    <t>`</t>
  </si>
  <si>
    <t>Pelagic Statistics: total landings (tonnes live weight) in 2021</t>
  </si>
  <si>
    <t>2020 landings are for the nearest comparable week last year (assuming an average delay of 2 weeks in notification of landings) therefore</t>
  </si>
  <si>
    <t>2020 uptake is of the final quota, after all swaps.</t>
  </si>
  <si>
    <t>Confirmed and estimated landings by UK vessels for 2021</t>
  </si>
  <si>
    <t>Western PO</t>
  </si>
  <si>
    <t>JAX*2A-14 Parent Stock NS Horse Mackerel 0.05% May be taken in 7d and recorded against WS HOM</t>
  </si>
  <si>
    <t>Initial Allocation</t>
  </si>
  <si>
    <t>Amount Used</t>
  </si>
  <si>
    <t xml:space="preserve">Amount left </t>
  </si>
  <si>
    <t>JAX*4BC7D parent stock WS Horse Mackerel 0.05% may be taken from 2a or 4a before 30 June and recorded against NS Horse Mackerel</t>
  </si>
  <si>
    <t>JAX/*7D Parent Stock NS Horse Mackerel 0.05% May be taken in 7d and recorded against WS HOM</t>
  </si>
  <si>
    <t>MAC/*4A Parent Stock WS Mackerel 1% may be taken in 4a (1 Jan-14 Feb &amp; 1 Aug-31 Dec). Report uptake against WS Mackerel.</t>
  </si>
  <si>
    <t>MAC/*2CX14 Parent Stock NS Mackerel 0.6% may be taken in Western Waters. Report uptake against NS Mackerel.</t>
  </si>
  <si>
    <t>This weeks report includes swap numbers 825-881</t>
  </si>
  <si>
    <t>Number of Weeks to end of year is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</si>
</sst>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19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43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 wrapText="1"/>
    </xf>
    <xf numFmtId="1" fontId="3" fillId="0" borderId="0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center"/>
    </xf>
    <xf numFmtId="0" fontId="3" fillId="0" borderId="1" xfId="1" applyFont="1" applyBorder="1"/>
    <xf numFmtId="1" fontId="2" fillId="0" borderId="0" xfId="1" applyNumberFormat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0" fontId="2" fillId="0" borderId="0" xfId="1" applyFont="1" applyBorder="1"/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1" fontId="2" fillId="0" borderId="0" xfId="1" applyNumberFormat="1" applyFont="1" applyBorder="1"/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0" fontId="8" fillId="0" borderId="0" xfId="2" applyFont="1" applyBorder="1" applyAlignment="1">
      <alignment horizontal="lef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0" xfId="2" applyFont="1" applyBorder="1"/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" fontId="9" fillId="0" borderId="0" xfId="2" applyNumberFormat="1" applyFont="1" applyBorder="1" applyAlignment="1">
      <alignment horizontal="centerContinuous"/>
    </xf>
    <xf numFmtId="0" fontId="9" fillId="0" borderId="0" xfId="2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1" fontId="9" fillId="0" borderId="0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1" fontId="9" fillId="0" borderId="0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0" fontId="9" fillId="0" borderId="0" xfId="2" quotePrefix="1" applyFont="1" applyBorder="1" applyAlignment="1">
      <alignment horizontal="center"/>
    </xf>
    <xf numFmtId="1" fontId="9" fillId="0" borderId="13" xfId="2" quotePrefix="1" applyNumberFormat="1" applyFont="1" applyBorder="1" applyAlignment="1">
      <alignment horizontal="center"/>
    </xf>
    <xf numFmtId="1" fontId="9" fillId="0" borderId="12" xfId="2" applyNumberFormat="1" applyFont="1" applyBorder="1" applyAlignment="1"/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0" xfId="2" applyNumberFormat="1" applyFont="1" applyBorder="1"/>
    <xf numFmtId="164" fontId="9" fillId="0" borderId="0" xfId="2" applyNumberFormat="1" applyFont="1" applyBorder="1" applyAlignment="1">
      <alignment horizontal="right"/>
    </xf>
    <xf numFmtId="1" fontId="9" fillId="0" borderId="0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2" fontId="9" fillId="0" borderId="0" xfId="2" applyNumberFormat="1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2" fontId="9" fillId="0" borderId="0" xfId="2" applyNumberFormat="1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 wrapText="1"/>
    </xf>
    <xf numFmtId="164" fontId="3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3" fillId="0" borderId="0" xfId="1" applyNumberFormat="1" applyFont="1" applyFill="1" applyBorder="1" applyAlignment="1">
      <alignment horizontal="right"/>
    </xf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2" fillId="0" borderId="0" xfId="1" applyFont="1" applyFill="1"/>
    <xf numFmtId="0" fontId="16" fillId="0" borderId="0" xfId="1" applyFont="1" applyFill="1"/>
    <xf numFmtId="0" fontId="2" fillId="0" borderId="0" xfId="1" applyFont="1" applyFill="1" applyBorder="1"/>
    <xf numFmtId="0" fontId="2" fillId="0" borderId="8" xfId="1" applyFont="1" applyFill="1" applyBorder="1"/>
    <xf numFmtId="3" fontId="2" fillId="0" borderId="8" xfId="1" applyNumberFormat="1" applyFont="1" applyFill="1" applyBorder="1"/>
    <xf numFmtId="0" fontId="7" fillId="0" borderId="8" xfId="1" applyFont="1" applyFill="1" applyBorder="1" applyAlignment="1">
      <alignment horizontal="left"/>
    </xf>
    <xf numFmtId="3" fontId="2" fillId="0" borderId="0" xfId="1" applyNumberFormat="1" applyFont="1" applyFill="1"/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 applyFill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16" fillId="0" borderId="0" xfId="0" applyFont="1" applyFill="1"/>
    <xf numFmtId="0" fontId="3" fillId="0" borderId="1" xfId="0" applyFont="1" applyBorder="1" applyAlignment="1">
      <alignment horizontal="left"/>
    </xf>
    <xf numFmtId="0" fontId="3" fillId="0" borderId="9" xfId="0" applyFont="1" applyBorder="1"/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2" fillId="0" borderId="8" xfId="0" applyFont="1" applyFill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164" fontId="3" fillId="0" borderId="0" xfId="0" applyNumberFormat="1" applyFont="1" applyBorder="1"/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5" fillId="0" borderId="0" xfId="0" applyFont="1" applyFill="1"/>
    <xf numFmtId="0" fontId="2" fillId="0" borderId="1" xfId="0" applyFont="1" applyBorder="1" applyAlignment="1" applyProtection="1">
      <alignment horizontal="left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164" fontId="2" fillId="0" borderId="10" xfId="1" applyNumberFormat="1" applyFont="1" applyFill="1" applyBorder="1" applyAlignment="1">
      <alignment horizontal="right"/>
    </xf>
    <xf numFmtId="164" fontId="17" fillId="0" borderId="9" xfId="1" applyNumberFormat="1" applyFont="1" applyFill="1" applyBorder="1" applyAlignment="1">
      <alignment horizontal="right"/>
    </xf>
    <xf numFmtId="164" fontId="2" fillId="0" borderId="9" xfId="1" applyNumberFormat="1" applyFont="1" applyFill="1" applyBorder="1" applyAlignment="1">
      <alignment horizontal="right"/>
    </xf>
    <xf numFmtId="0" fontId="14" fillId="0" borderId="0" xfId="0" applyFont="1"/>
    <xf numFmtId="0" fontId="18" fillId="0" borderId="0" xfId="0" applyFont="1"/>
    <xf numFmtId="0" fontId="18" fillId="2" borderId="0" xfId="0" applyFont="1" applyFill="1"/>
    <xf numFmtId="0" fontId="3" fillId="0" borderId="0" xfId="0" applyFont="1" applyBorder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3" fillId="0" borderId="0" xfId="1" quotePrefix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 xr:uid="{00000000-0005-0000-0000-000001000000}"/>
    <cellStyle name="Normal_Sectoral" xfId="1" xr:uid="{00000000-0005-0000-0000-000002000000}"/>
    <cellStyle name="Normal_Whitefish" xfId="2" xr:uid="{00000000-0005-0000-0000-000003000000}"/>
  </cellStyles>
  <dxfs count="19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14\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21\pel%20202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21\Pelreps\Pelrep_20_10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Alloc%202021\Combined%20EWSNI%20Alloca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Missing WS Mac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Norway Pout</v>
          </cell>
          <cell r="V5" t="str">
            <v>Blue Whiting I-VIII, XII, XIV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Clyde Firth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Norway Pout</v>
          </cell>
          <cell r="AV5" t="str">
            <v>Blue Whiting I-VIII, XII, XIV</v>
          </cell>
          <cell r="AW5" t="str">
            <v>Grand Total</v>
          </cell>
        </row>
        <row r="6">
          <cell r="I6" t="str">
            <v>Anglo Scot.</v>
          </cell>
          <cell r="P6">
            <v>0.57999999999999996</v>
          </cell>
          <cell r="R6">
            <v>0.4532499985918404</v>
          </cell>
          <cell r="S6">
            <v>0.15975</v>
          </cell>
          <cell r="W6">
            <v>1.1929999985918405</v>
          </cell>
          <cell r="AI6" t="str">
            <v>Aberdeen</v>
          </cell>
          <cell r="AR6">
            <v>5.1499999999999995</v>
          </cell>
          <cell r="AW6">
            <v>5.1499999999999995</v>
          </cell>
        </row>
        <row r="7">
          <cell r="I7" t="str">
            <v>Cornish</v>
          </cell>
          <cell r="L7">
            <v>2.6501815981417889</v>
          </cell>
          <cell r="M7">
            <v>10.048381954841309</v>
          </cell>
          <cell r="N7">
            <v>4.4044999999999996</v>
          </cell>
          <cell r="P7">
            <v>8.1820000038146983</v>
          </cell>
          <cell r="R7">
            <v>2.1864999661445625</v>
          </cell>
          <cell r="T7">
            <v>1.1800000190734865</v>
          </cell>
          <cell r="W7">
            <v>28.651563542015843</v>
          </cell>
          <cell r="AI7" t="str">
            <v>England, NI</v>
          </cell>
          <cell r="AJ7">
            <v>2.3167999937683326</v>
          </cell>
          <cell r="AL7">
            <v>1079.7976115862725</v>
          </cell>
          <cell r="AM7">
            <v>2994.867282599163</v>
          </cell>
          <cell r="AN7">
            <v>225.34520200377685</v>
          </cell>
          <cell r="AP7">
            <v>19.727999980807308</v>
          </cell>
          <cell r="AQ7">
            <v>180.3</v>
          </cell>
          <cell r="AR7">
            <v>9.9460699920579803</v>
          </cell>
          <cell r="AS7">
            <v>510.35199999999998</v>
          </cell>
          <cell r="AT7">
            <v>1.7800000190734866</v>
          </cell>
          <cell r="AW7">
            <v>5024.4329661749198</v>
          </cell>
        </row>
        <row r="8">
          <cell r="I8" t="str">
            <v>FPO</v>
          </cell>
          <cell r="J8">
            <v>0.06</v>
          </cell>
          <cell r="M8">
            <v>0.31715000024437906</v>
          </cell>
          <cell r="W8">
            <v>0.37715000024437906</v>
          </cell>
          <cell r="AI8" t="str">
            <v>France</v>
          </cell>
          <cell r="AJ8">
            <v>1440.6119999609575</v>
          </cell>
          <cell r="AL8">
            <v>9.8620000190734896</v>
          </cell>
          <cell r="AM8">
            <v>122.77499998641014</v>
          </cell>
          <cell r="AR8">
            <v>4.0600000000000005</v>
          </cell>
          <cell r="AW8">
            <v>1577.3089999664412</v>
          </cell>
        </row>
        <row r="9">
          <cell r="I9" t="str">
            <v>NESFO</v>
          </cell>
          <cell r="M9">
            <v>1.1599999999999999</v>
          </cell>
          <cell r="P9">
            <v>1.76</v>
          </cell>
          <cell r="R9">
            <v>1.7</v>
          </cell>
          <cell r="S9">
            <v>0.12</v>
          </cell>
          <cell r="T9">
            <v>0.32</v>
          </cell>
          <cell r="W9">
            <v>5.0600000000000005</v>
          </cell>
          <cell r="AI9" t="str">
            <v>Fraserburgh</v>
          </cell>
          <cell r="AP9">
            <v>325.24</v>
          </cell>
          <cell r="AR9">
            <v>1.1599999999999999</v>
          </cell>
          <cell r="AS9">
            <v>2.6799999999999997</v>
          </cell>
          <cell r="AT9">
            <v>2.33</v>
          </cell>
          <cell r="AW9">
            <v>331.41</v>
          </cell>
        </row>
        <row r="10">
          <cell r="I10" t="str">
            <v>NIFPO</v>
          </cell>
          <cell r="L10">
            <v>0.35</v>
          </cell>
          <cell r="M10">
            <v>1369.4000000076294</v>
          </cell>
          <cell r="P10">
            <v>10.855999976992608</v>
          </cell>
          <cell r="R10">
            <v>0.97900000095367434</v>
          </cell>
          <cell r="T10">
            <v>0.60000000000000009</v>
          </cell>
          <cell r="W10">
            <v>1382.1849999855754</v>
          </cell>
          <cell r="AI10" t="str">
            <v>Kinlochbervie</v>
          </cell>
          <cell r="AL10">
            <v>7.8599999999999994</v>
          </cell>
          <cell r="AM10">
            <v>3.74</v>
          </cell>
          <cell r="AW10">
            <v>11.6</v>
          </cell>
        </row>
        <row r="11">
          <cell r="I11" t="str">
            <v>SFO</v>
          </cell>
          <cell r="K11">
            <v>0.63</v>
          </cell>
          <cell r="L11">
            <v>15.190000000000001</v>
          </cell>
          <cell r="M11">
            <v>26174.860000000004</v>
          </cell>
          <cell r="P11">
            <v>12.69</v>
          </cell>
          <cell r="R11">
            <v>3.9569999999999999</v>
          </cell>
          <cell r="S11">
            <v>18731.61</v>
          </cell>
          <cell r="T11">
            <v>1639.79</v>
          </cell>
          <cell r="V11">
            <v>12890.6</v>
          </cell>
          <cell r="W11">
            <v>59469.327000000005</v>
          </cell>
          <cell r="AI11" t="str">
            <v>Mallaig</v>
          </cell>
          <cell r="AM11">
            <v>0.81</v>
          </cell>
          <cell r="AW11">
            <v>0.81</v>
          </cell>
        </row>
        <row r="12">
          <cell r="I12" t="str">
            <v>Shetland</v>
          </cell>
          <cell r="K12">
            <v>690.9</v>
          </cell>
          <cell r="L12">
            <v>11.27</v>
          </cell>
          <cell r="M12">
            <v>8735.68</v>
          </cell>
          <cell r="P12">
            <v>19.900000000000002</v>
          </cell>
          <cell r="S12">
            <v>10543.81</v>
          </cell>
          <cell r="T12">
            <v>13317.550000000001</v>
          </cell>
          <cell r="V12">
            <v>9759.32</v>
          </cell>
          <cell r="W12">
            <v>43078.43</v>
          </cell>
          <cell r="AI12" t="str">
            <v>Peterhead</v>
          </cell>
          <cell r="AJ12">
            <v>0.06</v>
          </cell>
          <cell r="AK12">
            <v>97.93</v>
          </cell>
          <cell r="AL12">
            <v>439.02</v>
          </cell>
          <cell r="AM12">
            <v>28554.660000000003</v>
          </cell>
          <cell r="AP12">
            <v>108.96000000000001</v>
          </cell>
          <cell r="AR12">
            <v>26.949999999999992</v>
          </cell>
          <cell r="AS12">
            <v>21821.450000000004</v>
          </cell>
          <cell r="AT12">
            <v>3698.11</v>
          </cell>
          <cell r="AV12">
            <v>21348.949999999997</v>
          </cell>
          <cell r="AW12">
            <v>76096.09</v>
          </cell>
        </row>
        <row r="13">
          <cell r="I13" t="str">
            <v>South West</v>
          </cell>
          <cell r="J13">
            <v>0.30009999994188541</v>
          </cell>
          <cell r="L13">
            <v>0.20329999899864198</v>
          </cell>
          <cell r="M13">
            <v>2.6500510213896615</v>
          </cell>
          <cell r="W13">
            <v>3.1534510203301886</v>
          </cell>
          <cell r="AI13" t="str">
            <v>Shetland</v>
          </cell>
          <cell r="AM13">
            <v>5085.79</v>
          </cell>
          <cell r="AP13">
            <v>458.76</v>
          </cell>
          <cell r="AS13">
            <v>10044.400000000001</v>
          </cell>
          <cell r="AT13">
            <v>2177.5699999999997</v>
          </cell>
          <cell r="AW13">
            <v>17766.52</v>
          </cell>
        </row>
        <row r="14">
          <cell r="I14" t="str">
            <v>(blank)</v>
          </cell>
          <cell r="AI14" t="str">
            <v>Ullapool</v>
          </cell>
          <cell r="AL14">
            <v>3.56</v>
          </cell>
          <cell r="AM14">
            <v>3.21</v>
          </cell>
          <cell r="AP14">
            <v>5.6</v>
          </cell>
          <cell r="AW14">
            <v>12.37</v>
          </cell>
        </row>
        <row r="15">
          <cell r="I15" t="str">
            <v>ANIFPO</v>
          </cell>
          <cell r="L15">
            <v>1342.5859999999998</v>
          </cell>
          <cell r="M15">
            <v>6799.2010000039345</v>
          </cell>
          <cell r="Q15">
            <v>180.3</v>
          </cell>
          <cell r="R15">
            <v>0.01</v>
          </cell>
          <cell r="S15">
            <v>5485.0690000000004</v>
          </cell>
          <cell r="T15">
            <v>2789.4029999999998</v>
          </cell>
          <cell r="W15">
            <v>16596.569000003932</v>
          </cell>
          <cell r="AI15" t="str">
            <v>(blank)</v>
          </cell>
        </row>
        <row r="16">
          <cell r="I16" t="str">
            <v>Aberdeen</v>
          </cell>
          <cell r="L16">
            <v>0.28000000000000003</v>
          </cell>
          <cell r="P16">
            <v>12.700000000000001</v>
          </cell>
          <cell r="R16">
            <v>5.82</v>
          </cell>
          <cell r="S16">
            <v>7.0000000000000007E-2</v>
          </cell>
          <cell r="T16">
            <v>2.29</v>
          </cell>
          <cell r="W16">
            <v>21.16</v>
          </cell>
          <cell r="AI16" t="str">
            <v>Ayr</v>
          </cell>
          <cell r="AM16">
            <v>1.37</v>
          </cell>
          <cell r="AW16">
            <v>1.37</v>
          </cell>
        </row>
        <row r="17">
          <cell r="I17" t="str">
            <v>West Scot.</v>
          </cell>
          <cell r="T17">
            <v>0.02</v>
          </cell>
          <cell r="W17">
            <v>0.02</v>
          </cell>
          <cell r="AI17" t="str">
            <v>Netherlands</v>
          </cell>
          <cell r="AJ17">
            <v>57.670853458285336</v>
          </cell>
          <cell r="AK17">
            <v>4.5430000076293942</v>
          </cell>
          <cell r="AM17">
            <v>11513.01827230295</v>
          </cell>
          <cell r="AP17">
            <v>215.74050032138831</v>
          </cell>
          <cell r="AR17">
            <v>204.64700028295817</v>
          </cell>
          <cell r="AS17">
            <v>9011.5410087715427</v>
          </cell>
          <cell r="AT17">
            <v>251.75700170898438</v>
          </cell>
          <cell r="AU17">
            <v>9.8252998046875</v>
          </cell>
          <cell r="AV17">
            <v>7202.1500341720584</v>
          </cell>
          <cell r="AW17">
            <v>28470.892970830486</v>
          </cell>
        </row>
        <row r="18">
          <cell r="I18" t="str">
            <v>Fife</v>
          </cell>
          <cell r="J18">
            <v>9.5040000133514422</v>
          </cell>
          <cell r="M18">
            <v>56.038999880790755</v>
          </cell>
          <cell r="P18">
            <v>1.3900000000000001</v>
          </cell>
          <cell r="R18">
            <v>15.901000007629396</v>
          </cell>
          <cell r="T18">
            <v>0.04</v>
          </cell>
          <cell r="W18">
            <v>82.873999901771597</v>
          </cell>
          <cell r="AI18" t="str">
            <v>Campbeltown</v>
          </cell>
          <cell r="AM18">
            <v>0.03</v>
          </cell>
          <cell r="AW18">
            <v>0.03</v>
          </cell>
        </row>
        <row r="19">
          <cell r="I19" t="str">
            <v>Orkney</v>
          </cell>
          <cell r="T19">
            <v>0.15</v>
          </cell>
          <cell r="W19">
            <v>0.15</v>
          </cell>
          <cell r="AI19" t="str">
            <v>Stornoway</v>
          </cell>
          <cell r="AM19">
            <v>6.31</v>
          </cell>
          <cell r="AW19">
            <v>6.31</v>
          </cell>
        </row>
        <row r="20">
          <cell r="I20" t="str">
            <v>North Sea</v>
          </cell>
          <cell r="J20">
            <v>14.034000005722039</v>
          </cell>
          <cell r="M20">
            <v>19.031000035285945</v>
          </cell>
          <cell r="R20">
            <v>3.3839999732971178</v>
          </cell>
          <cell r="S20">
            <v>5.8999999999999997E-2</v>
          </cell>
          <cell r="W20">
            <v>36.508000014305097</v>
          </cell>
          <cell r="AI20" t="str">
            <v>Eyemouth</v>
          </cell>
          <cell r="AR20">
            <v>13.939999999999994</v>
          </cell>
          <cell r="AW20">
            <v>13.939999999999994</v>
          </cell>
        </row>
        <row r="21">
          <cell r="I21" t="str">
            <v>Lunar</v>
          </cell>
          <cell r="L21">
            <v>1.22</v>
          </cell>
          <cell r="M21">
            <v>11276.07</v>
          </cell>
          <cell r="P21">
            <v>29.6</v>
          </cell>
          <cell r="R21">
            <v>0.21</v>
          </cell>
          <cell r="S21">
            <v>6382.0399999999991</v>
          </cell>
          <cell r="T21">
            <v>1453.98</v>
          </cell>
          <cell r="V21">
            <v>24885.629999999997</v>
          </cell>
          <cell r="W21">
            <v>44028.75</v>
          </cell>
          <cell r="AI21" t="str">
            <v>Oban</v>
          </cell>
          <cell r="AM21">
            <v>0.26</v>
          </cell>
          <cell r="AW21">
            <v>0.26</v>
          </cell>
        </row>
        <row r="22">
          <cell r="I22" t="str">
            <v>EEFPO</v>
          </cell>
          <cell r="P22">
            <v>0.79</v>
          </cell>
          <cell r="R22">
            <v>0.03</v>
          </cell>
          <cell r="S22">
            <v>0.25</v>
          </cell>
          <cell r="T22">
            <v>0.53</v>
          </cell>
          <cell r="W22">
            <v>1.6</v>
          </cell>
          <cell r="AI22" t="str">
            <v>Portree</v>
          </cell>
          <cell r="AM22">
            <v>0.08</v>
          </cell>
          <cell r="AW22">
            <v>0.08</v>
          </cell>
        </row>
        <row r="23">
          <cell r="I23" t="str">
            <v>Lowestoft</v>
          </cell>
          <cell r="J23">
            <v>57.731059020876884</v>
          </cell>
          <cell r="L23">
            <v>7.1043000068664544</v>
          </cell>
          <cell r="M23">
            <v>43.616000060081497</v>
          </cell>
          <cell r="R23">
            <v>70.212000187173558</v>
          </cell>
          <cell r="W23">
            <v>178.66335927499841</v>
          </cell>
          <cell r="AI23" t="str">
            <v>Buckie</v>
          </cell>
          <cell r="AP23">
            <v>15.03</v>
          </cell>
          <cell r="AS23">
            <v>0.25</v>
          </cell>
          <cell r="AT23">
            <v>1.6500000000000004</v>
          </cell>
          <cell r="AW23">
            <v>16.93</v>
          </cell>
        </row>
        <row r="24">
          <cell r="I24" t="str">
            <v>Klondyke</v>
          </cell>
          <cell r="K24">
            <v>70.73</v>
          </cell>
          <cell r="L24">
            <v>434.93999999999994</v>
          </cell>
          <cell r="M24">
            <v>9588.380000000001</v>
          </cell>
          <cell r="S24">
            <v>6570.21</v>
          </cell>
          <cell r="T24">
            <v>678.37</v>
          </cell>
          <cell r="V24">
            <v>10544.32</v>
          </cell>
          <cell r="W24">
            <v>27886.95</v>
          </cell>
          <cell r="AI24" t="str">
            <v>Lochinver</v>
          </cell>
          <cell r="AM24">
            <v>1.7000000000000002</v>
          </cell>
          <cell r="AW24">
            <v>1.7000000000000002</v>
          </cell>
        </row>
        <row r="25">
          <cell r="I25" t="str">
            <v>Interfish</v>
          </cell>
          <cell r="K25">
            <v>27.2</v>
          </cell>
          <cell r="M25">
            <v>7349.240800003603</v>
          </cell>
          <cell r="S25">
            <v>7754.0200000000013</v>
          </cell>
          <cell r="T25">
            <v>2243.5299999999997</v>
          </cell>
          <cell r="V25">
            <v>6821.0199999999995</v>
          </cell>
          <cell r="W25">
            <v>24195.010800003605</v>
          </cell>
          <cell r="AI25" t="str">
            <v>Orkney</v>
          </cell>
          <cell r="AP25">
            <v>14.180000000000001</v>
          </cell>
          <cell r="AW25">
            <v>14.180000000000001</v>
          </cell>
        </row>
        <row r="26">
          <cell r="I26" t="str">
            <v>North Atlantic FPO</v>
          </cell>
          <cell r="J26">
            <v>1418.1258943720452</v>
          </cell>
          <cell r="K26">
            <v>4.5430000076293942</v>
          </cell>
          <cell r="L26">
            <v>3.5120000000000049</v>
          </cell>
          <cell r="M26">
            <v>12019.304997544374</v>
          </cell>
          <cell r="P26">
            <v>215.74050032138831</v>
          </cell>
          <cell r="R26">
            <v>121.059000141561</v>
          </cell>
          <cell r="S26">
            <v>9011.4820087715416</v>
          </cell>
          <cell r="T26">
            <v>251.75700170898438</v>
          </cell>
          <cell r="U26">
            <v>9.8252998046875</v>
          </cell>
          <cell r="V26">
            <v>7202.1500341720584</v>
          </cell>
          <cell r="W26">
            <v>30257.499736844271</v>
          </cell>
          <cell r="AI26" t="str">
            <v>Belgium</v>
          </cell>
          <cell r="AR26">
            <v>0.30199999999999999</v>
          </cell>
          <cell r="AW26">
            <v>0.30199999999999999</v>
          </cell>
        </row>
        <row r="27">
          <cell r="I27" t="str">
            <v>Under 10m - England</v>
          </cell>
          <cell r="J27">
            <v>0.84460000107437327</v>
          </cell>
          <cell r="L27">
            <v>1.7198300013393164</v>
          </cell>
          <cell r="M27">
            <v>48.179907106563341</v>
          </cell>
          <cell r="N27">
            <v>220.84650200396743</v>
          </cell>
          <cell r="R27">
            <v>4.8133199996650129</v>
          </cell>
          <cell r="S27">
            <v>3.3722499999999993</v>
          </cell>
          <cell r="W27">
            <v>279.77640911260949</v>
          </cell>
          <cell r="AI27" t="str">
            <v>Anstruther</v>
          </cell>
          <cell r="AR27">
            <v>20.240000000000002</v>
          </cell>
          <cell r="AW27">
            <v>20.240000000000002</v>
          </cell>
        </row>
        <row r="28">
          <cell r="I28" t="str">
            <v>Under 10m - Wales</v>
          </cell>
          <cell r="M28">
            <v>0.58765999993681939</v>
          </cell>
          <cell r="N28">
            <v>9.4199999809265134E-2</v>
          </cell>
          <cell r="W28">
            <v>0.68185999974608458</v>
          </cell>
          <cell r="AI28" t="str">
            <v>Scrabster</v>
          </cell>
          <cell r="AK28">
            <v>0.12</v>
          </cell>
          <cell r="AL28">
            <v>1.19</v>
          </cell>
          <cell r="AM28">
            <v>0.54</v>
          </cell>
          <cell r="AP28">
            <v>2.3499999999999996</v>
          </cell>
          <cell r="AS28">
            <v>7.0000000000000007E-2</v>
          </cell>
          <cell r="AT28">
            <v>1.1400000000000001</v>
          </cell>
          <cell r="AW28">
            <v>5.41</v>
          </cell>
        </row>
        <row r="29">
          <cell r="I29" t="str">
            <v>Under 10m - Scotland</v>
          </cell>
          <cell r="J29">
            <v>0.06</v>
          </cell>
          <cell r="M29">
            <v>12.509999999999998</v>
          </cell>
          <cell r="P29">
            <v>863.82999999999913</v>
          </cell>
          <cell r="R29">
            <v>55.679999999999986</v>
          </cell>
          <cell r="W29">
            <v>932.07999999999913</v>
          </cell>
          <cell r="AI29" t="str">
            <v xml:space="preserve">Denmark </v>
          </cell>
          <cell r="AV29">
            <v>15277.92</v>
          </cell>
          <cell r="AW29">
            <v>15277.92</v>
          </cell>
        </row>
        <row r="30">
          <cell r="I30" t="str">
            <v>Under 10m - N.Ireland</v>
          </cell>
          <cell r="M30">
            <v>0.126</v>
          </cell>
          <cell r="W30">
            <v>0.126</v>
          </cell>
          <cell r="AI30" t="str">
            <v xml:space="preserve">Norway </v>
          </cell>
          <cell r="AK30">
            <v>691.41</v>
          </cell>
          <cell r="AL30">
            <v>252.566</v>
          </cell>
          <cell r="AM30">
            <v>32031.411999999997</v>
          </cell>
          <cell r="AP30">
            <v>12.61</v>
          </cell>
          <cell r="AS30">
            <v>23091.529000000002</v>
          </cell>
          <cell r="AT30">
            <v>16245.273000000001</v>
          </cell>
          <cell r="AW30">
            <v>72324.800000000003</v>
          </cell>
        </row>
        <row r="31">
          <cell r="I31" t="str">
            <v>Non Sector - Scotland</v>
          </cell>
          <cell r="P31">
            <v>0.18</v>
          </cell>
          <cell r="T31">
            <v>0.1</v>
          </cell>
          <cell r="W31">
            <v>0.28000000000000003</v>
          </cell>
          <cell r="AI31" t="str">
            <v xml:space="preserve">Eire </v>
          </cell>
          <cell r="AL31">
            <v>27.17</v>
          </cell>
          <cell r="AM31">
            <v>3185.902</v>
          </cell>
          <cell r="AV31">
            <v>28274.02</v>
          </cell>
          <cell r="AW31">
            <v>31487.092000000001</v>
          </cell>
        </row>
        <row r="32">
          <cell r="I32" t="str">
            <v>Western PO</v>
          </cell>
          <cell r="M32">
            <v>7.2607269845902933E-2</v>
          </cell>
          <cell r="W32">
            <v>7.2607269845902933E-2</v>
          </cell>
          <cell r="AI32" t="str">
            <v>Grand Total</v>
          </cell>
          <cell r="AJ32">
            <v>1500.6596534130113</v>
          </cell>
          <cell r="AK32">
            <v>794.00300000762934</v>
          </cell>
          <cell r="AL32">
            <v>1821.0256116053461</v>
          </cell>
          <cell r="AM32">
            <v>83506.474554888526</v>
          </cell>
          <cell r="AN32">
            <v>225.34520200377685</v>
          </cell>
          <cell r="AP32">
            <v>1178.1985003021955</v>
          </cell>
          <cell r="AQ32">
            <v>180.3</v>
          </cell>
          <cell r="AR32">
            <v>286.39507027501617</v>
          </cell>
          <cell r="AS32">
            <v>64482.27200877155</v>
          </cell>
          <cell r="AT32">
            <v>22379.610001728059</v>
          </cell>
          <cell r="AU32">
            <v>9.8252998046875</v>
          </cell>
          <cell r="AV32">
            <v>72103.040034172052</v>
          </cell>
          <cell r="AW32">
            <v>248467.14893697185</v>
          </cell>
        </row>
        <row r="33">
          <cell r="I33" t="str">
            <v>Grand Total</v>
          </cell>
          <cell r="J33">
            <v>1500.6596534130119</v>
          </cell>
          <cell r="K33">
            <v>794.00300000762945</v>
          </cell>
          <cell r="L33">
            <v>1821.0256116053458</v>
          </cell>
          <cell r="M33">
            <v>83506.474554888511</v>
          </cell>
          <cell r="N33">
            <v>225.34520200377671</v>
          </cell>
          <cell r="P33">
            <v>1178.1985003021948</v>
          </cell>
          <cell r="Q33">
            <v>180.3</v>
          </cell>
          <cell r="R33">
            <v>286.39507027501617</v>
          </cell>
          <cell r="S33">
            <v>64482.27200877155</v>
          </cell>
          <cell r="T33">
            <v>22379.610001728059</v>
          </cell>
          <cell r="U33">
            <v>9.8252998046875</v>
          </cell>
          <cell r="V33">
            <v>72103.040034172052</v>
          </cell>
          <cell r="W33">
            <v>248467.14893697188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Missing WS Mac"/>
      <sheetName val="Horse Mackerel Flexibility"/>
      <sheetName val="Scentific landings"/>
    </sheetNames>
    <sheetDataSet>
      <sheetData sheetId="0"/>
      <sheetData sheetId="1"/>
      <sheetData sheetId="2">
        <row r="3">
          <cell r="C3">
            <v>21</v>
          </cell>
          <cell r="D3">
            <v>23</v>
          </cell>
          <cell r="E3">
            <v>20</v>
          </cell>
          <cell r="F3">
            <v>88</v>
          </cell>
          <cell r="G3">
            <v>19</v>
          </cell>
          <cell r="H3">
            <v>90</v>
          </cell>
          <cell r="I3">
            <v>91</v>
          </cell>
          <cell r="J3">
            <v>911</v>
          </cell>
          <cell r="K3">
            <v>912</v>
          </cell>
          <cell r="L3">
            <v>913</v>
          </cell>
          <cell r="M3">
            <v>24</v>
          </cell>
          <cell r="N3">
            <v>71</v>
          </cell>
          <cell r="O3">
            <v>72</v>
          </cell>
          <cell r="P3">
            <v>69</v>
          </cell>
          <cell r="Q3">
            <v>103</v>
          </cell>
          <cell r="R3">
            <v>57</v>
          </cell>
          <cell r="S3">
            <v>73</v>
          </cell>
          <cell r="T3">
            <v>150</v>
          </cell>
          <cell r="U3">
            <v>990</v>
          </cell>
          <cell r="V3">
            <v>104</v>
          </cell>
          <cell r="W3">
            <v>53</v>
          </cell>
        </row>
        <row r="4">
          <cell r="C4" t="str">
            <v>North Sea Herring</v>
          </cell>
          <cell r="D4" t="str">
            <v>West Coast Herring</v>
          </cell>
          <cell r="E4" t="str">
            <v>West Coast Mackerel</v>
          </cell>
          <cell r="F4" t="str">
            <v>Shet. Box Mackerel</v>
          </cell>
          <cell r="G4" t="str">
            <v>North Sea Mackerel</v>
          </cell>
          <cell r="H4" t="str">
            <v>N.Sea Mackerel IIIa Ivbc</v>
          </cell>
          <cell r="I4" t="str">
            <v>Atlanto Scandian Herring</v>
          </cell>
          <cell r="J4" t="str">
            <v>AS Norway</v>
          </cell>
          <cell r="K4" t="str">
            <v>AS Norway EEZ</v>
          </cell>
          <cell r="L4" t="str">
            <v>AS Faroe</v>
          </cell>
          <cell r="M4" t="str">
            <v>Clyde Firth Herring</v>
          </cell>
          <cell r="N4" t="str">
            <v>North Sea Horse Mackerel</v>
          </cell>
          <cell r="O4" t="str">
            <v>West Coast Horse Mackerel</v>
          </cell>
          <cell r="P4" t="str">
            <v>North Sea Blue Whiting</v>
          </cell>
          <cell r="Q4" t="str">
            <v>North Sea Sand Eels</v>
          </cell>
          <cell r="R4" t="str">
            <v>Norwegian Sand Eels</v>
          </cell>
          <cell r="S4" t="str">
            <v>Norway Pout</v>
          </cell>
          <cell r="T4" t="str">
            <v>Blue Whiting I-VIII, XII, XIV</v>
          </cell>
          <cell r="U4" t="str">
            <v>Shetland Sandeels</v>
          </cell>
          <cell r="V4" t="str">
            <v>Blue Whiting VIII</v>
          </cell>
          <cell r="W4" t="str">
            <v>Far Blue Whiting</v>
          </cell>
          <cell r="X4" t="str">
            <v>NS Sandeels (Area1)</v>
          </cell>
          <cell r="Y4" t="str">
            <v>NS Sandeels (Area2)</v>
          </cell>
          <cell r="Z4" t="str">
            <v>NS Sandeels (Area3)</v>
          </cell>
          <cell r="AA4" t="str">
            <v>NS Sandeels (Area4)</v>
          </cell>
          <cell r="AB4" t="str">
            <v>NS Sandeels (Area5)</v>
          </cell>
          <cell r="AC4" t="str">
            <v>NS Sandeels (Area6)</v>
          </cell>
          <cell r="AD4" t="str">
            <v xml:space="preserve">WS Mac Of Which IIa Nor </v>
          </cell>
        </row>
        <row r="5">
          <cell r="B5" t="str">
            <v>SFO</v>
          </cell>
          <cell r="C5" t="str">
            <v>Open</v>
          </cell>
          <cell r="D5" t="str">
            <v>Open</v>
          </cell>
          <cell r="E5" t="str">
            <v>Open</v>
          </cell>
          <cell r="F5" t="str">
            <v>Open</v>
          </cell>
          <cell r="G5" t="str">
            <v>Open</v>
          </cell>
          <cell r="H5" t="str">
            <v>Open</v>
          </cell>
          <cell r="I5" t="str">
            <v>Open</v>
          </cell>
          <cell r="J5" t="str">
            <v>Open</v>
          </cell>
          <cell r="K5" t="str">
            <v>Open</v>
          </cell>
          <cell r="L5" t="str">
            <v>Open</v>
          </cell>
          <cell r="M5" t="str">
            <v>Open</v>
          </cell>
          <cell r="N5" t="str">
            <v>Open</v>
          </cell>
          <cell r="O5" t="str">
            <v>Open</v>
          </cell>
          <cell r="P5" t="str">
            <v>Open</v>
          </cell>
          <cell r="Q5" t="str">
            <v>Open</v>
          </cell>
          <cell r="R5">
            <v>40909</v>
          </cell>
          <cell r="S5">
            <v>40909</v>
          </cell>
          <cell r="T5" t="str">
            <v>Open</v>
          </cell>
          <cell r="U5" t="str">
            <v>Open</v>
          </cell>
          <cell r="V5" t="str">
            <v>Open</v>
          </cell>
          <cell r="W5" t="str">
            <v>Open</v>
          </cell>
          <cell r="X5" t="str">
            <v>Open</v>
          </cell>
          <cell r="Y5" t="str">
            <v>Open</v>
          </cell>
          <cell r="Z5" t="str">
            <v>Open</v>
          </cell>
          <cell r="AA5" t="str">
            <v>Open</v>
          </cell>
          <cell r="AB5" t="str">
            <v>Open</v>
          </cell>
          <cell r="AC5" t="str">
            <v>Open</v>
          </cell>
          <cell r="AD5" t="str">
            <v>Open</v>
          </cell>
        </row>
        <row r="6">
          <cell r="B6" t="str">
            <v>Aberdeen</v>
          </cell>
          <cell r="C6" t="str">
            <v>Open</v>
          </cell>
          <cell r="D6" t="str">
            <v>Open</v>
          </cell>
          <cell r="E6">
            <v>40909</v>
          </cell>
          <cell r="F6">
            <v>40909</v>
          </cell>
          <cell r="G6" t="str">
            <v>Open</v>
          </cell>
          <cell r="H6" t="str">
            <v>Open</v>
          </cell>
          <cell r="I6" t="str">
            <v>Open</v>
          </cell>
          <cell r="J6" t="str">
            <v>Open</v>
          </cell>
          <cell r="K6" t="str">
            <v>Open</v>
          </cell>
          <cell r="L6" t="str">
            <v>Open</v>
          </cell>
          <cell r="M6" t="str">
            <v>Open</v>
          </cell>
          <cell r="N6">
            <v>40909</v>
          </cell>
          <cell r="O6">
            <v>40909</v>
          </cell>
          <cell r="P6" t="str">
            <v>Open</v>
          </cell>
          <cell r="Q6">
            <v>40909</v>
          </cell>
          <cell r="R6">
            <v>40909</v>
          </cell>
          <cell r="S6">
            <v>40909</v>
          </cell>
          <cell r="T6">
            <v>40909</v>
          </cell>
          <cell r="U6" t="str">
            <v>Open</v>
          </cell>
          <cell r="V6" t="str">
            <v>Open</v>
          </cell>
          <cell r="W6" t="str">
            <v>Open</v>
          </cell>
          <cell r="X6" t="str">
            <v>Open</v>
          </cell>
          <cell r="Y6" t="str">
            <v>Open</v>
          </cell>
          <cell r="Z6" t="str">
            <v>Open</v>
          </cell>
          <cell r="AA6" t="str">
            <v>Open</v>
          </cell>
          <cell r="AB6" t="str">
            <v>Open</v>
          </cell>
          <cell r="AC6" t="str">
            <v>Open</v>
          </cell>
          <cell r="AD6" t="str">
            <v>Open</v>
          </cell>
        </row>
        <row r="7">
          <cell r="B7" t="str">
            <v>NESFO</v>
          </cell>
          <cell r="C7">
            <v>40909</v>
          </cell>
          <cell r="D7" t="str">
            <v>Open</v>
          </cell>
          <cell r="E7">
            <v>40909</v>
          </cell>
          <cell r="F7">
            <v>40909</v>
          </cell>
          <cell r="G7" t="str">
            <v>Open</v>
          </cell>
          <cell r="H7" t="str">
            <v>Open</v>
          </cell>
          <cell r="I7" t="str">
            <v>Open</v>
          </cell>
          <cell r="J7" t="str">
            <v>Open</v>
          </cell>
          <cell r="K7" t="str">
            <v>Open</v>
          </cell>
          <cell r="L7" t="str">
            <v>Open</v>
          </cell>
          <cell r="M7" t="str">
            <v>Open</v>
          </cell>
          <cell r="N7">
            <v>40909</v>
          </cell>
          <cell r="O7">
            <v>40909</v>
          </cell>
          <cell r="P7" t="str">
            <v>Open</v>
          </cell>
          <cell r="Q7">
            <v>40909</v>
          </cell>
          <cell r="R7">
            <v>40909</v>
          </cell>
          <cell r="S7">
            <v>40909</v>
          </cell>
          <cell r="T7">
            <v>40909</v>
          </cell>
          <cell r="U7" t="str">
            <v>Open</v>
          </cell>
          <cell r="V7" t="str">
            <v>Open</v>
          </cell>
          <cell r="W7" t="str">
            <v>Open</v>
          </cell>
          <cell r="X7" t="str">
            <v>Open</v>
          </cell>
          <cell r="Y7" t="str">
            <v>Open</v>
          </cell>
          <cell r="Z7" t="str">
            <v>Open</v>
          </cell>
          <cell r="AA7" t="str">
            <v>Open</v>
          </cell>
          <cell r="AB7" t="str">
            <v>Open</v>
          </cell>
          <cell r="AC7" t="str">
            <v>Open</v>
          </cell>
          <cell r="AD7" t="str">
            <v>Open</v>
          </cell>
        </row>
        <row r="8">
          <cell r="B8" t="str">
            <v>Shetland</v>
          </cell>
          <cell r="C8" t="str">
            <v>Open</v>
          </cell>
          <cell r="D8" t="str">
            <v>Open</v>
          </cell>
          <cell r="E8" t="str">
            <v>Open</v>
          </cell>
          <cell r="F8" t="str">
            <v>Open</v>
          </cell>
          <cell r="G8" t="str">
            <v>Open</v>
          </cell>
          <cell r="H8" t="str">
            <v>Open</v>
          </cell>
          <cell r="I8" t="str">
            <v>Open</v>
          </cell>
          <cell r="J8" t="str">
            <v>Open</v>
          </cell>
          <cell r="K8" t="str">
            <v>Open</v>
          </cell>
          <cell r="L8" t="str">
            <v>Open</v>
          </cell>
          <cell r="M8" t="str">
            <v>Open</v>
          </cell>
          <cell r="N8" t="str">
            <v>Open</v>
          </cell>
          <cell r="O8" t="str">
            <v>Open</v>
          </cell>
          <cell r="P8" t="str">
            <v>Open</v>
          </cell>
          <cell r="Q8">
            <v>40909</v>
          </cell>
          <cell r="R8">
            <v>40909</v>
          </cell>
          <cell r="S8">
            <v>40909</v>
          </cell>
          <cell r="T8" t="str">
            <v>Open</v>
          </cell>
          <cell r="U8" t="str">
            <v>Open</v>
          </cell>
          <cell r="V8" t="str">
            <v>Open</v>
          </cell>
          <cell r="W8" t="str">
            <v>Open</v>
          </cell>
          <cell r="X8" t="str">
            <v>Open</v>
          </cell>
          <cell r="Y8" t="str">
            <v>Open</v>
          </cell>
          <cell r="Z8" t="str">
            <v>Open</v>
          </cell>
          <cell r="AA8" t="str">
            <v>Open</v>
          </cell>
          <cell r="AB8" t="str">
            <v>Open</v>
          </cell>
          <cell r="AC8" t="str">
            <v>Open</v>
          </cell>
          <cell r="AD8" t="str">
            <v>Open</v>
          </cell>
        </row>
        <row r="9">
          <cell r="B9" t="str">
            <v>Fife</v>
          </cell>
          <cell r="C9">
            <v>40909</v>
          </cell>
          <cell r="D9" t="str">
            <v>Open</v>
          </cell>
          <cell r="E9" t="str">
            <v>Open</v>
          </cell>
          <cell r="F9">
            <v>40909</v>
          </cell>
          <cell r="G9">
            <v>40909</v>
          </cell>
          <cell r="H9">
            <v>40909</v>
          </cell>
          <cell r="I9" t="str">
            <v>Open</v>
          </cell>
          <cell r="J9" t="str">
            <v>Open</v>
          </cell>
          <cell r="K9" t="str">
            <v>Open</v>
          </cell>
          <cell r="L9" t="str">
            <v>Open</v>
          </cell>
          <cell r="M9" t="str">
            <v>Open</v>
          </cell>
          <cell r="N9">
            <v>40909</v>
          </cell>
          <cell r="O9" t="str">
            <v>Open</v>
          </cell>
          <cell r="P9" t="str">
            <v>Open</v>
          </cell>
          <cell r="Q9">
            <v>40909</v>
          </cell>
          <cell r="R9">
            <v>40909</v>
          </cell>
          <cell r="S9">
            <v>40909</v>
          </cell>
          <cell r="T9">
            <v>40909</v>
          </cell>
          <cell r="U9" t="str">
            <v>Open</v>
          </cell>
          <cell r="V9" t="str">
            <v>Open</v>
          </cell>
          <cell r="W9" t="str">
            <v>Open</v>
          </cell>
          <cell r="X9" t="str">
            <v>Open</v>
          </cell>
          <cell r="Y9" t="str">
            <v>Open</v>
          </cell>
          <cell r="Z9" t="str">
            <v>Open</v>
          </cell>
          <cell r="AA9" t="str">
            <v>Open</v>
          </cell>
          <cell r="AB9" t="str">
            <v>Open</v>
          </cell>
          <cell r="AC9" t="str">
            <v>Open</v>
          </cell>
          <cell r="AD9" t="str">
            <v>Open</v>
          </cell>
        </row>
        <row r="10">
          <cell r="B10" t="str">
            <v>West Scotland</v>
          </cell>
          <cell r="C10">
            <v>40909</v>
          </cell>
          <cell r="D10" t="str">
            <v>Open</v>
          </cell>
          <cell r="E10" t="str">
            <v>Open</v>
          </cell>
          <cell r="F10">
            <v>40909</v>
          </cell>
          <cell r="G10">
            <v>40909</v>
          </cell>
          <cell r="H10">
            <v>40909</v>
          </cell>
          <cell r="I10" t="str">
            <v>Open</v>
          </cell>
          <cell r="J10" t="str">
            <v>Open</v>
          </cell>
          <cell r="K10" t="str">
            <v>Open</v>
          </cell>
          <cell r="L10" t="str">
            <v>Open</v>
          </cell>
          <cell r="M10" t="str">
            <v>Open</v>
          </cell>
          <cell r="N10">
            <v>40909</v>
          </cell>
          <cell r="O10">
            <v>40909</v>
          </cell>
          <cell r="P10" t="str">
            <v>Open</v>
          </cell>
          <cell r="Q10">
            <v>40909</v>
          </cell>
          <cell r="R10">
            <v>40909</v>
          </cell>
          <cell r="S10">
            <v>40909</v>
          </cell>
          <cell r="T10">
            <v>40909</v>
          </cell>
          <cell r="U10" t="str">
            <v>Open</v>
          </cell>
          <cell r="V10" t="str">
            <v>Open</v>
          </cell>
          <cell r="W10" t="str">
            <v>Open</v>
          </cell>
          <cell r="X10" t="str">
            <v>Open</v>
          </cell>
          <cell r="Y10" t="str">
            <v>Open</v>
          </cell>
          <cell r="Z10" t="str">
            <v>Open</v>
          </cell>
          <cell r="AA10" t="str">
            <v>Open</v>
          </cell>
          <cell r="AB10" t="str">
            <v>Open</v>
          </cell>
          <cell r="AC10" t="str">
            <v>Open</v>
          </cell>
          <cell r="AD10" t="str">
            <v>Open</v>
          </cell>
        </row>
        <row r="11">
          <cell r="B11" t="str">
            <v>Orkney</v>
          </cell>
          <cell r="C11">
            <v>40909</v>
          </cell>
          <cell r="D11">
            <v>40909</v>
          </cell>
          <cell r="E11">
            <v>40909</v>
          </cell>
          <cell r="F11">
            <v>40909</v>
          </cell>
          <cell r="G11">
            <v>40909</v>
          </cell>
          <cell r="H11">
            <v>40909</v>
          </cell>
          <cell r="I11" t="str">
            <v>Open</v>
          </cell>
          <cell r="J11" t="str">
            <v>Open</v>
          </cell>
          <cell r="K11" t="str">
            <v>Open</v>
          </cell>
          <cell r="L11" t="str">
            <v>Open</v>
          </cell>
          <cell r="M11" t="str">
            <v>Open</v>
          </cell>
          <cell r="N11">
            <v>40909</v>
          </cell>
          <cell r="O11">
            <v>40909</v>
          </cell>
          <cell r="P11" t="str">
            <v>Open</v>
          </cell>
          <cell r="Q11">
            <v>40909</v>
          </cell>
          <cell r="R11">
            <v>40909</v>
          </cell>
          <cell r="S11">
            <v>40909</v>
          </cell>
          <cell r="T11">
            <v>40909</v>
          </cell>
          <cell r="U11" t="str">
            <v>Open</v>
          </cell>
          <cell r="V11" t="str">
            <v>Open</v>
          </cell>
          <cell r="W11" t="str">
            <v>Open</v>
          </cell>
          <cell r="X11" t="str">
            <v>Open</v>
          </cell>
          <cell r="Y11" t="str">
            <v>Open</v>
          </cell>
          <cell r="Z11" t="str">
            <v>Open</v>
          </cell>
          <cell r="AA11" t="str">
            <v>Open</v>
          </cell>
          <cell r="AB11" t="str">
            <v>Open</v>
          </cell>
          <cell r="AC11" t="str">
            <v>Open</v>
          </cell>
          <cell r="AD11" t="str">
            <v>Open</v>
          </cell>
        </row>
        <row r="12">
          <cell r="B12" t="str">
            <v>Northern</v>
          </cell>
          <cell r="C12">
            <v>40909</v>
          </cell>
          <cell r="D12">
            <v>40909</v>
          </cell>
          <cell r="E12" t="str">
            <v>Open</v>
          </cell>
          <cell r="F12">
            <v>40909</v>
          </cell>
          <cell r="G12">
            <v>40909</v>
          </cell>
          <cell r="H12">
            <v>40909</v>
          </cell>
          <cell r="I12" t="str">
            <v>Open</v>
          </cell>
          <cell r="J12" t="str">
            <v>Open</v>
          </cell>
          <cell r="K12" t="str">
            <v>Open</v>
          </cell>
          <cell r="L12" t="str">
            <v>Open</v>
          </cell>
          <cell r="M12" t="str">
            <v>Open</v>
          </cell>
          <cell r="N12">
            <v>40909</v>
          </cell>
          <cell r="O12">
            <v>40909</v>
          </cell>
          <cell r="P12" t="str">
            <v>Open</v>
          </cell>
          <cell r="Q12">
            <v>40909</v>
          </cell>
          <cell r="R12">
            <v>40909</v>
          </cell>
          <cell r="S12">
            <v>40909</v>
          </cell>
          <cell r="T12">
            <v>40909</v>
          </cell>
          <cell r="U12" t="str">
            <v>Open</v>
          </cell>
          <cell r="V12" t="str">
            <v>Open</v>
          </cell>
          <cell r="W12" t="str">
            <v>Open</v>
          </cell>
          <cell r="X12" t="str">
            <v>Open</v>
          </cell>
          <cell r="Y12" t="str">
            <v>Open</v>
          </cell>
          <cell r="Z12" t="str">
            <v>Open</v>
          </cell>
          <cell r="AA12" t="str">
            <v>Open</v>
          </cell>
          <cell r="AB12" t="str">
            <v>Open</v>
          </cell>
          <cell r="AC12" t="str">
            <v>Open</v>
          </cell>
          <cell r="AD12" t="str">
            <v>Open</v>
          </cell>
        </row>
        <row r="13">
          <cell r="B13" t="str">
            <v>Klondyke</v>
          </cell>
          <cell r="C13" t="str">
            <v>Open</v>
          </cell>
          <cell r="D13" t="str">
            <v>Open</v>
          </cell>
          <cell r="E13" t="str">
            <v>Open</v>
          </cell>
          <cell r="F13" t="str">
            <v>Open</v>
          </cell>
          <cell r="G13" t="str">
            <v>Open</v>
          </cell>
          <cell r="H13" t="str">
            <v>Open</v>
          </cell>
          <cell r="I13" t="str">
            <v>Open</v>
          </cell>
          <cell r="J13" t="str">
            <v>Open</v>
          </cell>
          <cell r="K13" t="str">
            <v>Open</v>
          </cell>
          <cell r="L13" t="str">
            <v>Open</v>
          </cell>
          <cell r="M13" t="str">
            <v>Open</v>
          </cell>
          <cell r="N13" t="str">
            <v>Open</v>
          </cell>
          <cell r="O13" t="str">
            <v>Open</v>
          </cell>
          <cell r="P13" t="str">
            <v>Open</v>
          </cell>
          <cell r="Q13" t="str">
            <v>Open</v>
          </cell>
          <cell r="R13">
            <v>40909</v>
          </cell>
          <cell r="S13">
            <v>40909</v>
          </cell>
          <cell r="T13" t="str">
            <v>Open</v>
          </cell>
          <cell r="U13" t="str">
            <v>Open</v>
          </cell>
          <cell r="V13" t="str">
            <v>Open</v>
          </cell>
          <cell r="W13" t="str">
            <v>Open</v>
          </cell>
          <cell r="X13" t="str">
            <v>Open</v>
          </cell>
          <cell r="Y13" t="str">
            <v>Open</v>
          </cell>
          <cell r="Z13" t="str">
            <v>Open</v>
          </cell>
          <cell r="AA13" t="str">
            <v>Open</v>
          </cell>
          <cell r="AB13" t="str">
            <v>Open</v>
          </cell>
          <cell r="AC13" t="str">
            <v>Open</v>
          </cell>
          <cell r="AD13" t="str">
            <v>Open</v>
          </cell>
        </row>
        <row r="14">
          <cell r="B14" t="str">
            <v>Lunar</v>
          </cell>
          <cell r="C14" t="str">
            <v>Open</v>
          </cell>
          <cell r="D14" t="str">
            <v>Open</v>
          </cell>
          <cell r="E14" t="str">
            <v>Open</v>
          </cell>
          <cell r="F14" t="str">
            <v>Open</v>
          </cell>
          <cell r="G14" t="str">
            <v>Open</v>
          </cell>
          <cell r="H14" t="str">
            <v>Open</v>
          </cell>
          <cell r="I14" t="str">
            <v>Open</v>
          </cell>
          <cell r="J14" t="str">
            <v>Open</v>
          </cell>
          <cell r="K14" t="str">
            <v>Open</v>
          </cell>
          <cell r="L14" t="str">
            <v>Open</v>
          </cell>
          <cell r="M14" t="str">
            <v>Open</v>
          </cell>
          <cell r="N14" t="str">
            <v>Open</v>
          </cell>
          <cell r="O14" t="str">
            <v>Open</v>
          </cell>
          <cell r="P14" t="str">
            <v>Open</v>
          </cell>
          <cell r="Q14" t="str">
            <v>Open</v>
          </cell>
          <cell r="R14">
            <v>40909</v>
          </cell>
          <cell r="S14">
            <v>40909</v>
          </cell>
          <cell r="T14" t="str">
            <v>Open</v>
          </cell>
          <cell r="U14" t="str">
            <v>Open</v>
          </cell>
          <cell r="V14" t="str">
            <v>Open</v>
          </cell>
          <cell r="W14" t="str">
            <v>Open</v>
          </cell>
          <cell r="X14" t="str">
            <v>Open</v>
          </cell>
          <cell r="Y14" t="str">
            <v>Open</v>
          </cell>
          <cell r="Z14" t="str">
            <v>Open</v>
          </cell>
          <cell r="AA14" t="str">
            <v>Open</v>
          </cell>
          <cell r="AB14" t="str">
            <v>Open</v>
          </cell>
          <cell r="AC14" t="str">
            <v>Open</v>
          </cell>
          <cell r="AD14" t="str">
            <v>Open</v>
          </cell>
        </row>
        <row r="15">
          <cell r="B15" t="str">
            <v>Anglo Scot.</v>
          </cell>
          <cell r="C15" t="str">
            <v>Open</v>
          </cell>
          <cell r="D15">
            <v>40909</v>
          </cell>
          <cell r="E15" t="str">
            <v>Open</v>
          </cell>
          <cell r="F15">
            <v>40909</v>
          </cell>
          <cell r="G15" t="str">
            <v>Open</v>
          </cell>
          <cell r="H15" t="str">
            <v>Open</v>
          </cell>
          <cell r="I15" t="str">
            <v>Open</v>
          </cell>
          <cell r="J15" t="str">
            <v>Open</v>
          </cell>
          <cell r="K15" t="str">
            <v>Open</v>
          </cell>
          <cell r="L15" t="str">
            <v>Open</v>
          </cell>
          <cell r="M15" t="str">
            <v>Open</v>
          </cell>
          <cell r="N15" t="str">
            <v>Open</v>
          </cell>
          <cell r="O15" t="str">
            <v>Open</v>
          </cell>
          <cell r="P15" t="str">
            <v>Open</v>
          </cell>
          <cell r="Q15" t="str">
            <v>Open</v>
          </cell>
          <cell r="R15">
            <v>40909</v>
          </cell>
          <cell r="S15">
            <v>40909</v>
          </cell>
          <cell r="T15">
            <v>40909</v>
          </cell>
          <cell r="U15" t="str">
            <v>Open</v>
          </cell>
          <cell r="V15" t="str">
            <v>Open</v>
          </cell>
          <cell r="W15" t="str">
            <v>Open</v>
          </cell>
          <cell r="X15" t="str">
            <v>Open</v>
          </cell>
          <cell r="Y15" t="str">
            <v>Open</v>
          </cell>
          <cell r="Z15" t="str">
            <v>Open</v>
          </cell>
          <cell r="AA15" t="str">
            <v>Open</v>
          </cell>
          <cell r="AB15" t="str">
            <v>Open</v>
          </cell>
          <cell r="AC15" t="str">
            <v>Open</v>
          </cell>
          <cell r="AD15" t="str">
            <v>Open</v>
          </cell>
        </row>
        <row r="16">
          <cell r="B16" t="str">
            <v>EEFPO</v>
          </cell>
          <cell r="C16" t="str">
            <v>Open</v>
          </cell>
          <cell r="D16" t="str">
            <v>Open</v>
          </cell>
          <cell r="E16" t="str">
            <v>Open</v>
          </cell>
          <cell r="F16" t="str">
            <v>Open</v>
          </cell>
          <cell r="G16" t="str">
            <v>Open</v>
          </cell>
          <cell r="H16" t="str">
            <v>Open</v>
          </cell>
          <cell r="I16" t="str">
            <v>Open</v>
          </cell>
          <cell r="J16" t="str">
            <v>Open</v>
          </cell>
          <cell r="K16" t="str">
            <v>Open</v>
          </cell>
          <cell r="L16" t="str">
            <v>Open</v>
          </cell>
          <cell r="M16" t="str">
            <v>Open</v>
          </cell>
          <cell r="N16" t="str">
            <v>Open</v>
          </cell>
          <cell r="O16" t="str">
            <v>Open</v>
          </cell>
          <cell r="P16" t="str">
            <v>Open</v>
          </cell>
          <cell r="Q16" t="str">
            <v>Open</v>
          </cell>
          <cell r="R16">
            <v>40909</v>
          </cell>
          <cell r="S16">
            <v>40909</v>
          </cell>
          <cell r="T16" t="str">
            <v>Open</v>
          </cell>
          <cell r="U16" t="str">
            <v>Open</v>
          </cell>
          <cell r="V16" t="str">
            <v>Open</v>
          </cell>
          <cell r="W16" t="str">
            <v>Open</v>
          </cell>
          <cell r="X16" t="str">
            <v>Open</v>
          </cell>
          <cell r="Y16" t="str">
            <v>Open</v>
          </cell>
          <cell r="Z16" t="str">
            <v>Open</v>
          </cell>
          <cell r="AA16" t="str">
            <v>Open</v>
          </cell>
          <cell r="AB16" t="str">
            <v>Open</v>
          </cell>
          <cell r="AC16" t="str">
            <v>Open</v>
          </cell>
          <cell r="AD16" t="str">
            <v>Open</v>
          </cell>
        </row>
        <row r="17">
          <cell r="B17" t="str">
            <v>Western PO</v>
          </cell>
          <cell r="C17" t="str">
            <v>Open</v>
          </cell>
          <cell r="D17">
            <v>40909</v>
          </cell>
          <cell r="E17">
            <v>40909</v>
          </cell>
          <cell r="F17">
            <v>40909</v>
          </cell>
          <cell r="G17" t="str">
            <v>Open</v>
          </cell>
          <cell r="H17" t="str">
            <v>Open</v>
          </cell>
          <cell r="I17" t="str">
            <v>Open</v>
          </cell>
          <cell r="J17" t="str">
            <v>Open</v>
          </cell>
          <cell r="K17" t="str">
            <v>Open</v>
          </cell>
          <cell r="L17" t="str">
            <v>Open</v>
          </cell>
          <cell r="M17" t="str">
            <v>Open</v>
          </cell>
          <cell r="N17">
            <v>40909</v>
          </cell>
          <cell r="O17" t="str">
            <v>Open</v>
          </cell>
          <cell r="P17" t="str">
            <v>Open</v>
          </cell>
          <cell r="Q17">
            <v>40909</v>
          </cell>
          <cell r="R17">
            <v>40909</v>
          </cell>
          <cell r="S17">
            <v>40909</v>
          </cell>
          <cell r="T17">
            <v>40909</v>
          </cell>
          <cell r="U17" t="str">
            <v>Open</v>
          </cell>
          <cell r="V17" t="str">
            <v>Open</v>
          </cell>
          <cell r="W17" t="str">
            <v>Open</v>
          </cell>
          <cell r="X17" t="str">
            <v>Open</v>
          </cell>
          <cell r="Y17" t="str">
            <v>Open</v>
          </cell>
          <cell r="Z17" t="str">
            <v>Open</v>
          </cell>
          <cell r="AA17" t="str">
            <v>Open</v>
          </cell>
          <cell r="AB17" t="str">
            <v>Open</v>
          </cell>
          <cell r="AC17" t="str">
            <v>Open</v>
          </cell>
          <cell r="AD17" t="str">
            <v>Open</v>
          </cell>
        </row>
        <row r="18">
          <cell r="B18" t="str">
            <v>FPO</v>
          </cell>
          <cell r="C18" t="str">
            <v>Open</v>
          </cell>
          <cell r="D18" t="str">
            <v>Open</v>
          </cell>
          <cell r="E18" t="str">
            <v>Open</v>
          </cell>
          <cell r="F18" t="str">
            <v>Open</v>
          </cell>
          <cell r="G18" t="str">
            <v>Open</v>
          </cell>
          <cell r="H18" t="str">
            <v>Open</v>
          </cell>
          <cell r="I18" t="str">
            <v>Open</v>
          </cell>
          <cell r="J18" t="str">
            <v>Open</v>
          </cell>
          <cell r="K18" t="str">
            <v>Open</v>
          </cell>
          <cell r="L18" t="str">
            <v>Open</v>
          </cell>
          <cell r="M18" t="str">
            <v>Open</v>
          </cell>
          <cell r="N18" t="str">
            <v>Open</v>
          </cell>
          <cell r="O18" t="str">
            <v>Open</v>
          </cell>
          <cell r="P18" t="str">
            <v>Open</v>
          </cell>
          <cell r="Q18">
            <v>40909</v>
          </cell>
          <cell r="R18">
            <v>40909</v>
          </cell>
          <cell r="S18">
            <v>40909</v>
          </cell>
          <cell r="T18">
            <v>40909</v>
          </cell>
          <cell r="U18" t="str">
            <v>Open</v>
          </cell>
          <cell r="V18" t="str">
            <v>Open</v>
          </cell>
          <cell r="W18" t="str">
            <v>Open</v>
          </cell>
          <cell r="X18" t="str">
            <v>Open</v>
          </cell>
          <cell r="Y18" t="str">
            <v>Open</v>
          </cell>
          <cell r="Z18" t="str">
            <v>Open</v>
          </cell>
          <cell r="AA18" t="str">
            <v>Open</v>
          </cell>
          <cell r="AB18" t="str">
            <v>Open</v>
          </cell>
          <cell r="AC18" t="str">
            <v>Open</v>
          </cell>
          <cell r="AD18" t="str">
            <v>Open</v>
          </cell>
        </row>
        <row r="19">
          <cell r="B19" t="str">
            <v>NIFPO</v>
          </cell>
          <cell r="C19" t="str">
            <v>Open</v>
          </cell>
          <cell r="D19" t="str">
            <v>Open</v>
          </cell>
          <cell r="E19" t="str">
            <v>Open</v>
          </cell>
          <cell r="F19" t="str">
            <v>Open</v>
          </cell>
          <cell r="G19" t="str">
            <v>Open</v>
          </cell>
          <cell r="H19" t="str">
            <v>Open</v>
          </cell>
          <cell r="I19" t="str">
            <v>Open</v>
          </cell>
          <cell r="J19" t="str">
            <v>Open</v>
          </cell>
          <cell r="K19" t="str">
            <v>Open</v>
          </cell>
          <cell r="L19" t="str">
            <v>Open</v>
          </cell>
          <cell r="M19" t="str">
            <v>Open</v>
          </cell>
          <cell r="N19" t="str">
            <v>Open</v>
          </cell>
          <cell r="O19" t="str">
            <v>Open</v>
          </cell>
          <cell r="P19" t="str">
            <v>Open</v>
          </cell>
          <cell r="Q19" t="str">
            <v>Open</v>
          </cell>
          <cell r="R19">
            <v>40909</v>
          </cell>
          <cell r="S19">
            <v>40909</v>
          </cell>
          <cell r="T19">
            <v>40909</v>
          </cell>
          <cell r="U19" t="str">
            <v>Open</v>
          </cell>
          <cell r="V19" t="str">
            <v>Open</v>
          </cell>
          <cell r="W19" t="str">
            <v>Open</v>
          </cell>
          <cell r="X19" t="str">
            <v>Open</v>
          </cell>
          <cell r="Y19" t="str">
            <v>Open</v>
          </cell>
          <cell r="Z19" t="str">
            <v>Open</v>
          </cell>
          <cell r="AA19" t="str">
            <v>Open</v>
          </cell>
          <cell r="AB19" t="str">
            <v>Open</v>
          </cell>
          <cell r="AC19" t="str">
            <v>Open</v>
          </cell>
          <cell r="AD19" t="str">
            <v>Open</v>
          </cell>
        </row>
        <row r="20">
          <cell r="B20" t="str">
            <v>ANIFPO</v>
          </cell>
          <cell r="C20" t="str">
            <v>Open</v>
          </cell>
          <cell r="D20" t="str">
            <v>Open</v>
          </cell>
          <cell r="E20" t="str">
            <v>Open</v>
          </cell>
          <cell r="F20" t="str">
            <v>Open</v>
          </cell>
          <cell r="G20" t="str">
            <v>Open</v>
          </cell>
          <cell r="H20" t="str">
            <v>Open</v>
          </cell>
          <cell r="I20" t="str">
            <v>Open</v>
          </cell>
          <cell r="J20" t="str">
            <v>Open</v>
          </cell>
          <cell r="K20" t="str">
            <v>Open</v>
          </cell>
          <cell r="L20" t="str">
            <v>Open</v>
          </cell>
          <cell r="M20" t="str">
            <v>Open</v>
          </cell>
          <cell r="N20" t="str">
            <v>Open</v>
          </cell>
          <cell r="O20" t="str">
            <v>Open</v>
          </cell>
          <cell r="P20" t="str">
            <v>Open</v>
          </cell>
          <cell r="Q20" t="str">
            <v>Open</v>
          </cell>
          <cell r="R20">
            <v>40909</v>
          </cell>
          <cell r="S20">
            <v>40909</v>
          </cell>
          <cell r="T20" t="str">
            <v>Open</v>
          </cell>
          <cell r="U20" t="str">
            <v>Open</v>
          </cell>
          <cell r="V20" t="str">
            <v>Open</v>
          </cell>
          <cell r="W20" t="str">
            <v>Open</v>
          </cell>
          <cell r="X20" t="str">
            <v>Open</v>
          </cell>
          <cell r="Y20" t="str">
            <v>Open</v>
          </cell>
          <cell r="Z20" t="str">
            <v>Open</v>
          </cell>
          <cell r="AA20" t="str">
            <v>Open</v>
          </cell>
          <cell r="AB20" t="str">
            <v>Open</v>
          </cell>
          <cell r="AC20" t="str">
            <v>Open</v>
          </cell>
          <cell r="AD20" t="str">
            <v>Open</v>
          </cell>
        </row>
        <row r="21">
          <cell r="B21" t="str">
            <v>Cornish</v>
          </cell>
          <cell r="C21" t="str">
            <v>Open</v>
          </cell>
          <cell r="D21" t="str">
            <v>Open</v>
          </cell>
          <cell r="E21" t="str">
            <v>Open</v>
          </cell>
          <cell r="F21" t="str">
            <v>Open</v>
          </cell>
          <cell r="G21" t="str">
            <v>Open</v>
          </cell>
          <cell r="H21" t="str">
            <v>Open</v>
          </cell>
          <cell r="I21" t="str">
            <v>Open</v>
          </cell>
          <cell r="J21" t="str">
            <v>Open</v>
          </cell>
          <cell r="K21" t="str">
            <v>Open</v>
          </cell>
          <cell r="L21" t="str">
            <v>Open</v>
          </cell>
          <cell r="M21" t="str">
            <v>Open</v>
          </cell>
          <cell r="N21" t="str">
            <v>Open</v>
          </cell>
          <cell r="O21" t="str">
            <v>Open</v>
          </cell>
          <cell r="P21" t="str">
            <v>Open</v>
          </cell>
          <cell r="Q21" t="str">
            <v>Open</v>
          </cell>
          <cell r="R21">
            <v>40909</v>
          </cell>
          <cell r="S21">
            <v>40909</v>
          </cell>
          <cell r="T21" t="str">
            <v>Open</v>
          </cell>
          <cell r="U21" t="str">
            <v>Open</v>
          </cell>
          <cell r="V21" t="str">
            <v>Open</v>
          </cell>
          <cell r="W21" t="str">
            <v>Open</v>
          </cell>
          <cell r="X21" t="str">
            <v>Open</v>
          </cell>
          <cell r="Y21" t="str">
            <v>Open</v>
          </cell>
          <cell r="Z21" t="str">
            <v>Open</v>
          </cell>
          <cell r="AA21" t="str">
            <v>Open</v>
          </cell>
          <cell r="AB21" t="str">
            <v>Open</v>
          </cell>
          <cell r="AC21" t="str">
            <v>Open</v>
          </cell>
          <cell r="AD21" t="str">
            <v>Open</v>
          </cell>
        </row>
        <row r="22">
          <cell r="B22" t="str">
            <v>South West</v>
          </cell>
          <cell r="C22" t="str">
            <v>Open</v>
          </cell>
          <cell r="D22" t="str">
            <v>Open</v>
          </cell>
          <cell r="E22" t="str">
            <v>Open</v>
          </cell>
          <cell r="F22" t="str">
            <v>Open</v>
          </cell>
          <cell r="G22" t="str">
            <v>Open</v>
          </cell>
          <cell r="H22" t="str">
            <v>Open</v>
          </cell>
          <cell r="I22" t="str">
            <v>Open</v>
          </cell>
          <cell r="J22" t="str">
            <v>Open</v>
          </cell>
          <cell r="K22" t="str">
            <v>Open</v>
          </cell>
          <cell r="L22" t="str">
            <v>Open</v>
          </cell>
          <cell r="M22" t="str">
            <v>Open</v>
          </cell>
          <cell r="N22" t="str">
            <v>Open</v>
          </cell>
          <cell r="O22" t="str">
            <v>Open</v>
          </cell>
          <cell r="P22" t="str">
            <v>Open</v>
          </cell>
          <cell r="Q22">
            <v>40909</v>
          </cell>
          <cell r="R22">
            <v>40909</v>
          </cell>
          <cell r="S22">
            <v>40909</v>
          </cell>
          <cell r="T22" t="str">
            <v>Open</v>
          </cell>
          <cell r="U22" t="str">
            <v>Open</v>
          </cell>
          <cell r="V22" t="str">
            <v>Open</v>
          </cell>
          <cell r="W22" t="str">
            <v>Open</v>
          </cell>
          <cell r="X22" t="str">
            <v>Open</v>
          </cell>
          <cell r="Y22" t="str">
            <v>Open</v>
          </cell>
          <cell r="Z22" t="str">
            <v>Open</v>
          </cell>
          <cell r="AA22" t="str">
            <v>Open</v>
          </cell>
          <cell r="AB22" t="str">
            <v>Open</v>
          </cell>
          <cell r="AC22" t="str">
            <v>Open</v>
          </cell>
          <cell r="AD22" t="str">
            <v>Open</v>
          </cell>
        </row>
        <row r="23">
          <cell r="B23" t="str">
            <v>North Sea</v>
          </cell>
          <cell r="C23" t="str">
            <v>Open</v>
          </cell>
          <cell r="D23" t="str">
            <v>Open</v>
          </cell>
          <cell r="E23" t="str">
            <v>Open</v>
          </cell>
          <cell r="F23" t="str">
            <v>Open</v>
          </cell>
          <cell r="G23" t="str">
            <v>Open</v>
          </cell>
          <cell r="H23" t="str">
            <v>Open</v>
          </cell>
          <cell r="I23" t="str">
            <v>Open</v>
          </cell>
          <cell r="J23" t="str">
            <v>Open</v>
          </cell>
          <cell r="K23" t="str">
            <v>Open</v>
          </cell>
          <cell r="L23" t="str">
            <v>Open</v>
          </cell>
          <cell r="M23" t="str">
            <v>Open</v>
          </cell>
          <cell r="N23" t="str">
            <v>Open</v>
          </cell>
          <cell r="O23" t="str">
            <v>Open</v>
          </cell>
          <cell r="P23" t="str">
            <v>Open</v>
          </cell>
          <cell r="Q23">
            <v>40909</v>
          </cell>
          <cell r="R23">
            <v>40909</v>
          </cell>
          <cell r="S23">
            <v>40909</v>
          </cell>
          <cell r="T23" t="str">
            <v>Open</v>
          </cell>
          <cell r="U23" t="str">
            <v>Open</v>
          </cell>
          <cell r="V23" t="str">
            <v>Open</v>
          </cell>
          <cell r="W23" t="str">
            <v>Open</v>
          </cell>
          <cell r="X23" t="str">
            <v>Open</v>
          </cell>
          <cell r="Y23" t="str">
            <v>Open</v>
          </cell>
          <cell r="Z23" t="str">
            <v>Open</v>
          </cell>
          <cell r="AA23" t="str">
            <v>Open</v>
          </cell>
          <cell r="AB23" t="str">
            <v>Open</v>
          </cell>
          <cell r="AC23" t="str">
            <v>Open</v>
          </cell>
          <cell r="AD23" t="str">
            <v>Open</v>
          </cell>
        </row>
        <row r="24">
          <cell r="B24" t="str">
            <v>Lowestoft</v>
          </cell>
          <cell r="C24" t="str">
            <v>Open</v>
          </cell>
          <cell r="D24" t="str">
            <v>Open</v>
          </cell>
          <cell r="E24" t="str">
            <v>Open</v>
          </cell>
          <cell r="F24" t="str">
            <v>Open</v>
          </cell>
          <cell r="G24" t="str">
            <v>Open</v>
          </cell>
          <cell r="H24" t="str">
            <v>Open</v>
          </cell>
          <cell r="I24" t="str">
            <v>Open</v>
          </cell>
          <cell r="J24" t="str">
            <v>Open</v>
          </cell>
          <cell r="K24" t="str">
            <v>Open</v>
          </cell>
          <cell r="L24" t="str">
            <v>Open</v>
          </cell>
          <cell r="M24" t="str">
            <v>Open</v>
          </cell>
          <cell r="N24" t="str">
            <v>Open</v>
          </cell>
          <cell r="O24" t="str">
            <v>Open</v>
          </cell>
          <cell r="P24" t="str">
            <v>Open</v>
          </cell>
          <cell r="Q24">
            <v>40909</v>
          </cell>
          <cell r="R24">
            <v>40909</v>
          </cell>
          <cell r="S24">
            <v>40909</v>
          </cell>
          <cell r="T24" t="str">
            <v>Open</v>
          </cell>
          <cell r="U24" t="str">
            <v>Open</v>
          </cell>
          <cell r="V24" t="str">
            <v>Open</v>
          </cell>
          <cell r="W24" t="str">
            <v>Open</v>
          </cell>
          <cell r="X24" t="str">
            <v>Open</v>
          </cell>
          <cell r="Y24" t="str">
            <v>Open</v>
          </cell>
          <cell r="Z24" t="str">
            <v>Open</v>
          </cell>
          <cell r="AA24" t="str">
            <v>Open</v>
          </cell>
          <cell r="AB24" t="str">
            <v>Open</v>
          </cell>
          <cell r="AC24" t="str">
            <v>Open</v>
          </cell>
          <cell r="AD24" t="str">
            <v>Open</v>
          </cell>
        </row>
        <row r="25">
          <cell r="B25" t="str">
            <v>Wales WC</v>
          </cell>
          <cell r="C25">
            <v>40909</v>
          </cell>
          <cell r="D25">
            <v>40909</v>
          </cell>
          <cell r="E25" t="str">
            <v>Open</v>
          </cell>
          <cell r="F25">
            <v>40909</v>
          </cell>
          <cell r="G25">
            <v>40909</v>
          </cell>
          <cell r="H25">
            <v>40909</v>
          </cell>
          <cell r="I25" t="str">
            <v>Open</v>
          </cell>
          <cell r="J25" t="str">
            <v>Open</v>
          </cell>
          <cell r="K25" t="str">
            <v>Open</v>
          </cell>
          <cell r="L25" t="str">
            <v>Open</v>
          </cell>
          <cell r="M25" t="str">
            <v>Open</v>
          </cell>
          <cell r="N25">
            <v>40909</v>
          </cell>
          <cell r="O25" t="str">
            <v>Open</v>
          </cell>
          <cell r="P25" t="str">
            <v>Open</v>
          </cell>
          <cell r="Q25">
            <v>40909</v>
          </cell>
          <cell r="R25">
            <v>40909</v>
          </cell>
          <cell r="S25">
            <v>40909</v>
          </cell>
          <cell r="T25">
            <v>40909</v>
          </cell>
          <cell r="U25" t="str">
            <v>Open</v>
          </cell>
          <cell r="V25" t="str">
            <v>Open</v>
          </cell>
          <cell r="W25" t="str">
            <v>Open</v>
          </cell>
          <cell r="X25" t="str">
            <v>Open</v>
          </cell>
          <cell r="Y25" t="str">
            <v>Open</v>
          </cell>
          <cell r="Z25" t="str">
            <v>Open</v>
          </cell>
          <cell r="AA25" t="str">
            <v>Open</v>
          </cell>
          <cell r="AB25" t="str">
            <v>Open</v>
          </cell>
          <cell r="AC25" t="str">
            <v>Open</v>
          </cell>
          <cell r="AD25" t="str">
            <v>Open</v>
          </cell>
        </row>
        <row r="26">
          <cell r="B26" t="str">
            <v>Interfish</v>
          </cell>
          <cell r="C26" t="str">
            <v>Open</v>
          </cell>
          <cell r="D26" t="str">
            <v>Open</v>
          </cell>
          <cell r="E26" t="str">
            <v>Open</v>
          </cell>
          <cell r="F26" t="str">
            <v>Open</v>
          </cell>
          <cell r="G26" t="str">
            <v>Open</v>
          </cell>
          <cell r="H26" t="str">
            <v>Open</v>
          </cell>
          <cell r="I26" t="str">
            <v>Open</v>
          </cell>
          <cell r="J26" t="str">
            <v>Open</v>
          </cell>
          <cell r="K26" t="str">
            <v>Open</v>
          </cell>
          <cell r="L26" t="str">
            <v>Open</v>
          </cell>
          <cell r="M26" t="str">
            <v>Open</v>
          </cell>
          <cell r="N26" t="str">
            <v>Open</v>
          </cell>
          <cell r="O26" t="str">
            <v>Open</v>
          </cell>
          <cell r="P26" t="str">
            <v>Open</v>
          </cell>
          <cell r="Q26" t="str">
            <v>Open</v>
          </cell>
          <cell r="R26">
            <v>40909</v>
          </cell>
          <cell r="S26">
            <v>40909</v>
          </cell>
          <cell r="T26" t="str">
            <v>Open</v>
          </cell>
          <cell r="U26" t="str">
            <v>Open</v>
          </cell>
          <cell r="V26" t="str">
            <v>Open</v>
          </cell>
          <cell r="W26" t="str">
            <v>Open</v>
          </cell>
          <cell r="X26" t="str">
            <v>Open</v>
          </cell>
          <cell r="Y26" t="str">
            <v>Open</v>
          </cell>
          <cell r="Z26" t="str">
            <v>Open</v>
          </cell>
          <cell r="AA26" t="str">
            <v>Open</v>
          </cell>
          <cell r="AB26" t="str">
            <v>Open</v>
          </cell>
          <cell r="AC26" t="str">
            <v>Open</v>
          </cell>
          <cell r="AD26" t="str">
            <v>Open</v>
          </cell>
        </row>
        <row r="27">
          <cell r="B27" t="str">
            <v>North Atlantic FPO</v>
          </cell>
          <cell r="C27" t="str">
            <v>Open</v>
          </cell>
          <cell r="D27" t="str">
            <v>Open</v>
          </cell>
          <cell r="E27" t="str">
            <v>Open</v>
          </cell>
          <cell r="F27" t="str">
            <v>Open</v>
          </cell>
          <cell r="G27" t="str">
            <v>Open</v>
          </cell>
          <cell r="H27" t="str">
            <v>Open</v>
          </cell>
          <cell r="I27" t="str">
            <v>Open</v>
          </cell>
          <cell r="J27" t="str">
            <v>Open</v>
          </cell>
          <cell r="K27" t="str">
            <v>Open</v>
          </cell>
          <cell r="L27" t="str">
            <v>Open</v>
          </cell>
          <cell r="M27" t="str">
            <v>Open</v>
          </cell>
          <cell r="N27" t="str">
            <v>Open</v>
          </cell>
          <cell r="O27" t="str">
            <v>Open</v>
          </cell>
          <cell r="P27" t="str">
            <v>Open</v>
          </cell>
          <cell r="Q27">
            <v>40909</v>
          </cell>
          <cell r="R27">
            <v>40909</v>
          </cell>
          <cell r="S27">
            <v>40909</v>
          </cell>
          <cell r="T27">
            <v>40909</v>
          </cell>
          <cell r="U27" t="str">
            <v>Open</v>
          </cell>
          <cell r="V27" t="str">
            <v>Open</v>
          </cell>
          <cell r="W27" t="str">
            <v>Open</v>
          </cell>
          <cell r="X27" t="str">
            <v>Open</v>
          </cell>
          <cell r="Y27" t="str">
            <v>Open</v>
          </cell>
          <cell r="Z27" t="str">
            <v>Open</v>
          </cell>
          <cell r="AA27" t="str">
            <v>Open</v>
          </cell>
          <cell r="AB27" t="str">
            <v>Open</v>
          </cell>
          <cell r="AC27" t="str">
            <v>Open</v>
          </cell>
          <cell r="AD27" t="str">
            <v>Open</v>
          </cell>
        </row>
        <row r="28">
          <cell r="B28" t="str">
            <v>Non Sector</v>
          </cell>
          <cell r="C28">
            <v>40909</v>
          </cell>
          <cell r="D28" t="str">
            <v>Open</v>
          </cell>
          <cell r="E28" t="str">
            <v>Open</v>
          </cell>
          <cell r="F28">
            <v>40909</v>
          </cell>
          <cell r="G28">
            <v>40909</v>
          </cell>
          <cell r="H28">
            <v>40909</v>
          </cell>
          <cell r="I28" t="str">
            <v>Open</v>
          </cell>
          <cell r="J28" t="str">
            <v>Open</v>
          </cell>
          <cell r="K28" t="str">
            <v>Open</v>
          </cell>
          <cell r="L28" t="str">
            <v>Open</v>
          </cell>
          <cell r="M28" t="str">
            <v>Open</v>
          </cell>
          <cell r="N28">
            <v>40909</v>
          </cell>
          <cell r="O28" t="str">
            <v>Open</v>
          </cell>
          <cell r="P28" t="str">
            <v>Open</v>
          </cell>
          <cell r="Q28">
            <v>40909</v>
          </cell>
          <cell r="R28">
            <v>40909</v>
          </cell>
          <cell r="S28">
            <v>40909</v>
          </cell>
          <cell r="T28">
            <v>40909</v>
          </cell>
          <cell r="U28" t="str">
            <v>Open</v>
          </cell>
          <cell r="V28" t="str">
            <v>Open</v>
          </cell>
          <cell r="W28" t="str">
            <v>Open</v>
          </cell>
          <cell r="X28" t="str">
            <v>Open</v>
          </cell>
          <cell r="Y28" t="str">
            <v>Open</v>
          </cell>
          <cell r="Z28" t="str">
            <v>Open</v>
          </cell>
          <cell r="AA28" t="str">
            <v>Open</v>
          </cell>
          <cell r="AB28" t="str">
            <v>Open</v>
          </cell>
          <cell r="AC28" t="str">
            <v>Open</v>
          </cell>
          <cell r="AD28" t="str">
            <v>Open</v>
          </cell>
        </row>
        <row r="29">
          <cell r="B29" t="str">
            <v>Non Sector - England</v>
          </cell>
          <cell r="C29">
            <v>40909</v>
          </cell>
          <cell r="D29" t="str">
            <v>Open</v>
          </cell>
          <cell r="E29" t="str">
            <v>Open</v>
          </cell>
          <cell r="F29">
            <v>40909</v>
          </cell>
          <cell r="G29">
            <v>40909</v>
          </cell>
          <cell r="H29">
            <v>40909</v>
          </cell>
          <cell r="I29" t="str">
            <v>Open</v>
          </cell>
          <cell r="J29" t="str">
            <v>Open</v>
          </cell>
          <cell r="K29" t="str">
            <v>Open</v>
          </cell>
          <cell r="L29" t="str">
            <v>Open</v>
          </cell>
          <cell r="M29" t="str">
            <v>Open</v>
          </cell>
          <cell r="N29">
            <v>40909</v>
          </cell>
          <cell r="O29" t="str">
            <v>Open</v>
          </cell>
          <cell r="P29" t="str">
            <v>Open</v>
          </cell>
          <cell r="Q29">
            <v>40909</v>
          </cell>
          <cell r="R29">
            <v>40909</v>
          </cell>
          <cell r="S29">
            <v>40909</v>
          </cell>
          <cell r="T29">
            <v>40909</v>
          </cell>
          <cell r="U29" t="str">
            <v>Open</v>
          </cell>
          <cell r="V29" t="str">
            <v>Open</v>
          </cell>
          <cell r="W29" t="str">
            <v>Open</v>
          </cell>
          <cell r="X29" t="str">
            <v>Open</v>
          </cell>
          <cell r="Y29" t="str">
            <v>Open</v>
          </cell>
          <cell r="Z29" t="str">
            <v>Open</v>
          </cell>
          <cell r="AA29" t="str">
            <v>Open</v>
          </cell>
          <cell r="AB29" t="str">
            <v>Open</v>
          </cell>
          <cell r="AC29" t="str">
            <v>Open</v>
          </cell>
          <cell r="AD29" t="str">
            <v>Open</v>
          </cell>
        </row>
        <row r="30">
          <cell r="B30" t="str">
            <v>Non Sector - Wales</v>
          </cell>
          <cell r="C30">
            <v>40909</v>
          </cell>
          <cell r="D30" t="str">
            <v>Open</v>
          </cell>
          <cell r="E30" t="str">
            <v>Open</v>
          </cell>
          <cell r="F30">
            <v>40909</v>
          </cell>
          <cell r="G30">
            <v>40909</v>
          </cell>
          <cell r="H30">
            <v>40909</v>
          </cell>
          <cell r="I30" t="str">
            <v>Open</v>
          </cell>
          <cell r="J30" t="str">
            <v>Open</v>
          </cell>
          <cell r="K30" t="str">
            <v>Open</v>
          </cell>
          <cell r="L30" t="str">
            <v>Open</v>
          </cell>
          <cell r="M30" t="str">
            <v>Open</v>
          </cell>
          <cell r="N30">
            <v>40909</v>
          </cell>
          <cell r="O30" t="str">
            <v>Open</v>
          </cell>
          <cell r="P30" t="str">
            <v>Open</v>
          </cell>
          <cell r="Q30">
            <v>40909</v>
          </cell>
          <cell r="R30">
            <v>40909</v>
          </cell>
          <cell r="S30">
            <v>40909</v>
          </cell>
          <cell r="T30">
            <v>40909</v>
          </cell>
          <cell r="U30" t="str">
            <v>Open</v>
          </cell>
          <cell r="V30" t="str">
            <v>Open</v>
          </cell>
          <cell r="W30" t="str">
            <v>Open</v>
          </cell>
          <cell r="X30" t="str">
            <v>Open</v>
          </cell>
          <cell r="Y30" t="str">
            <v>Open</v>
          </cell>
          <cell r="Z30" t="str">
            <v>Open</v>
          </cell>
          <cell r="AA30" t="str">
            <v>Open</v>
          </cell>
          <cell r="AB30" t="str">
            <v>Open</v>
          </cell>
          <cell r="AC30" t="str">
            <v>Open</v>
          </cell>
          <cell r="AD30" t="str">
            <v>Open</v>
          </cell>
        </row>
        <row r="31">
          <cell r="B31" t="str">
            <v>Non Sector - Scotland</v>
          </cell>
          <cell r="C31">
            <v>40909</v>
          </cell>
          <cell r="D31" t="str">
            <v>Open</v>
          </cell>
          <cell r="E31">
            <v>41275</v>
          </cell>
          <cell r="F31">
            <v>40909</v>
          </cell>
          <cell r="G31">
            <v>40909</v>
          </cell>
          <cell r="H31">
            <v>40909</v>
          </cell>
          <cell r="I31" t="str">
            <v>Open</v>
          </cell>
          <cell r="J31" t="str">
            <v>Open</v>
          </cell>
          <cell r="K31" t="str">
            <v>Open</v>
          </cell>
          <cell r="L31" t="str">
            <v>Open</v>
          </cell>
          <cell r="M31" t="str">
            <v>Open</v>
          </cell>
          <cell r="N31">
            <v>40909</v>
          </cell>
          <cell r="O31" t="str">
            <v>Open</v>
          </cell>
          <cell r="P31" t="str">
            <v>Open</v>
          </cell>
          <cell r="Q31">
            <v>40909</v>
          </cell>
          <cell r="R31">
            <v>40909</v>
          </cell>
          <cell r="S31">
            <v>40909</v>
          </cell>
          <cell r="T31">
            <v>40909</v>
          </cell>
          <cell r="U31" t="str">
            <v>Open</v>
          </cell>
          <cell r="V31" t="str">
            <v>Open</v>
          </cell>
          <cell r="W31" t="str">
            <v>Open</v>
          </cell>
          <cell r="X31" t="str">
            <v>Open</v>
          </cell>
          <cell r="Y31" t="str">
            <v>Open</v>
          </cell>
          <cell r="Z31" t="str">
            <v>Open</v>
          </cell>
          <cell r="AA31" t="str">
            <v>Open</v>
          </cell>
          <cell r="AB31" t="str">
            <v>Open</v>
          </cell>
          <cell r="AC31" t="str">
            <v>Open</v>
          </cell>
          <cell r="AD31" t="str">
            <v>Open</v>
          </cell>
        </row>
        <row r="32">
          <cell r="B32" t="str">
            <v>Non Sector - N.Ireland</v>
          </cell>
          <cell r="C32">
            <v>40909</v>
          </cell>
          <cell r="D32" t="str">
            <v>Open</v>
          </cell>
          <cell r="E32" t="str">
            <v>Open</v>
          </cell>
          <cell r="F32">
            <v>40909</v>
          </cell>
          <cell r="G32">
            <v>40909</v>
          </cell>
          <cell r="H32">
            <v>40909</v>
          </cell>
          <cell r="I32" t="str">
            <v>Open</v>
          </cell>
          <cell r="J32" t="str">
            <v>Open</v>
          </cell>
          <cell r="K32" t="str">
            <v>Open</v>
          </cell>
          <cell r="L32" t="str">
            <v>Open</v>
          </cell>
          <cell r="M32" t="str">
            <v>Open</v>
          </cell>
          <cell r="N32">
            <v>40909</v>
          </cell>
          <cell r="O32" t="str">
            <v>Open</v>
          </cell>
          <cell r="P32" t="str">
            <v>Open</v>
          </cell>
          <cell r="Q32">
            <v>40909</v>
          </cell>
          <cell r="R32">
            <v>40909</v>
          </cell>
          <cell r="S32">
            <v>40909</v>
          </cell>
          <cell r="T32">
            <v>40909</v>
          </cell>
          <cell r="U32" t="str">
            <v>Open</v>
          </cell>
          <cell r="V32" t="str">
            <v>Open</v>
          </cell>
          <cell r="W32" t="str">
            <v>Open</v>
          </cell>
          <cell r="X32" t="str">
            <v>Open</v>
          </cell>
          <cell r="Y32" t="str">
            <v>Open</v>
          </cell>
          <cell r="Z32" t="str">
            <v>Open</v>
          </cell>
          <cell r="AA32" t="str">
            <v>Open</v>
          </cell>
          <cell r="AB32" t="str">
            <v>Open</v>
          </cell>
          <cell r="AC32" t="str">
            <v>Open</v>
          </cell>
          <cell r="AD32" t="str">
            <v>Open</v>
          </cell>
        </row>
        <row r="33">
          <cell r="B33" t="str">
            <v>Isle of Man</v>
          </cell>
          <cell r="C33">
            <v>40909</v>
          </cell>
          <cell r="D33">
            <v>40909</v>
          </cell>
          <cell r="E33" t="str">
            <v>Open</v>
          </cell>
          <cell r="F33">
            <v>40909</v>
          </cell>
          <cell r="G33">
            <v>40909</v>
          </cell>
          <cell r="H33">
            <v>40909</v>
          </cell>
          <cell r="I33" t="str">
            <v>Open</v>
          </cell>
          <cell r="J33" t="str">
            <v>Open</v>
          </cell>
          <cell r="K33" t="str">
            <v>Open</v>
          </cell>
          <cell r="L33" t="str">
            <v>Open</v>
          </cell>
          <cell r="M33" t="str">
            <v>Open</v>
          </cell>
          <cell r="N33">
            <v>40909</v>
          </cell>
          <cell r="O33" t="str">
            <v>Open</v>
          </cell>
          <cell r="P33" t="str">
            <v>Open</v>
          </cell>
          <cell r="Q33">
            <v>40909</v>
          </cell>
          <cell r="R33">
            <v>40909</v>
          </cell>
          <cell r="S33">
            <v>40909</v>
          </cell>
          <cell r="T33">
            <v>40909</v>
          </cell>
          <cell r="U33" t="str">
            <v>Open</v>
          </cell>
          <cell r="V33" t="str">
            <v>Open</v>
          </cell>
          <cell r="W33" t="str">
            <v>Open</v>
          </cell>
          <cell r="X33" t="str">
            <v>Open</v>
          </cell>
          <cell r="Y33" t="str">
            <v>Open</v>
          </cell>
          <cell r="Z33" t="str">
            <v>Open</v>
          </cell>
          <cell r="AA33" t="str">
            <v>Open</v>
          </cell>
          <cell r="AB33" t="str">
            <v>Open</v>
          </cell>
          <cell r="AC33" t="str">
            <v>Open</v>
          </cell>
          <cell r="AD33" t="str">
            <v>Open</v>
          </cell>
        </row>
        <row r="34">
          <cell r="B34" t="str">
            <v>Under 10m</v>
          </cell>
          <cell r="C34">
            <v>40909</v>
          </cell>
          <cell r="D34">
            <v>40909</v>
          </cell>
          <cell r="E34" t="str">
            <v>Open</v>
          </cell>
          <cell r="F34" t="str">
            <v>Open</v>
          </cell>
          <cell r="G34" t="str">
            <v>Open</v>
          </cell>
          <cell r="H34" t="str">
            <v>Open</v>
          </cell>
          <cell r="I34" t="str">
            <v>Open</v>
          </cell>
          <cell r="J34" t="str">
            <v>Open</v>
          </cell>
          <cell r="K34" t="str">
            <v>Open</v>
          </cell>
          <cell r="L34" t="str">
            <v>Open</v>
          </cell>
          <cell r="M34" t="str">
            <v>Open</v>
          </cell>
          <cell r="N34">
            <v>40909</v>
          </cell>
          <cell r="O34" t="str">
            <v>Open</v>
          </cell>
          <cell r="P34" t="str">
            <v>Open</v>
          </cell>
          <cell r="Q34">
            <v>40909</v>
          </cell>
          <cell r="R34">
            <v>40909</v>
          </cell>
          <cell r="S34">
            <v>40909</v>
          </cell>
          <cell r="T34">
            <v>40909</v>
          </cell>
          <cell r="U34" t="str">
            <v>Open</v>
          </cell>
          <cell r="V34" t="str">
            <v>Open</v>
          </cell>
          <cell r="W34" t="str">
            <v>Open</v>
          </cell>
          <cell r="X34" t="str">
            <v>Open</v>
          </cell>
          <cell r="Y34" t="str">
            <v>Open</v>
          </cell>
          <cell r="Z34" t="str">
            <v>Open</v>
          </cell>
          <cell r="AA34" t="str">
            <v>Open</v>
          </cell>
          <cell r="AB34" t="str">
            <v>Open</v>
          </cell>
          <cell r="AC34" t="str">
            <v>Open</v>
          </cell>
          <cell r="AD34" t="str">
            <v>Open</v>
          </cell>
        </row>
        <row r="35">
          <cell r="B35" t="str">
            <v>Under 10m - England</v>
          </cell>
          <cell r="C35">
            <v>40909</v>
          </cell>
          <cell r="D35">
            <v>40909</v>
          </cell>
          <cell r="E35" t="str">
            <v>Open</v>
          </cell>
          <cell r="F35" t="str">
            <v>Open</v>
          </cell>
          <cell r="G35" t="str">
            <v>Open</v>
          </cell>
          <cell r="H35" t="str">
            <v>Open</v>
          </cell>
          <cell r="I35" t="str">
            <v>Open</v>
          </cell>
          <cell r="J35" t="str">
            <v>Open</v>
          </cell>
          <cell r="K35" t="str">
            <v>Open</v>
          </cell>
          <cell r="L35" t="str">
            <v>Open</v>
          </cell>
          <cell r="M35" t="str">
            <v>Open</v>
          </cell>
          <cell r="N35">
            <v>40909</v>
          </cell>
          <cell r="O35" t="str">
            <v>Open</v>
          </cell>
          <cell r="P35" t="str">
            <v>Open</v>
          </cell>
          <cell r="Q35">
            <v>40909</v>
          </cell>
          <cell r="R35">
            <v>40909</v>
          </cell>
          <cell r="S35">
            <v>40909</v>
          </cell>
          <cell r="T35">
            <v>40909</v>
          </cell>
          <cell r="U35" t="str">
            <v>Open</v>
          </cell>
          <cell r="V35" t="str">
            <v>Open</v>
          </cell>
          <cell r="W35" t="str">
            <v>Open</v>
          </cell>
          <cell r="X35" t="str">
            <v>Open</v>
          </cell>
          <cell r="Y35" t="str">
            <v>Open</v>
          </cell>
          <cell r="Z35" t="str">
            <v>Open</v>
          </cell>
          <cell r="AA35" t="str">
            <v>Open</v>
          </cell>
          <cell r="AB35" t="str">
            <v>Open</v>
          </cell>
          <cell r="AC35" t="str">
            <v>Open</v>
          </cell>
          <cell r="AD35" t="str">
            <v>Open</v>
          </cell>
        </row>
        <row r="36">
          <cell r="B36" t="str">
            <v>Under 10m - Wales</v>
          </cell>
          <cell r="C36">
            <v>40909</v>
          </cell>
          <cell r="D36">
            <v>40909</v>
          </cell>
          <cell r="E36" t="str">
            <v>Open</v>
          </cell>
          <cell r="F36" t="str">
            <v>Open</v>
          </cell>
          <cell r="G36" t="str">
            <v>Open</v>
          </cell>
          <cell r="H36" t="str">
            <v>Open</v>
          </cell>
          <cell r="I36" t="str">
            <v>Open</v>
          </cell>
          <cell r="J36" t="str">
            <v>Open</v>
          </cell>
          <cell r="K36" t="str">
            <v>Open</v>
          </cell>
          <cell r="L36" t="str">
            <v>Open</v>
          </cell>
          <cell r="M36" t="str">
            <v>Open</v>
          </cell>
          <cell r="N36">
            <v>40909</v>
          </cell>
          <cell r="O36" t="str">
            <v>Open</v>
          </cell>
          <cell r="P36" t="str">
            <v>Open</v>
          </cell>
          <cell r="Q36">
            <v>40909</v>
          </cell>
          <cell r="R36">
            <v>40909</v>
          </cell>
          <cell r="S36">
            <v>40909</v>
          </cell>
          <cell r="T36">
            <v>40909</v>
          </cell>
          <cell r="U36" t="str">
            <v>Open</v>
          </cell>
          <cell r="V36" t="str">
            <v>Open</v>
          </cell>
          <cell r="W36" t="str">
            <v>Open</v>
          </cell>
          <cell r="X36" t="str">
            <v>Open</v>
          </cell>
          <cell r="Y36" t="str">
            <v>Open</v>
          </cell>
          <cell r="Z36" t="str">
            <v>Open</v>
          </cell>
          <cell r="AA36" t="str">
            <v>Open</v>
          </cell>
          <cell r="AB36" t="str">
            <v>Open</v>
          </cell>
          <cell r="AC36" t="str">
            <v>Open</v>
          </cell>
          <cell r="AD36" t="str">
            <v>Open</v>
          </cell>
        </row>
        <row r="37">
          <cell r="B37" t="str">
            <v>Under 10m - Scotland</v>
          </cell>
          <cell r="C37">
            <v>40909</v>
          </cell>
          <cell r="D37">
            <v>40909</v>
          </cell>
          <cell r="E37" t="str">
            <v>Open</v>
          </cell>
          <cell r="F37" t="str">
            <v>Open</v>
          </cell>
          <cell r="G37" t="str">
            <v>Open</v>
          </cell>
          <cell r="H37" t="str">
            <v>Open</v>
          </cell>
          <cell r="I37" t="str">
            <v>Open</v>
          </cell>
          <cell r="J37" t="str">
            <v>Open</v>
          </cell>
          <cell r="K37" t="str">
            <v>Open</v>
          </cell>
          <cell r="L37" t="str">
            <v>Open</v>
          </cell>
          <cell r="M37" t="str">
            <v>Open</v>
          </cell>
          <cell r="N37">
            <v>40909</v>
          </cell>
          <cell r="O37" t="str">
            <v>Open</v>
          </cell>
          <cell r="P37" t="str">
            <v>Open</v>
          </cell>
          <cell r="Q37">
            <v>40909</v>
          </cell>
          <cell r="R37">
            <v>40909</v>
          </cell>
          <cell r="S37">
            <v>40909</v>
          </cell>
          <cell r="T37">
            <v>40909</v>
          </cell>
          <cell r="U37" t="str">
            <v>Open</v>
          </cell>
          <cell r="V37" t="str">
            <v>Open</v>
          </cell>
          <cell r="W37" t="str">
            <v>Open</v>
          </cell>
          <cell r="X37" t="str">
            <v>Open</v>
          </cell>
          <cell r="Y37" t="str">
            <v>Open</v>
          </cell>
          <cell r="Z37" t="str">
            <v>Open</v>
          </cell>
          <cell r="AA37" t="str">
            <v>Open</v>
          </cell>
          <cell r="AB37" t="str">
            <v>Open</v>
          </cell>
          <cell r="AC37" t="str">
            <v>Open</v>
          </cell>
          <cell r="AD37" t="str">
            <v>Open</v>
          </cell>
        </row>
        <row r="38">
          <cell r="B38" t="str">
            <v>Under 10m - N.Ireland</v>
          </cell>
          <cell r="C38">
            <v>40909</v>
          </cell>
          <cell r="D38">
            <v>40909</v>
          </cell>
          <cell r="E38" t="str">
            <v>Open</v>
          </cell>
          <cell r="F38" t="str">
            <v>Open</v>
          </cell>
          <cell r="G38" t="str">
            <v>Open</v>
          </cell>
          <cell r="H38" t="str">
            <v>Open</v>
          </cell>
          <cell r="I38" t="str">
            <v>Open</v>
          </cell>
          <cell r="J38" t="str">
            <v>Open</v>
          </cell>
          <cell r="K38" t="str">
            <v>Open</v>
          </cell>
          <cell r="L38" t="str">
            <v>Open</v>
          </cell>
          <cell r="M38" t="str">
            <v>Open</v>
          </cell>
          <cell r="N38">
            <v>40909</v>
          </cell>
          <cell r="O38" t="str">
            <v>Open</v>
          </cell>
          <cell r="P38" t="str">
            <v>Open</v>
          </cell>
          <cell r="Q38">
            <v>40909</v>
          </cell>
          <cell r="R38">
            <v>40909</v>
          </cell>
          <cell r="S38">
            <v>40909</v>
          </cell>
          <cell r="T38">
            <v>40909</v>
          </cell>
          <cell r="U38" t="str">
            <v>Open</v>
          </cell>
          <cell r="V38" t="str">
            <v>Open</v>
          </cell>
          <cell r="W38" t="str">
            <v>Open</v>
          </cell>
          <cell r="X38" t="str">
            <v>Open</v>
          </cell>
          <cell r="Y38" t="str">
            <v>Open</v>
          </cell>
          <cell r="Z38" t="str">
            <v>Open</v>
          </cell>
          <cell r="AA38" t="str">
            <v>Open</v>
          </cell>
          <cell r="AB38" t="str">
            <v>Open</v>
          </cell>
          <cell r="AC38" t="str">
            <v>Open</v>
          </cell>
          <cell r="AD38" t="str">
            <v>Open</v>
          </cell>
        </row>
        <row r="39">
          <cell r="B39" t="str">
            <v>Handliners(VIIe-h)</v>
          </cell>
          <cell r="C39">
            <v>40909</v>
          </cell>
          <cell r="D39" t="str">
            <v>Open</v>
          </cell>
          <cell r="E39" t="str">
            <v>Open</v>
          </cell>
          <cell r="F39">
            <v>40909</v>
          </cell>
          <cell r="G39" t="str">
            <v>Open</v>
          </cell>
          <cell r="H39" t="str">
            <v>Open</v>
          </cell>
          <cell r="I39" t="str">
            <v>Open</v>
          </cell>
          <cell r="J39" t="str">
            <v>Open</v>
          </cell>
          <cell r="K39" t="str">
            <v>Open</v>
          </cell>
          <cell r="L39" t="str">
            <v>Open</v>
          </cell>
          <cell r="M39" t="str">
            <v>Open</v>
          </cell>
          <cell r="N39">
            <v>40909</v>
          </cell>
          <cell r="O39">
            <v>40909</v>
          </cell>
          <cell r="P39" t="str">
            <v>Open</v>
          </cell>
          <cell r="Q39">
            <v>40909</v>
          </cell>
          <cell r="R39">
            <v>40909</v>
          </cell>
          <cell r="S39">
            <v>40909</v>
          </cell>
          <cell r="T39">
            <v>40909</v>
          </cell>
          <cell r="U39" t="str">
            <v>Open</v>
          </cell>
          <cell r="V39" t="str">
            <v>Open</v>
          </cell>
          <cell r="W39" t="str">
            <v>Open</v>
          </cell>
          <cell r="X39" t="str">
            <v>Open</v>
          </cell>
          <cell r="Y39" t="str">
            <v>Open</v>
          </cell>
          <cell r="Z39" t="str">
            <v>Open</v>
          </cell>
          <cell r="AA39" t="str">
            <v>Open</v>
          </cell>
          <cell r="AB39" t="str">
            <v>Open</v>
          </cell>
          <cell r="AC39" t="str">
            <v>Open</v>
          </cell>
          <cell r="AD39" t="str">
            <v>Open</v>
          </cell>
        </row>
        <row r="41">
          <cell r="B41" t="str">
            <v>TOTAL</v>
          </cell>
          <cell r="C41" t="str">
            <v>Open</v>
          </cell>
          <cell r="D41" t="str">
            <v>Open</v>
          </cell>
          <cell r="E41" t="str">
            <v>Open</v>
          </cell>
          <cell r="F41" t="str">
            <v>Open</v>
          </cell>
          <cell r="G41" t="str">
            <v>Open</v>
          </cell>
          <cell r="H41" t="str">
            <v>Open</v>
          </cell>
          <cell r="I41" t="str">
            <v>Open</v>
          </cell>
          <cell r="J41" t="str">
            <v>Open</v>
          </cell>
          <cell r="K41" t="str">
            <v>Open</v>
          </cell>
          <cell r="L41" t="str">
            <v>Open</v>
          </cell>
          <cell r="M41" t="str">
            <v>Open</v>
          </cell>
          <cell r="N41" t="str">
            <v>Open</v>
          </cell>
          <cell r="O41" t="str">
            <v>Open</v>
          </cell>
          <cell r="P41" t="str">
            <v>Open</v>
          </cell>
          <cell r="Q41">
            <v>40909</v>
          </cell>
          <cell r="R41">
            <v>40909</v>
          </cell>
          <cell r="S41">
            <v>40909</v>
          </cell>
          <cell r="T41" t="str">
            <v>Open</v>
          </cell>
          <cell r="U41" t="str">
            <v>Open</v>
          </cell>
          <cell r="V41" t="str">
            <v>Open</v>
          </cell>
          <cell r="W41" t="str">
            <v>Open</v>
          </cell>
          <cell r="X41" t="str">
            <v>Open</v>
          </cell>
          <cell r="Y41" t="str">
            <v>Open</v>
          </cell>
          <cell r="Z41" t="str">
            <v>Open</v>
          </cell>
          <cell r="AA41" t="str">
            <v>Open</v>
          </cell>
          <cell r="AB41" t="str">
            <v>Open</v>
          </cell>
          <cell r="AC41" t="str">
            <v>Open</v>
          </cell>
          <cell r="AD41" t="str">
            <v>Open</v>
          </cell>
        </row>
      </sheetData>
      <sheetData sheetId="3">
        <row r="3"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>
            <v>11</v>
          </cell>
          <cell r="L3">
            <v>12</v>
          </cell>
          <cell r="M3">
            <v>13</v>
          </cell>
          <cell r="N3">
            <v>14</v>
          </cell>
          <cell r="O3">
            <v>15</v>
          </cell>
          <cell r="P3">
            <v>16</v>
          </cell>
          <cell r="Q3">
            <v>17</v>
          </cell>
          <cell r="R3">
            <v>18</v>
          </cell>
          <cell r="S3">
            <v>19</v>
          </cell>
          <cell r="T3">
            <v>20</v>
          </cell>
          <cell r="U3">
            <v>21</v>
          </cell>
          <cell r="V3">
            <v>22</v>
          </cell>
          <cell r="W3">
            <v>23</v>
          </cell>
          <cell r="X3">
            <v>24</v>
          </cell>
        </row>
        <row r="4">
          <cell r="B4" t="str">
            <v>North Sea Herring</v>
          </cell>
          <cell r="C4" t="str">
            <v>West Coast Herring</v>
          </cell>
          <cell r="D4" t="str">
            <v>West Coast Mackerel</v>
          </cell>
          <cell r="E4" t="str">
            <v>West Coast Mackerel HL</v>
          </cell>
          <cell r="F4" t="str">
            <v>Shet. Box Mackerel</v>
          </cell>
          <cell r="G4" t="str">
            <v>North Sea Mackerel</v>
          </cell>
          <cell r="H4" t="str">
            <v>N.Sea Mackerel IIIa IVbc</v>
          </cell>
          <cell r="I4" t="str">
            <v>Atlanto Scandian Herring</v>
          </cell>
          <cell r="J4" t="str">
            <v xml:space="preserve">Norway  </v>
          </cell>
          <cell r="K4" t="str">
            <v>Nor EEZ</v>
          </cell>
          <cell r="L4" t="str">
            <v>Faroes</v>
          </cell>
          <cell r="M4" t="str">
            <v>Clyde Firth Herring</v>
          </cell>
          <cell r="N4" t="str">
            <v>North Sea Horse Mackerel</v>
          </cell>
          <cell r="O4" t="str">
            <v>West Coast Horse Mackerel</v>
          </cell>
          <cell r="P4" t="str">
            <v>North Sea Blue Whiting</v>
          </cell>
          <cell r="Q4" t="str">
            <v>North Sea Sand Eels</v>
          </cell>
          <cell r="R4" t="str">
            <v>Norwegian Sand Eels</v>
          </cell>
          <cell r="S4" t="str">
            <v>Norway Pout</v>
          </cell>
          <cell r="T4" t="str">
            <v>Blue Whiting I-VIII, XII, XIV</v>
          </cell>
          <cell r="U4" t="str">
            <v>Shetland Sandeels</v>
          </cell>
          <cell r="V4" t="str">
            <v>Blue Whiting VIII</v>
          </cell>
          <cell r="W4" t="str">
            <v>Greenland Capelin</v>
          </cell>
          <cell r="X4" t="str">
            <v>Bl Whi Vb Faroes</v>
          </cell>
        </row>
        <row r="5">
          <cell r="A5" t="str">
            <v>SFO</v>
          </cell>
          <cell r="B5">
            <v>18731.63</v>
          </cell>
          <cell r="C5">
            <v>0.63</v>
          </cell>
          <cell r="D5">
            <v>26174.860000000004</v>
          </cell>
          <cell r="E5">
            <v>0</v>
          </cell>
          <cell r="F5">
            <v>1640.0500000000002</v>
          </cell>
          <cell r="G5">
            <v>12.69</v>
          </cell>
          <cell r="H5">
            <v>3.9569999999999999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15.190000000000001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12890.6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</row>
        <row r="6">
          <cell r="A6" t="str">
            <v>Aberdeen</v>
          </cell>
          <cell r="B6">
            <v>7.0000000000000007E-2</v>
          </cell>
          <cell r="C6">
            <v>0</v>
          </cell>
          <cell r="D6">
            <v>0</v>
          </cell>
          <cell r="E6">
            <v>0</v>
          </cell>
          <cell r="F6">
            <v>2.41</v>
          </cell>
          <cell r="G6">
            <v>12.700000000000001</v>
          </cell>
          <cell r="H6">
            <v>5.82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0.28000000000000003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</row>
        <row r="7">
          <cell r="A7" t="str">
            <v>NESFO</v>
          </cell>
          <cell r="B7">
            <v>0.12</v>
          </cell>
          <cell r="C7">
            <v>0</v>
          </cell>
          <cell r="D7">
            <v>1.1599999999999999</v>
          </cell>
          <cell r="E7">
            <v>0</v>
          </cell>
          <cell r="F7">
            <v>0.67999999999999994</v>
          </cell>
          <cell r="G7">
            <v>1.76</v>
          </cell>
          <cell r="H7">
            <v>1.7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>Shetland</v>
          </cell>
          <cell r="B8">
            <v>10543.81</v>
          </cell>
          <cell r="C8">
            <v>690.9</v>
          </cell>
          <cell r="D8">
            <v>8735.68</v>
          </cell>
          <cell r="E8">
            <v>0</v>
          </cell>
          <cell r="F8">
            <v>13317.550000000001</v>
          </cell>
          <cell r="G8">
            <v>19.900000000000002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11.27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9759.32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Fife</v>
          </cell>
          <cell r="B9">
            <v>0</v>
          </cell>
          <cell r="C9">
            <v>0</v>
          </cell>
          <cell r="D9">
            <v>57.839999880790749</v>
          </cell>
          <cell r="E9">
            <v>0</v>
          </cell>
          <cell r="F9">
            <v>0.04</v>
          </cell>
          <cell r="G9">
            <v>1.3900000000000001</v>
          </cell>
          <cell r="H9">
            <v>17.2480000076294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9.5040000133514422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A10" t="str">
            <v>West Scotland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0.02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>Orkney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0.15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</row>
        <row r="12">
          <cell r="A12" t="str">
            <v>Northern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0.03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3">
          <cell r="A13" t="str">
            <v>Klondyke</v>
          </cell>
          <cell r="B13">
            <v>6570.21</v>
          </cell>
          <cell r="C13">
            <v>70.73</v>
          </cell>
          <cell r="D13">
            <v>9588.380000000001</v>
          </cell>
          <cell r="E13">
            <v>0</v>
          </cell>
          <cell r="F13">
            <v>678.37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434.93999999999994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10544.32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Lunar</v>
          </cell>
          <cell r="B14">
            <v>6398.9</v>
          </cell>
          <cell r="C14">
            <v>0</v>
          </cell>
          <cell r="D14">
            <v>11276.07</v>
          </cell>
          <cell r="E14">
            <v>0</v>
          </cell>
          <cell r="F14">
            <v>3305.9399999999996</v>
          </cell>
          <cell r="G14">
            <v>29.6</v>
          </cell>
          <cell r="H14">
            <v>0.21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1.22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24885.629999999997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A15" t="str">
            <v>Anglo Scot.</v>
          </cell>
          <cell r="B15">
            <v>0.15975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0.57999999999999996</v>
          </cell>
          <cell r="H15">
            <v>0.50049999859184036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A16" t="str">
            <v>EEFPO</v>
          </cell>
          <cell r="B16">
            <v>0.25</v>
          </cell>
          <cell r="C16">
            <v>0</v>
          </cell>
          <cell r="D16">
            <v>0</v>
          </cell>
          <cell r="E16">
            <v>0</v>
          </cell>
          <cell r="F16">
            <v>0.53</v>
          </cell>
          <cell r="G16">
            <v>0.79</v>
          </cell>
          <cell r="H16">
            <v>0.03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>Western PO</v>
          </cell>
          <cell r="B17">
            <v>0</v>
          </cell>
          <cell r="C17">
            <v>0</v>
          </cell>
          <cell r="D17">
            <v>7.2607269845902933E-2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A18" t="str">
            <v>FPO</v>
          </cell>
          <cell r="B18">
            <v>0</v>
          </cell>
          <cell r="C18">
            <v>0</v>
          </cell>
          <cell r="D18">
            <v>0.31825000026822092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0.06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A19" t="str">
            <v>NIFPO</v>
          </cell>
          <cell r="B19">
            <v>31.335000000000001</v>
          </cell>
          <cell r="C19">
            <v>0</v>
          </cell>
          <cell r="D19">
            <v>1370.7860000076294</v>
          </cell>
          <cell r="E19">
            <v>0</v>
          </cell>
          <cell r="F19">
            <v>329.69300000000004</v>
          </cell>
          <cell r="G19">
            <v>10.855999976992608</v>
          </cell>
          <cell r="H19">
            <v>0.97900000095367434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0.35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>ANIFPO</v>
          </cell>
          <cell r="B20">
            <v>5601.8879999999999</v>
          </cell>
          <cell r="C20">
            <v>0</v>
          </cell>
          <cell r="D20">
            <v>6799.2010000039345</v>
          </cell>
          <cell r="E20">
            <v>0</v>
          </cell>
          <cell r="F20">
            <v>4158.7880000000005</v>
          </cell>
          <cell r="G20">
            <v>0</v>
          </cell>
          <cell r="H20">
            <v>0.01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180.3</v>
          </cell>
          <cell r="N20">
            <v>0</v>
          </cell>
          <cell r="O20">
            <v>1342.5859999999998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1">
          <cell r="A21" t="str">
            <v>Cornish</v>
          </cell>
          <cell r="B21">
            <v>0</v>
          </cell>
          <cell r="C21">
            <v>0</v>
          </cell>
          <cell r="D21">
            <v>11.033241930477317</v>
          </cell>
          <cell r="E21">
            <v>4.4044999999999996</v>
          </cell>
          <cell r="F21">
            <v>1.1800000190734865</v>
          </cell>
          <cell r="G21">
            <v>8.1820000038146983</v>
          </cell>
          <cell r="H21">
            <v>2.1864999661445625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2.9660815974250432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</row>
        <row r="22">
          <cell r="A22" t="str">
            <v>South West</v>
          </cell>
          <cell r="B22">
            <v>0</v>
          </cell>
          <cell r="C22">
            <v>0</v>
          </cell>
          <cell r="D22">
            <v>2.7025510209128245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0.30259999994188541</v>
          </cell>
          <cell r="O22">
            <v>0.20329999899864198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>North Sea</v>
          </cell>
          <cell r="B23">
            <v>5.8999999999999997E-2</v>
          </cell>
          <cell r="C23">
            <v>0</v>
          </cell>
          <cell r="D23">
            <v>19.031000035285945</v>
          </cell>
          <cell r="E23">
            <v>0</v>
          </cell>
          <cell r="F23">
            <v>0</v>
          </cell>
          <cell r="G23">
            <v>0</v>
          </cell>
          <cell r="H23">
            <v>4.4439999732971174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14.294000005722038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</row>
        <row r="24">
          <cell r="A24" t="str">
            <v>Lowestoft</v>
          </cell>
          <cell r="B24">
            <v>0</v>
          </cell>
          <cell r="C24">
            <v>0</v>
          </cell>
          <cell r="D24">
            <v>43.616000060081497</v>
          </cell>
          <cell r="E24">
            <v>0</v>
          </cell>
          <cell r="F24">
            <v>0</v>
          </cell>
          <cell r="G24">
            <v>0</v>
          </cell>
          <cell r="H24">
            <v>72.606000187173564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57.99705902087689</v>
          </cell>
          <cell r="O24">
            <v>7.1043000068664544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5">
          <cell r="A25" t="str">
            <v>Wales WC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>Interfish</v>
          </cell>
          <cell r="B26">
            <v>7754.0200000000013</v>
          </cell>
          <cell r="C26">
            <v>27.2</v>
          </cell>
          <cell r="D26">
            <v>7349.4158000036032</v>
          </cell>
          <cell r="E26">
            <v>0</v>
          </cell>
          <cell r="F26">
            <v>2243.5299999999997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6821.0199999999995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A27" t="str">
            <v>North Atlantic FPO</v>
          </cell>
          <cell r="B27">
            <v>9011.4820087715416</v>
          </cell>
          <cell r="C27">
            <v>4.5430000076293942</v>
          </cell>
          <cell r="D27">
            <v>12144.334996567812</v>
          </cell>
          <cell r="E27">
            <v>0</v>
          </cell>
          <cell r="F27">
            <v>251.75700170898438</v>
          </cell>
          <cell r="G27">
            <v>215.74050032138831</v>
          </cell>
          <cell r="H27">
            <v>154.71700062984229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3875.1758943758582</v>
          </cell>
          <cell r="O27">
            <v>3.5120000000000049</v>
          </cell>
          <cell r="P27">
            <v>0</v>
          </cell>
          <cell r="Q27">
            <v>0</v>
          </cell>
          <cell r="R27">
            <v>0</v>
          </cell>
          <cell r="S27">
            <v>9.8252998046875</v>
          </cell>
          <cell r="T27">
            <v>7202.1500341720584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A28" t="str">
            <v>Non Sector - England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>Non Sector - Wales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A30" t="str">
            <v>Non Sector - Scotland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0.1</v>
          </cell>
          <cell r="G30">
            <v>0.18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A31" t="str">
            <v>Non Sector - N.Ireland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>Isle of Man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A33" t="str">
            <v>Under 10m - England</v>
          </cell>
          <cell r="B33">
            <v>3.3722499999999993</v>
          </cell>
          <cell r="C33">
            <v>0</v>
          </cell>
          <cell r="D33">
            <v>51.196377097859838</v>
          </cell>
          <cell r="E33">
            <v>237.29265201821934</v>
          </cell>
          <cell r="F33">
            <v>0</v>
          </cell>
          <cell r="G33">
            <v>0</v>
          </cell>
          <cell r="H33">
            <v>4.9785700007527964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0.86950000108033354</v>
          </cell>
          <cell r="O33">
            <v>1.7793300024121996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A34" t="str">
            <v>Under 10m - Wales</v>
          </cell>
          <cell r="B34">
            <v>0</v>
          </cell>
          <cell r="C34">
            <v>0</v>
          </cell>
          <cell r="D34">
            <v>0.58765999993681939</v>
          </cell>
          <cell r="E34">
            <v>9.4199999809265134E-2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 t="str">
            <v>Under 10m - Scotland</v>
          </cell>
          <cell r="B35">
            <v>0.1</v>
          </cell>
          <cell r="C35">
            <v>0</v>
          </cell>
          <cell r="D35">
            <v>12.829999999999998</v>
          </cell>
          <cell r="E35">
            <v>0</v>
          </cell>
          <cell r="F35">
            <v>0</v>
          </cell>
          <cell r="G35">
            <v>930.47999999999922</v>
          </cell>
          <cell r="H35">
            <v>58.279999999999987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0.06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A36" t="str">
            <v>Under 10m - N.Ireland</v>
          </cell>
          <cell r="B36">
            <v>0</v>
          </cell>
          <cell r="C36">
            <v>0</v>
          </cell>
          <cell r="D36">
            <v>0.126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A37" t="str">
            <v>Handliners(VIIe-h)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9">
          <cell r="A39" t="str">
            <v>Total</v>
          </cell>
          <cell r="B39">
            <v>64647.406008771541</v>
          </cell>
          <cell r="C39">
            <v>794.00300000762945</v>
          </cell>
          <cell r="D39">
            <v>83639.241483878432</v>
          </cell>
          <cell r="E39">
            <v>241.79135201802862</v>
          </cell>
          <cell r="F39">
            <v>25930.818001728061</v>
          </cell>
          <cell r="G39">
            <v>1244.8485003021949</v>
          </cell>
          <cell r="H39">
            <v>327.66657076438526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180.3</v>
          </cell>
          <cell r="N39">
            <v>3958.2630534168306</v>
          </cell>
          <cell r="O39">
            <v>1821.401011605702</v>
          </cell>
          <cell r="P39">
            <v>0</v>
          </cell>
          <cell r="Q39">
            <v>0</v>
          </cell>
          <cell r="R39">
            <v>0</v>
          </cell>
          <cell r="S39">
            <v>9.8252998046875</v>
          </cell>
          <cell r="T39">
            <v>72103.040034172052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2">
          <cell r="A42">
            <v>44482</v>
          </cell>
        </row>
        <row r="44">
          <cell r="B44" t="str">
            <v>North Sea Herring</v>
          </cell>
          <cell r="C44" t="str">
            <v>West Coast Herring</v>
          </cell>
          <cell r="D44" t="str">
            <v>West Coast Mackerel</v>
          </cell>
          <cell r="E44" t="str">
            <v>West Coast Mackerel HL</v>
          </cell>
          <cell r="F44" t="str">
            <v>Shet. Box Mackerel</v>
          </cell>
          <cell r="G44" t="str">
            <v>North Sea Mackerel</v>
          </cell>
          <cell r="H44" t="str">
            <v>N.Sea Mackerel IIIa IVbc</v>
          </cell>
          <cell r="I44" t="str">
            <v>Atlanto Scandian Herring</v>
          </cell>
          <cell r="J44" t="str">
            <v xml:space="preserve">Norway  </v>
          </cell>
          <cell r="K44" t="str">
            <v>Nor EEZ</v>
          </cell>
          <cell r="L44" t="str">
            <v>Faroes</v>
          </cell>
          <cell r="M44" t="str">
            <v>Clyde Firth Herring</v>
          </cell>
          <cell r="N44" t="str">
            <v>North Sea Horse Mackerel</v>
          </cell>
          <cell r="O44" t="str">
            <v>West Coast Horse Mackerel</v>
          </cell>
          <cell r="P44" t="str">
            <v>North Sea Blue Whiting</v>
          </cell>
          <cell r="Q44" t="str">
            <v>North Sea Sand Eels</v>
          </cell>
          <cell r="R44" t="str">
            <v>Norwegian Sand Eels</v>
          </cell>
          <cell r="S44" t="str">
            <v>Norway Pout</v>
          </cell>
          <cell r="T44" t="str">
            <v>Blue Whiting I-VIII, XII, XIV</v>
          </cell>
          <cell r="U44" t="str">
            <v>Shetland Sandeels</v>
          </cell>
          <cell r="V44" t="str">
            <v>Blue Whiting VIII</v>
          </cell>
          <cell r="W44" t="str">
            <v>Greenland Capelin</v>
          </cell>
          <cell r="X44" t="str">
            <v>Bl Whi Vb Faroes</v>
          </cell>
        </row>
        <row r="45">
          <cell r="A45" t="str">
            <v>SFO</v>
          </cell>
          <cell r="B45">
            <v>18731.61</v>
          </cell>
          <cell r="C45">
            <v>0.63</v>
          </cell>
          <cell r="D45">
            <v>26174.860000000004</v>
          </cell>
          <cell r="E45">
            <v>0</v>
          </cell>
          <cell r="F45">
            <v>1639.79</v>
          </cell>
          <cell r="G45">
            <v>12.69</v>
          </cell>
          <cell r="H45">
            <v>3.9569999999999999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15.190000000000001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12890.6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6">
          <cell r="A46" t="str">
            <v>Aberdeen</v>
          </cell>
          <cell r="B46">
            <v>7.0000000000000007E-2</v>
          </cell>
          <cell r="C46">
            <v>0</v>
          </cell>
          <cell r="D46">
            <v>0</v>
          </cell>
          <cell r="E46">
            <v>0</v>
          </cell>
          <cell r="F46">
            <v>2.29</v>
          </cell>
          <cell r="G46">
            <v>12.700000000000001</v>
          </cell>
          <cell r="H46">
            <v>5.82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0.28000000000000003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>NESFO</v>
          </cell>
          <cell r="B47">
            <v>0.12</v>
          </cell>
          <cell r="C47">
            <v>0</v>
          </cell>
          <cell r="D47">
            <v>1.1599999999999999</v>
          </cell>
          <cell r="E47">
            <v>0</v>
          </cell>
          <cell r="F47">
            <v>0.32</v>
          </cell>
          <cell r="G47">
            <v>1.76</v>
          </cell>
          <cell r="H47">
            <v>1.7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</row>
        <row r="48">
          <cell r="A48" t="str">
            <v>Shetland</v>
          </cell>
          <cell r="B48">
            <v>10543.81</v>
          </cell>
          <cell r="C48">
            <v>690.9</v>
          </cell>
          <cell r="D48">
            <v>8735.68</v>
          </cell>
          <cell r="E48">
            <v>0</v>
          </cell>
          <cell r="F48">
            <v>13317.550000000001</v>
          </cell>
          <cell r="G48">
            <v>19.900000000000002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11.27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9759.32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</row>
        <row r="49">
          <cell r="A49" t="str">
            <v>Fife</v>
          </cell>
          <cell r="B49">
            <v>0</v>
          </cell>
          <cell r="C49">
            <v>0</v>
          </cell>
          <cell r="D49">
            <v>56.038999880790755</v>
          </cell>
          <cell r="E49">
            <v>0</v>
          </cell>
          <cell r="F49">
            <v>0.04</v>
          </cell>
          <cell r="G49">
            <v>1.3900000000000001</v>
          </cell>
          <cell r="H49">
            <v>15.901000007629396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9.5040000133514422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>West Scotland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0.02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A51" t="str">
            <v>Orkney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0.15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</row>
        <row r="52">
          <cell r="A52" t="str">
            <v>Northern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>Klondyke</v>
          </cell>
          <cell r="B53">
            <v>6570.21</v>
          </cell>
          <cell r="C53">
            <v>70.73</v>
          </cell>
          <cell r="D53">
            <v>9588.380000000001</v>
          </cell>
          <cell r="E53">
            <v>0</v>
          </cell>
          <cell r="F53">
            <v>678.37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434.93999999999994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10544.32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A54" t="str">
            <v>Lunar</v>
          </cell>
          <cell r="B54">
            <v>6382.0399999999991</v>
          </cell>
          <cell r="C54">
            <v>0</v>
          </cell>
          <cell r="D54">
            <v>11276.07</v>
          </cell>
          <cell r="E54">
            <v>0</v>
          </cell>
          <cell r="F54">
            <v>1453.98</v>
          </cell>
          <cell r="G54">
            <v>29.6</v>
          </cell>
          <cell r="H54">
            <v>0.21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1.22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24885.629999999997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A55" t="str">
            <v>Anglo Scot.</v>
          </cell>
          <cell r="B55">
            <v>0.15975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0.57999999999999996</v>
          </cell>
          <cell r="H55">
            <v>0.4532499985918404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>EEFPO</v>
          </cell>
          <cell r="B56">
            <v>0.25</v>
          </cell>
          <cell r="C56">
            <v>0</v>
          </cell>
          <cell r="D56">
            <v>0</v>
          </cell>
          <cell r="E56">
            <v>0</v>
          </cell>
          <cell r="F56">
            <v>0.53</v>
          </cell>
          <cell r="G56">
            <v>0.79</v>
          </cell>
          <cell r="H56">
            <v>0.03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7">
          <cell r="A57" t="str">
            <v>Western PO</v>
          </cell>
          <cell r="B57">
            <v>0</v>
          </cell>
          <cell r="C57">
            <v>0</v>
          </cell>
          <cell r="D57">
            <v>7.2607269845902933E-2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A58" t="str">
            <v>FPO</v>
          </cell>
          <cell r="B58">
            <v>0</v>
          </cell>
          <cell r="C58">
            <v>0</v>
          </cell>
          <cell r="D58">
            <v>0.31715000024437906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0.06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>NIFPO</v>
          </cell>
          <cell r="B59">
            <v>0</v>
          </cell>
          <cell r="C59">
            <v>0</v>
          </cell>
          <cell r="D59">
            <v>1369.4000000076294</v>
          </cell>
          <cell r="E59">
            <v>0</v>
          </cell>
          <cell r="F59">
            <v>0.60000000000000009</v>
          </cell>
          <cell r="G59">
            <v>10.855999976992608</v>
          </cell>
          <cell r="H59">
            <v>0.97900000095367434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0.35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</row>
        <row r="60">
          <cell r="A60" t="str">
            <v>ANIFPO</v>
          </cell>
          <cell r="B60">
            <v>5485.0690000000004</v>
          </cell>
          <cell r="C60">
            <v>0</v>
          </cell>
          <cell r="D60">
            <v>6799.2010000039345</v>
          </cell>
          <cell r="E60">
            <v>0</v>
          </cell>
          <cell r="F60">
            <v>2789.4029999999998</v>
          </cell>
          <cell r="G60">
            <v>0</v>
          </cell>
          <cell r="H60">
            <v>0.01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180.3</v>
          </cell>
          <cell r="N60">
            <v>0</v>
          </cell>
          <cell r="O60">
            <v>1342.5859999999998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1">
          <cell r="A61" t="str">
            <v>Cornish</v>
          </cell>
          <cell r="B61">
            <v>0</v>
          </cell>
          <cell r="C61">
            <v>0</v>
          </cell>
          <cell r="D61">
            <v>10.048381954841309</v>
          </cell>
          <cell r="E61">
            <v>4.4044999999999996</v>
          </cell>
          <cell r="F61">
            <v>1.1800000190734865</v>
          </cell>
          <cell r="G61">
            <v>8.1820000038146983</v>
          </cell>
          <cell r="H61">
            <v>2.1864999661445625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2.6501815981417889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>South West</v>
          </cell>
          <cell r="B62">
            <v>0</v>
          </cell>
          <cell r="C62">
            <v>0</v>
          </cell>
          <cell r="D62">
            <v>2.6500510213896615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0.30009999994188541</v>
          </cell>
          <cell r="O62">
            <v>0.20329999899864198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</row>
        <row r="63">
          <cell r="A63" t="str">
            <v>North Sea</v>
          </cell>
          <cell r="B63">
            <v>5.8999999999999997E-2</v>
          </cell>
          <cell r="C63">
            <v>0</v>
          </cell>
          <cell r="D63">
            <v>19.031000035285945</v>
          </cell>
          <cell r="E63">
            <v>0</v>
          </cell>
          <cell r="F63">
            <v>0</v>
          </cell>
          <cell r="G63">
            <v>0</v>
          </cell>
          <cell r="H63">
            <v>3.3839999732971178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14.034000005722039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</row>
        <row r="64">
          <cell r="A64" t="str">
            <v>Lowestoft</v>
          </cell>
          <cell r="B64">
            <v>0</v>
          </cell>
          <cell r="C64">
            <v>0</v>
          </cell>
          <cell r="D64">
            <v>43.616000060081497</v>
          </cell>
          <cell r="E64">
            <v>0</v>
          </cell>
          <cell r="F64">
            <v>0</v>
          </cell>
          <cell r="G64">
            <v>0</v>
          </cell>
          <cell r="H64">
            <v>70.212000187173558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57.731059020876884</v>
          </cell>
          <cell r="O64">
            <v>7.1043000068664544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>Wales WC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</row>
        <row r="66">
          <cell r="A66" t="str">
            <v>Interfish</v>
          </cell>
          <cell r="B66">
            <v>7754.0200000000013</v>
          </cell>
          <cell r="C66">
            <v>27.2</v>
          </cell>
          <cell r="D66">
            <v>7349.240800003603</v>
          </cell>
          <cell r="E66">
            <v>0</v>
          </cell>
          <cell r="F66">
            <v>2243.5299999999997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6821.0199999999995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A67" t="str">
            <v>North Atlantic FPO</v>
          </cell>
          <cell r="B67">
            <v>9011.4820087715416</v>
          </cell>
          <cell r="C67">
            <v>4.5430000076293942</v>
          </cell>
          <cell r="D67">
            <v>12019.304997544374</v>
          </cell>
          <cell r="E67">
            <v>0</v>
          </cell>
          <cell r="F67">
            <v>251.75700170898438</v>
          </cell>
          <cell r="G67">
            <v>215.74050032138831</v>
          </cell>
          <cell r="H67">
            <v>121.059000141561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1418.1258943720452</v>
          </cell>
          <cell r="O67">
            <v>3.5120000000000049</v>
          </cell>
          <cell r="P67">
            <v>0</v>
          </cell>
          <cell r="Q67">
            <v>0</v>
          </cell>
          <cell r="R67">
            <v>0</v>
          </cell>
          <cell r="S67">
            <v>9.8252998046875</v>
          </cell>
          <cell r="T67">
            <v>7202.1500341720584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>Non Sector - England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</row>
        <row r="69">
          <cell r="A69" t="str">
            <v>Non Sector - Wales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</row>
        <row r="70">
          <cell r="A70" t="str">
            <v>Non Sector - Scotland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0.1</v>
          </cell>
          <cell r="G70">
            <v>0.18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>Non Sector - N.Ireland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</row>
        <row r="72">
          <cell r="A72" t="str">
            <v>Isle of Man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</row>
        <row r="73">
          <cell r="A73" t="str">
            <v>Under 10m - England</v>
          </cell>
          <cell r="B73">
            <v>3.3722499999999993</v>
          </cell>
          <cell r="C73">
            <v>0</v>
          </cell>
          <cell r="D73">
            <v>48.179907106563341</v>
          </cell>
          <cell r="E73">
            <v>220.84650200396743</v>
          </cell>
          <cell r="F73">
            <v>0</v>
          </cell>
          <cell r="G73">
            <v>0</v>
          </cell>
          <cell r="H73">
            <v>4.8133199996650129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0.84460000107437327</v>
          </cell>
          <cell r="O73">
            <v>1.7198300013393164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>Under 10m - Wales</v>
          </cell>
          <cell r="B74">
            <v>0</v>
          </cell>
          <cell r="C74">
            <v>0</v>
          </cell>
          <cell r="D74">
            <v>0.58765999993681939</v>
          </cell>
          <cell r="E74">
            <v>9.4199999809265134E-2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</row>
        <row r="75">
          <cell r="A75" t="str">
            <v>Under 10m - Scotland</v>
          </cell>
          <cell r="B75">
            <v>0</v>
          </cell>
          <cell r="C75">
            <v>0</v>
          </cell>
          <cell r="D75">
            <v>12.509999999999998</v>
          </cell>
          <cell r="E75">
            <v>0</v>
          </cell>
          <cell r="F75">
            <v>0</v>
          </cell>
          <cell r="G75">
            <v>863.82999999999913</v>
          </cell>
          <cell r="H75">
            <v>55.679999999999986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0.06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</row>
        <row r="76">
          <cell r="A76" t="str">
            <v>Under 10m - N.Ireland</v>
          </cell>
          <cell r="B76">
            <v>0</v>
          </cell>
          <cell r="C76">
            <v>0</v>
          </cell>
          <cell r="D76">
            <v>0.126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>Handliners(VIIe-h)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</row>
        <row r="79">
          <cell r="A79" t="str">
            <v>Total</v>
          </cell>
          <cell r="B79">
            <v>64482.27200877155</v>
          </cell>
          <cell r="C79">
            <v>794.00300000762945</v>
          </cell>
          <cell r="D79">
            <v>83506.474554888511</v>
          </cell>
          <cell r="E79">
            <v>225.34520200377671</v>
          </cell>
          <cell r="F79">
            <v>22379.610001728055</v>
          </cell>
          <cell r="G79">
            <v>1178.1985003021948</v>
          </cell>
          <cell r="H79">
            <v>286.39507027501617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180.3</v>
          </cell>
          <cell r="N79">
            <v>1500.6596534130119</v>
          </cell>
          <cell r="O79">
            <v>1821.0256116053458</v>
          </cell>
          <cell r="P79">
            <v>0</v>
          </cell>
          <cell r="Q79">
            <v>0</v>
          </cell>
          <cell r="R79">
            <v>0</v>
          </cell>
          <cell r="S79">
            <v>9.8252998046875</v>
          </cell>
          <cell r="T79">
            <v>72103.040034172052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2">
          <cell r="A82">
            <v>44475</v>
          </cell>
        </row>
        <row r="85">
          <cell r="A85" t="str">
            <v>SFO</v>
          </cell>
          <cell r="B85">
            <v>18731.61</v>
          </cell>
          <cell r="C85">
            <v>0.63</v>
          </cell>
          <cell r="D85">
            <v>26174.220000000005</v>
          </cell>
          <cell r="E85">
            <v>0</v>
          </cell>
          <cell r="F85">
            <v>1639.5</v>
          </cell>
          <cell r="G85">
            <v>12.69</v>
          </cell>
          <cell r="H85">
            <v>3.9569999999999999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15.190000000000001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12890.6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>Aberdeen</v>
          </cell>
          <cell r="B86">
            <v>7.0000000000000007E-2</v>
          </cell>
          <cell r="C86">
            <v>0</v>
          </cell>
          <cell r="D86">
            <v>0</v>
          </cell>
          <cell r="E86">
            <v>0</v>
          </cell>
          <cell r="F86">
            <v>1.1200000000000001</v>
          </cell>
          <cell r="G86">
            <v>12.700000000000001</v>
          </cell>
          <cell r="H86">
            <v>4.34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0.28000000000000003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</row>
        <row r="87">
          <cell r="A87" t="str">
            <v>NESFO</v>
          </cell>
          <cell r="B87">
            <v>0.12</v>
          </cell>
          <cell r="C87">
            <v>0</v>
          </cell>
          <cell r="D87">
            <v>1.1599999999999999</v>
          </cell>
          <cell r="E87">
            <v>0</v>
          </cell>
          <cell r="F87">
            <v>0.32</v>
          </cell>
          <cell r="G87">
            <v>1.5</v>
          </cell>
          <cell r="H87">
            <v>1.7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</row>
        <row r="88">
          <cell r="A88" t="str">
            <v>Shetland</v>
          </cell>
          <cell r="B88">
            <v>10543.81</v>
          </cell>
          <cell r="C88">
            <v>690.9</v>
          </cell>
          <cell r="D88">
            <v>8735.68</v>
          </cell>
          <cell r="E88">
            <v>0</v>
          </cell>
          <cell r="F88">
            <v>13314.93</v>
          </cell>
          <cell r="G88">
            <v>19.900000000000002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11.27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9759.32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>Fife</v>
          </cell>
          <cell r="B89">
            <v>0</v>
          </cell>
          <cell r="C89">
            <v>0</v>
          </cell>
          <cell r="D89">
            <v>54.374999880790753</v>
          </cell>
          <cell r="E89">
            <v>0</v>
          </cell>
          <cell r="F89">
            <v>0.04</v>
          </cell>
          <cell r="G89">
            <v>1.3900000000000001</v>
          </cell>
          <cell r="H89">
            <v>15.421000007629395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9.5040000133514422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</row>
        <row r="90">
          <cell r="A90" t="str">
            <v>West Scotland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0.02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1">
          <cell r="A91" t="str">
            <v>Orkney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>Northern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</row>
        <row r="93">
          <cell r="A93" t="str">
            <v>Klondyke</v>
          </cell>
          <cell r="B93">
            <v>6570.21</v>
          </cell>
          <cell r="C93">
            <v>70.73</v>
          </cell>
          <cell r="D93">
            <v>9588.380000000001</v>
          </cell>
          <cell r="E93">
            <v>0</v>
          </cell>
          <cell r="F93">
            <v>678.37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434.93999999999994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10544.32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</row>
        <row r="94">
          <cell r="A94" t="str">
            <v>Lunar</v>
          </cell>
          <cell r="B94">
            <v>6382.0399999999991</v>
          </cell>
          <cell r="C94">
            <v>0</v>
          </cell>
          <cell r="D94">
            <v>11276.07</v>
          </cell>
          <cell r="E94">
            <v>0</v>
          </cell>
          <cell r="F94">
            <v>1453.98</v>
          </cell>
          <cell r="G94">
            <v>29.6</v>
          </cell>
          <cell r="H94">
            <v>0.21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1.22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24885.629999999997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>Anglo Scot.</v>
          </cell>
          <cell r="B95">
            <v>0.15975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0.57999999999999996</v>
          </cell>
          <cell r="H95">
            <v>0.40724999859184036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</row>
        <row r="96">
          <cell r="A96" t="str">
            <v>EEFPO</v>
          </cell>
          <cell r="B96">
            <v>0.25</v>
          </cell>
          <cell r="C96">
            <v>0</v>
          </cell>
          <cell r="D96">
            <v>0</v>
          </cell>
          <cell r="E96">
            <v>0</v>
          </cell>
          <cell r="F96">
            <v>0.45</v>
          </cell>
          <cell r="G96">
            <v>0.79</v>
          </cell>
          <cell r="H96">
            <v>0.03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</row>
        <row r="97">
          <cell r="A97" t="str">
            <v>Western PO</v>
          </cell>
          <cell r="B97">
            <v>0</v>
          </cell>
          <cell r="C97">
            <v>0</v>
          </cell>
          <cell r="D97">
            <v>7.2607269845902933E-2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>FPO</v>
          </cell>
          <cell r="B98">
            <v>0</v>
          </cell>
          <cell r="C98">
            <v>0</v>
          </cell>
          <cell r="D98">
            <v>0.31715000024437906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0.06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</row>
        <row r="99">
          <cell r="A99" t="str">
            <v>NIFPO</v>
          </cell>
          <cell r="B99">
            <v>0</v>
          </cell>
          <cell r="C99">
            <v>0</v>
          </cell>
          <cell r="D99">
            <v>1369.3250000076293</v>
          </cell>
          <cell r="E99">
            <v>0</v>
          </cell>
          <cell r="F99">
            <v>0.60000000000000009</v>
          </cell>
          <cell r="G99">
            <v>10.855999976992608</v>
          </cell>
          <cell r="H99">
            <v>0.97900000095367434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0.35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</row>
        <row r="100">
          <cell r="A100" t="str">
            <v>ANIFPO</v>
          </cell>
          <cell r="B100">
            <v>5485.0690000000004</v>
          </cell>
          <cell r="C100">
            <v>180.3</v>
          </cell>
          <cell r="D100">
            <v>6799.2010000039345</v>
          </cell>
          <cell r="E100">
            <v>0</v>
          </cell>
          <cell r="F100">
            <v>2789.4029999999998</v>
          </cell>
          <cell r="G100">
            <v>0</v>
          </cell>
          <cell r="H100">
            <v>0.01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859.19599999999991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>Cornish</v>
          </cell>
          <cell r="B101">
            <v>0</v>
          </cell>
          <cell r="C101">
            <v>0</v>
          </cell>
          <cell r="D101">
            <v>9.9830819545611647</v>
          </cell>
          <cell r="E101">
            <v>4.4044999999999996</v>
          </cell>
          <cell r="F101">
            <v>1.1800000190734865</v>
          </cell>
          <cell r="G101">
            <v>8.1820000038146983</v>
          </cell>
          <cell r="H101">
            <v>2.1864999661445625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2.6085815988332026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</row>
        <row r="102">
          <cell r="A102" t="str">
            <v>South West</v>
          </cell>
          <cell r="B102">
            <v>0</v>
          </cell>
          <cell r="C102">
            <v>0</v>
          </cell>
          <cell r="D102">
            <v>2.6477510213777404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0.30009999994188541</v>
          </cell>
          <cell r="O102">
            <v>0.20329999899864198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</row>
        <row r="103">
          <cell r="A103" t="str">
            <v>North Sea</v>
          </cell>
          <cell r="B103">
            <v>0</v>
          </cell>
          <cell r="C103">
            <v>0</v>
          </cell>
          <cell r="D103">
            <v>19.031000035285945</v>
          </cell>
          <cell r="E103">
            <v>0</v>
          </cell>
          <cell r="F103">
            <v>0</v>
          </cell>
          <cell r="G103">
            <v>0</v>
          </cell>
          <cell r="H103">
            <v>2.3789999999999991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13.914000005722039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>Lowestoft</v>
          </cell>
          <cell r="B104">
            <v>0</v>
          </cell>
          <cell r="C104">
            <v>0</v>
          </cell>
          <cell r="D104">
            <v>43.616000060081497</v>
          </cell>
          <cell r="E104">
            <v>0</v>
          </cell>
          <cell r="F104">
            <v>0</v>
          </cell>
          <cell r="G104">
            <v>0</v>
          </cell>
          <cell r="H104">
            <v>67.084000190988235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56.185959028124806</v>
          </cell>
          <cell r="O104">
            <v>7.1043000068664544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</row>
        <row r="105">
          <cell r="A105" t="str">
            <v>Wales WC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</row>
        <row r="106">
          <cell r="A106" t="str">
            <v>Interfish</v>
          </cell>
          <cell r="B106">
            <v>7754.0200000000013</v>
          </cell>
          <cell r="C106">
            <v>27.2</v>
          </cell>
          <cell r="D106">
            <v>7346.7568000036035</v>
          </cell>
          <cell r="E106">
            <v>0</v>
          </cell>
          <cell r="F106">
            <v>2243.5299999999997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6821.0199999999995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>North Atlantic FPO</v>
          </cell>
          <cell r="B107">
            <v>9011.4820087715416</v>
          </cell>
          <cell r="C107">
            <v>4.5430000076293942</v>
          </cell>
          <cell r="D107">
            <v>12019.304997544374</v>
          </cell>
          <cell r="E107">
            <v>0</v>
          </cell>
          <cell r="F107">
            <v>251.75700170898438</v>
          </cell>
          <cell r="G107">
            <v>215.74050032138831</v>
          </cell>
          <cell r="H107">
            <v>120.616000141561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1418.0318943720454</v>
          </cell>
          <cell r="O107">
            <v>3.5120000000000049</v>
          </cell>
          <cell r="P107">
            <v>0</v>
          </cell>
          <cell r="Q107">
            <v>0</v>
          </cell>
          <cell r="R107">
            <v>0</v>
          </cell>
          <cell r="S107">
            <v>9.8252998046875</v>
          </cell>
          <cell r="T107">
            <v>7202.1500341720584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</row>
        <row r="108">
          <cell r="A108" t="str">
            <v>Non Sector - England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</row>
        <row r="109">
          <cell r="A109" t="str">
            <v>Non Sector - Wales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>Non Sector - Scotland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0.1</v>
          </cell>
          <cell r="G110">
            <v>0.18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</row>
        <row r="111">
          <cell r="A111" t="str">
            <v>Non Sector - N.Ireland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</row>
        <row r="112">
          <cell r="A112" t="str">
            <v>Isle of Man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>Under 10m - England</v>
          </cell>
          <cell r="B113">
            <v>3.3722499999999993</v>
          </cell>
          <cell r="C113">
            <v>0</v>
          </cell>
          <cell r="D113">
            <v>45.996502104461094</v>
          </cell>
          <cell r="E113">
            <v>210.22890200965816</v>
          </cell>
          <cell r="F113">
            <v>0</v>
          </cell>
          <cell r="G113">
            <v>0</v>
          </cell>
          <cell r="H113">
            <v>4.3998699995577244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0.82615000107139303</v>
          </cell>
          <cell r="O113">
            <v>1.6943300013393159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</row>
        <row r="114">
          <cell r="A114" t="str">
            <v>Under 10m - Wales</v>
          </cell>
          <cell r="B114">
            <v>0</v>
          </cell>
          <cell r="C114">
            <v>0</v>
          </cell>
          <cell r="D114">
            <v>0.56665999993681926</v>
          </cell>
          <cell r="E114">
            <v>9.4199999809265134E-2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</row>
        <row r="115">
          <cell r="A115" t="str">
            <v>Under 10m - Scotland</v>
          </cell>
          <cell r="B115">
            <v>0</v>
          </cell>
          <cell r="C115">
            <v>0</v>
          </cell>
          <cell r="D115">
            <v>12.389999999999999</v>
          </cell>
          <cell r="E115">
            <v>0</v>
          </cell>
          <cell r="F115">
            <v>0</v>
          </cell>
          <cell r="G115">
            <v>826.63999999999919</v>
          </cell>
          <cell r="H115">
            <v>48.870000000000012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0.06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>Under 10m - N.Ireland</v>
          </cell>
          <cell r="B116">
            <v>0</v>
          </cell>
          <cell r="C116">
            <v>0</v>
          </cell>
          <cell r="D116">
            <v>0.126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</row>
        <row r="117">
          <cell r="A117" t="str">
            <v>Handliners(VIIe-h)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</row>
        <row r="119">
          <cell r="A119" t="str">
            <v>Total</v>
          </cell>
          <cell r="B119">
            <v>64482.213008771549</v>
          </cell>
          <cell r="C119">
            <v>974.30300000762941</v>
          </cell>
          <cell r="D119">
            <v>83499.219549886126</v>
          </cell>
          <cell r="E119">
            <v>214.72760200946743</v>
          </cell>
          <cell r="F119">
            <v>22375.300001728057</v>
          </cell>
          <cell r="G119">
            <v>1140.7485003021948</v>
          </cell>
          <cell r="H119">
            <v>272.58962030542642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1498.882103420257</v>
          </cell>
          <cell r="O119">
            <v>1337.5685116060372</v>
          </cell>
          <cell r="P119">
            <v>0</v>
          </cell>
          <cell r="Q119">
            <v>0</v>
          </cell>
          <cell r="R119">
            <v>0</v>
          </cell>
          <cell r="S119">
            <v>9.8252998046875</v>
          </cell>
          <cell r="T119">
            <v>72103.040034172052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</row>
        <row r="122">
          <cell r="A122">
            <v>44468</v>
          </cell>
        </row>
        <row r="125">
          <cell r="A125" t="str">
            <v>SFO</v>
          </cell>
          <cell r="B125">
            <v>18501.59</v>
          </cell>
          <cell r="C125">
            <v>0.63</v>
          </cell>
          <cell r="D125">
            <v>26172.830000000005</v>
          </cell>
          <cell r="E125">
            <v>0</v>
          </cell>
          <cell r="F125">
            <v>1639.3700000000001</v>
          </cell>
          <cell r="G125">
            <v>12.69</v>
          </cell>
          <cell r="H125">
            <v>3.9569999999999999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14.590000000000002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12890.6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</row>
        <row r="126">
          <cell r="A126" t="str">
            <v>Aberdeen</v>
          </cell>
          <cell r="B126">
            <v>7.0000000000000007E-2</v>
          </cell>
          <cell r="C126">
            <v>0</v>
          </cell>
          <cell r="D126">
            <v>0</v>
          </cell>
          <cell r="E126">
            <v>0</v>
          </cell>
          <cell r="F126">
            <v>1.02</v>
          </cell>
          <cell r="G126">
            <v>12.700000000000001</v>
          </cell>
          <cell r="H126">
            <v>4.34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0.28000000000000003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</row>
        <row r="127">
          <cell r="A127" t="str">
            <v>NESFO</v>
          </cell>
          <cell r="B127">
            <v>0.12</v>
          </cell>
          <cell r="C127">
            <v>0</v>
          </cell>
          <cell r="D127">
            <v>1.1599999999999999</v>
          </cell>
          <cell r="E127">
            <v>0</v>
          </cell>
          <cell r="F127">
            <v>0.01</v>
          </cell>
          <cell r="G127">
            <v>1.44</v>
          </cell>
          <cell r="H127">
            <v>1.7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>Shetland</v>
          </cell>
          <cell r="B128">
            <v>10543.81</v>
          </cell>
          <cell r="C128">
            <v>690.9</v>
          </cell>
          <cell r="D128">
            <v>8735.68</v>
          </cell>
          <cell r="E128">
            <v>0</v>
          </cell>
          <cell r="F128">
            <v>13314.93</v>
          </cell>
          <cell r="G128">
            <v>19.900000000000002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11.27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9759.32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</row>
        <row r="129">
          <cell r="A129" t="str">
            <v>Fife</v>
          </cell>
          <cell r="B129">
            <v>0</v>
          </cell>
          <cell r="C129">
            <v>0</v>
          </cell>
          <cell r="D129">
            <v>53.104999880790743</v>
          </cell>
          <cell r="E129">
            <v>0</v>
          </cell>
          <cell r="F129">
            <v>0.04</v>
          </cell>
          <cell r="G129">
            <v>1.3900000000000001</v>
          </cell>
          <cell r="H129">
            <v>7.7150000076293956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9.5040000133514422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</row>
        <row r="130">
          <cell r="A130" t="str">
            <v>West Scotland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>Orkney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</row>
        <row r="132">
          <cell r="A132" t="str">
            <v>Northern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</row>
        <row r="133">
          <cell r="A133" t="str">
            <v>Klondyke</v>
          </cell>
          <cell r="B133">
            <v>6570.21</v>
          </cell>
          <cell r="C133">
            <v>70.73</v>
          </cell>
          <cell r="D133">
            <v>9588.380000000001</v>
          </cell>
          <cell r="E133">
            <v>0</v>
          </cell>
          <cell r="F133">
            <v>678.37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434.93999999999994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10544.32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>Lunar</v>
          </cell>
          <cell r="B134">
            <v>6382.0399999999991</v>
          </cell>
          <cell r="C134">
            <v>0</v>
          </cell>
          <cell r="D134">
            <v>11276.07</v>
          </cell>
          <cell r="E134">
            <v>0</v>
          </cell>
          <cell r="F134">
            <v>1453.98</v>
          </cell>
          <cell r="G134">
            <v>29.6</v>
          </cell>
          <cell r="H134">
            <v>0.21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1.22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24885.629999999997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</row>
        <row r="135">
          <cell r="A135" t="str">
            <v>Anglo Scot.</v>
          </cell>
          <cell r="B135">
            <v>0.15975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0.57999999999999996</v>
          </cell>
          <cell r="H135">
            <v>0.39524999859184035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</row>
        <row r="136">
          <cell r="A136" t="str">
            <v>EEFPO</v>
          </cell>
          <cell r="B136">
            <v>0.25</v>
          </cell>
          <cell r="C136">
            <v>0</v>
          </cell>
          <cell r="D136">
            <v>0</v>
          </cell>
          <cell r="E136">
            <v>0</v>
          </cell>
          <cell r="F136">
            <v>0.34</v>
          </cell>
          <cell r="G136">
            <v>0.79</v>
          </cell>
          <cell r="H136">
            <v>0.03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>Western PO</v>
          </cell>
          <cell r="B137">
            <v>0</v>
          </cell>
          <cell r="C137">
            <v>0</v>
          </cell>
          <cell r="D137">
            <v>7.2607269845902933E-2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</row>
        <row r="138">
          <cell r="A138" t="str">
            <v>FPO</v>
          </cell>
          <cell r="B138">
            <v>0</v>
          </cell>
          <cell r="C138">
            <v>0</v>
          </cell>
          <cell r="D138">
            <v>0.31715000024437906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0.06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</row>
        <row r="139">
          <cell r="A139" t="str">
            <v>NIFPO</v>
          </cell>
          <cell r="B139">
            <v>0</v>
          </cell>
          <cell r="C139">
            <v>0</v>
          </cell>
          <cell r="D139">
            <v>1369.3250000076293</v>
          </cell>
          <cell r="E139">
            <v>0</v>
          </cell>
          <cell r="F139">
            <v>0.60000000000000009</v>
          </cell>
          <cell r="G139">
            <v>10.855999976992608</v>
          </cell>
          <cell r="H139">
            <v>0.97900000095367434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0.35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>ANIFPO</v>
          </cell>
          <cell r="B140">
            <v>5485.0690000000004</v>
          </cell>
          <cell r="C140">
            <v>180.3</v>
          </cell>
          <cell r="D140">
            <v>6799.2010000039345</v>
          </cell>
          <cell r="E140">
            <v>0</v>
          </cell>
          <cell r="F140">
            <v>2789.4029999999998</v>
          </cell>
          <cell r="G140">
            <v>0</v>
          </cell>
          <cell r="H140">
            <v>0.01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859.19599999999991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</row>
        <row r="141">
          <cell r="A141" t="str">
            <v>Cornish</v>
          </cell>
          <cell r="B141">
            <v>0</v>
          </cell>
          <cell r="C141">
            <v>0</v>
          </cell>
          <cell r="D141">
            <v>9.9414308382347141</v>
          </cell>
          <cell r="E141">
            <v>4.4044999999999996</v>
          </cell>
          <cell r="F141">
            <v>0.24000000762939441</v>
          </cell>
          <cell r="G141">
            <v>8.1820000038146983</v>
          </cell>
          <cell r="H141">
            <v>2.1864999661445625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2.6074481415152544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</row>
        <row r="142">
          <cell r="A142" t="str">
            <v>South West</v>
          </cell>
          <cell r="B142">
            <v>0</v>
          </cell>
          <cell r="C142">
            <v>0</v>
          </cell>
          <cell r="D142">
            <v>2.6399225934371335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0.28990000013262029</v>
          </cell>
          <cell r="O142">
            <v>0.20329999899864198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>North Sea</v>
          </cell>
          <cell r="B143">
            <v>0</v>
          </cell>
          <cell r="C143">
            <v>0</v>
          </cell>
          <cell r="D143">
            <v>19.031000035285945</v>
          </cell>
          <cell r="E143">
            <v>0</v>
          </cell>
          <cell r="F143">
            <v>0</v>
          </cell>
          <cell r="G143">
            <v>0</v>
          </cell>
          <cell r="H143">
            <v>2.3389999999999991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13.914000005722039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</row>
        <row r="144">
          <cell r="A144" t="str">
            <v>Lowestoft</v>
          </cell>
          <cell r="B144">
            <v>0</v>
          </cell>
          <cell r="C144">
            <v>0</v>
          </cell>
          <cell r="D144">
            <v>43.616000060081497</v>
          </cell>
          <cell r="E144">
            <v>0</v>
          </cell>
          <cell r="F144">
            <v>0</v>
          </cell>
          <cell r="G144">
            <v>0</v>
          </cell>
          <cell r="H144">
            <v>65.027000160470649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55.853959029793735</v>
          </cell>
          <cell r="O144">
            <v>7.1043000068664544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</row>
        <row r="145">
          <cell r="A145" t="str">
            <v>Wales WC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>Interfish</v>
          </cell>
          <cell r="B146">
            <v>6085.13</v>
          </cell>
          <cell r="C146">
            <v>27.2</v>
          </cell>
          <cell r="D146">
            <v>7346.7568000036035</v>
          </cell>
          <cell r="E146">
            <v>0</v>
          </cell>
          <cell r="F146">
            <v>2243.5299999999997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6821.0199999999995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</row>
        <row r="147">
          <cell r="A147" t="str">
            <v>North Atlantic FPO</v>
          </cell>
          <cell r="B147">
            <v>9011.4820087715416</v>
          </cell>
          <cell r="C147">
            <v>4.5430000076293942</v>
          </cell>
          <cell r="D147">
            <v>11985.516997544373</v>
          </cell>
          <cell r="E147">
            <v>0</v>
          </cell>
          <cell r="F147">
            <v>251.75700170898438</v>
          </cell>
          <cell r="G147">
            <v>215.74050032138831</v>
          </cell>
          <cell r="H147">
            <v>102.04700014156101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1417.9098943720453</v>
          </cell>
          <cell r="O147">
            <v>3.5120000000000049</v>
          </cell>
          <cell r="P147">
            <v>0</v>
          </cell>
          <cell r="Q147">
            <v>0</v>
          </cell>
          <cell r="R147">
            <v>0</v>
          </cell>
          <cell r="S147">
            <v>9.8252998046875</v>
          </cell>
          <cell r="T147">
            <v>7202.1500341720584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</row>
        <row r="148">
          <cell r="A148" t="str">
            <v>Non Sector - England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>Non Sector - Wales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</row>
        <row r="150">
          <cell r="A150" t="str">
            <v>Non Sector - Scotland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0.1</v>
          </cell>
          <cell r="G150">
            <v>0.18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</row>
        <row r="151">
          <cell r="A151" t="str">
            <v>Non Sector - N.Ireland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>Isle of Man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</row>
        <row r="153">
          <cell r="A153" t="str">
            <v>Under 10m - England</v>
          </cell>
          <cell r="B153">
            <v>3.2732499999999995</v>
          </cell>
          <cell r="C153">
            <v>0</v>
          </cell>
          <cell r="D153">
            <v>44.323472106412027</v>
          </cell>
          <cell r="E153">
            <v>204.60355200301819</v>
          </cell>
          <cell r="F153">
            <v>0</v>
          </cell>
          <cell r="G153">
            <v>0</v>
          </cell>
          <cell r="H153">
            <v>3.7946199995577246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0.77970000108331394</v>
          </cell>
          <cell r="O153">
            <v>1.6404400011748073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</row>
        <row r="154">
          <cell r="A154" t="str">
            <v>Under 10m - Wales</v>
          </cell>
          <cell r="B154">
            <v>0</v>
          </cell>
          <cell r="C154">
            <v>0</v>
          </cell>
          <cell r="D154">
            <v>0.56665999993681926</v>
          </cell>
          <cell r="E154">
            <v>9.4199999809265134E-2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>Under 10m - Scotland</v>
          </cell>
          <cell r="B155">
            <v>0</v>
          </cell>
          <cell r="C155">
            <v>0</v>
          </cell>
          <cell r="D155">
            <v>10.97</v>
          </cell>
          <cell r="E155">
            <v>0</v>
          </cell>
          <cell r="F155">
            <v>0</v>
          </cell>
          <cell r="G155">
            <v>739.50999999999897</v>
          </cell>
          <cell r="H155">
            <v>45.070000000000007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0.06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</row>
        <row r="156">
          <cell r="A156" t="str">
            <v>Under 10m - N.Ireland</v>
          </cell>
          <cell r="B156">
            <v>0</v>
          </cell>
          <cell r="C156">
            <v>0</v>
          </cell>
          <cell r="D156">
            <v>0.126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</row>
        <row r="157">
          <cell r="A157" t="str">
            <v>Handliners(VIIe-h)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9">
          <cell r="A159" t="str">
            <v>Total</v>
          </cell>
          <cell r="B159">
            <v>62583.204008771536</v>
          </cell>
          <cell r="C159">
            <v>974.30300000762941</v>
          </cell>
          <cell r="D159">
            <v>83459.629040343818</v>
          </cell>
          <cell r="E159">
            <v>209.10225200282747</v>
          </cell>
          <cell r="F159">
            <v>22373.690001716612</v>
          </cell>
          <cell r="G159">
            <v>1053.5585003021947</v>
          </cell>
          <cell r="H159">
            <v>239.80037027490886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1498.3714534221283</v>
          </cell>
          <cell r="O159">
            <v>1336.913488148555</v>
          </cell>
          <cell r="P159">
            <v>0</v>
          </cell>
          <cell r="Q159">
            <v>0</v>
          </cell>
          <cell r="R159">
            <v>0</v>
          </cell>
          <cell r="S159">
            <v>9.8252998046875</v>
          </cell>
          <cell r="T159">
            <v>72103.040034172052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</row>
        <row r="165">
          <cell r="A165" t="str">
            <v>SFO</v>
          </cell>
          <cell r="B165">
            <v>13609.609999999997</v>
          </cell>
          <cell r="C165">
            <v>0.63</v>
          </cell>
          <cell r="D165">
            <v>26172.830000000005</v>
          </cell>
          <cell r="E165">
            <v>0</v>
          </cell>
          <cell r="F165">
            <v>1638.92</v>
          </cell>
          <cell r="G165">
            <v>12.69</v>
          </cell>
          <cell r="H165">
            <v>3.9569999999999999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14.590000000000002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12890.6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</row>
        <row r="166">
          <cell r="A166" t="str">
            <v>Aberdeen</v>
          </cell>
          <cell r="B166">
            <v>7.0000000000000007E-2</v>
          </cell>
          <cell r="C166">
            <v>0</v>
          </cell>
          <cell r="D166">
            <v>0</v>
          </cell>
          <cell r="E166">
            <v>0</v>
          </cell>
          <cell r="F166">
            <v>0.73</v>
          </cell>
          <cell r="G166">
            <v>12.700000000000001</v>
          </cell>
          <cell r="H166">
            <v>4.34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0.28000000000000003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>NESFO</v>
          </cell>
          <cell r="B167">
            <v>0.12</v>
          </cell>
          <cell r="C167">
            <v>0</v>
          </cell>
          <cell r="D167">
            <v>1.1599999999999999</v>
          </cell>
          <cell r="E167">
            <v>0</v>
          </cell>
          <cell r="F167">
            <v>0</v>
          </cell>
          <cell r="G167">
            <v>1.44</v>
          </cell>
          <cell r="H167">
            <v>1.7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</row>
        <row r="168">
          <cell r="A168" t="str">
            <v>Shetland</v>
          </cell>
          <cell r="B168">
            <v>9419.48</v>
          </cell>
          <cell r="C168">
            <v>690.9</v>
          </cell>
          <cell r="D168">
            <v>8735.68</v>
          </cell>
          <cell r="E168">
            <v>0</v>
          </cell>
          <cell r="F168">
            <v>13314.08</v>
          </cell>
          <cell r="G168">
            <v>19.900000000000002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11.27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9759.32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</row>
        <row r="169">
          <cell r="A169" t="str">
            <v>Fife</v>
          </cell>
          <cell r="B169">
            <v>0</v>
          </cell>
          <cell r="C169">
            <v>0</v>
          </cell>
          <cell r="D169">
            <v>52.648999884605445</v>
          </cell>
          <cell r="E169">
            <v>0</v>
          </cell>
          <cell r="F169">
            <v>0.04</v>
          </cell>
          <cell r="G169">
            <v>1.3900000000000001</v>
          </cell>
          <cell r="H169">
            <v>6.2279999999999998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9.4240000133514403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>West Scotland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</row>
        <row r="171">
          <cell r="A171" t="str">
            <v>Orkney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</row>
        <row r="172">
          <cell r="A172" t="str">
            <v>Northern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>Klondyke</v>
          </cell>
          <cell r="B173">
            <v>5968.37</v>
          </cell>
          <cell r="C173">
            <v>0</v>
          </cell>
          <cell r="D173">
            <v>9588.380000000001</v>
          </cell>
          <cell r="E173">
            <v>0</v>
          </cell>
          <cell r="F173">
            <v>678.37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434.93999999999994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10544.32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</row>
        <row r="174">
          <cell r="A174" t="str">
            <v>Lunar</v>
          </cell>
          <cell r="B174">
            <v>6382.0399999999991</v>
          </cell>
          <cell r="C174">
            <v>0</v>
          </cell>
          <cell r="D174">
            <v>11276.07</v>
          </cell>
          <cell r="E174">
            <v>0</v>
          </cell>
          <cell r="F174">
            <v>1453.98</v>
          </cell>
          <cell r="G174">
            <v>29.6</v>
          </cell>
          <cell r="H174">
            <v>0.21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1.22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24885.629999999997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</row>
        <row r="175">
          <cell r="A175" t="str">
            <v>Anglo Scot.</v>
          </cell>
          <cell r="B175">
            <v>0.15975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0.57999999999999996</v>
          </cell>
          <cell r="H175">
            <v>0.38624999859184028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>EEFPO</v>
          </cell>
          <cell r="B176">
            <v>0.25</v>
          </cell>
          <cell r="C176">
            <v>0</v>
          </cell>
          <cell r="D176">
            <v>0</v>
          </cell>
          <cell r="E176">
            <v>0</v>
          </cell>
          <cell r="F176">
            <v>0.26</v>
          </cell>
          <cell r="G176">
            <v>0.79</v>
          </cell>
          <cell r="H176">
            <v>0.03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</row>
        <row r="177">
          <cell r="A177" t="str">
            <v>Western PO</v>
          </cell>
          <cell r="B177">
            <v>0</v>
          </cell>
          <cell r="C177">
            <v>0</v>
          </cell>
          <cell r="D177">
            <v>4.4207270227372641E-2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</row>
        <row r="178">
          <cell r="A178" t="str">
            <v>FPO</v>
          </cell>
          <cell r="B178">
            <v>0</v>
          </cell>
          <cell r="C178">
            <v>0</v>
          </cell>
          <cell r="D178">
            <v>0.30629999986290929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0.06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>NIFPO</v>
          </cell>
          <cell r="B179">
            <v>0</v>
          </cell>
          <cell r="C179">
            <v>0</v>
          </cell>
          <cell r="D179">
            <v>1369.0050000038145</v>
          </cell>
          <cell r="E179">
            <v>0</v>
          </cell>
          <cell r="F179">
            <v>0.60000000000000009</v>
          </cell>
          <cell r="G179">
            <v>10.855999976992607</v>
          </cell>
          <cell r="H179">
            <v>0.97900000095367423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0.35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</row>
        <row r="180">
          <cell r="A180" t="str">
            <v>ANIFPO</v>
          </cell>
          <cell r="B180">
            <v>5485.0690000000004</v>
          </cell>
          <cell r="C180">
            <v>0</v>
          </cell>
          <cell r="D180">
            <v>6799.2010000039336</v>
          </cell>
          <cell r="E180">
            <v>0</v>
          </cell>
          <cell r="F180">
            <v>2789.4030000000002</v>
          </cell>
          <cell r="G180">
            <v>0</v>
          </cell>
          <cell r="H180">
            <v>0.01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859.19599999999991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</row>
        <row r="181">
          <cell r="A181" t="str">
            <v>Cornish</v>
          </cell>
          <cell r="B181">
            <v>0</v>
          </cell>
          <cell r="C181">
            <v>0</v>
          </cell>
          <cell r="D181">
            <v>9.9242775146067146</v>
          </cell>
          <cell r="E181">
            <v>4.4045000000000005</v>
          </cell>
          <cell r="F181">
            <v>0.24000000762939439</v>
          </cell>
          <cell r="G181">
            <v>8.1820000038146965</v>
          </cell>
          <cell r="H181">
            <v>2.1864999661445621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2.5980481420159345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>South West</v>
          </cell>
          <cell r="B182">
            <v>0</v>
          </cell>
          <cell r="C182">
            <v>0</v>
          </cell>
          <cell r="D182">
            <v>2.6327225935086602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0.28220000032335518</v>
          </cell>
          <cell r="O182">
            <v>0.20329999899864196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</row>
        <row r="183">
          <cell r="A183" t="str">
            <v>North Sea</v>
          </cell>
          <cell r="B183">
            <v>0</v>
          </cell>
          <cell r="C183">
            <v>0</v>
          </cell>
          <cell r="D183">
            <v>19.031000035285942</v>
          </cell>
          <cell r="E183">
            <v>0</v>
          </cell>
          <cell r="F183">
            <v>0</v>
          </cell>
          <cell r="G183">
            <v>0</v>
          </cell>
          <cell r="H183">
            <v>2.3389999999999991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13.914000005722039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</row>
        <row r="184">
          <cell r="A184" t="str">
            <v>Lowestoft</v>
          </cell>
          <cell r="B184">
            <v>0</v>
          </cell>
          <cell r="C184">
            <v>0</v>
          </cell>
          <cell r="D184">
            <v>43.61600006008149</v>
          </cell>
          <cell r="E184">
            <v>0</v>
          </cell>
          <cell r="F184">
            <v>0</v>
          </cell>
          <cell r="G184">
            <v>0</v>
          </cell>
          <cell r="H184">
            <v>60.978000168099996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55.505959032177934</v>
          </cell>
          <cell r="O184">
            <v>7.1043000068664552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>Wales WC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</row>
        <row r="186">
          <cell r="A186" t="str">
            <v>Interfish</v>
          </cell>
          <cell r="B186">
            <v>3743.0799999999995</v>
          </cell>
          <cell r="C186">
            <v>27.2</v>
          </cell>
          <cell r="D186">
            <v>7346.7568000036035</v>
          </cell>
          <cell r="E186">
            <v>0</v>
          </cell>
          <cell r="F186">
            <v>2243.5299999999997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6821.0199999999995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</row>
        <row r="187">
          <cell r="A187" t="str">
            <v>North Atlantic FPO</v>
          </cell>
          <cell r="B187">
            <v>9011.4820087715434</v>
          </cell>
          <cell r="C187">
            <v>4.543000007629395</v>
          </cell>
          <cell r="D187">
            <v>11985.516997544379</v>
          </cell>
          <cell r="E187">
            <v>0</v>
          </cell>
          <cell r="F187">
            <v>251.75700170898438</v>
          </cell>
          <cell r="G187">
            <v>215.74050032138831</v>
          </cell>
          <cell r="H187">
            <v>102.03500014156103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1417.909894372046</v>
          </cell>
          <cell r="O187">
            <v>3.5120000000000049</v>
          </cell>
          <cell r="P187">
            <v>0</v>
          </cell>
          <cell r="Q187">
            <v>0</v>
          </cell>
          <cell r="R187">
            <v>0</v>
          </cell>
          <cell r="S187">
            <v>9.8252998046875</v>
          </cell>
          <cell r="T187">
            <v>7202.1500341720584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>Non Sector - England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</row>
        <row r="189">
          <cell r="A189" t="str">
            <v>Non Sector - Wales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</row>
        <row r="190">
          <cell r="A190" t="str">
            <v>Non Sector - Scotland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0.1</v>
          </cell>
          <cell r="G190">
            <v>0.18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>Non Sector - N.Ireland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</row>
        <row r="192">
          <cell r="A192" t="str">
            <v>Isle of Man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</row>
        <row r="193">
          <cell r="A193" t="str">
            <v>Under 10m - England</v>
          </cell>
          <cell r="B193">
            <v>3.27325</v>
          </cell>
          <cell r="C193">
            <v>0</v>
          </cell>
          <cell r="D193">
            <v>40.52249210397153</v>
          </cell>
          <cell r="E193">
            <v>201.58752200348658</v>
          </cell>
          <cell r="F193">
            <v>0</v>
          </cell>
          <cell r="G193">
            <v>0</v>
          </cell>
          <cell r="H193">
            <v>3.6363699995577337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0.60470000108331468</v>
          </cell>
          <cell r="O193">
            <v>1.6289400012940174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>Under 10m - Wales</v>
          </cell>
          <cell r="B194">
            <v>0</v>
          </cell>
          <cell r="C194">
            <v>0</v>
          </cell>
          <cell r="D194">
            <v>0.56575999996066095</v>
          </cell>
          <cell r="E194">
            <v>9.4199999809265134E-2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</row>
        <row r="195">
          <cell r="A195" t="str">
            <v>Under 10m - Scotland</v>
          </cell>
          <cell r="B195">
            <v>0</v>
          </cell>
          <cell r="C195">
            <v>0</v>
          </cell>
          <cell r="D195">
            <v>10.51</v>
          </cell>
          <cell r="E195">
            <v>0</v>
          </cell>
          <cell r="F195">
            <v>0</v>
          </cell>
          <cell r="G195">
            <v>622.52999999999952</v>
          </cell>
          <cell r="H195">
            <v>43.350000000000009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0.06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</row>
        <row r="196">
          <cell r="A196" t="str">
            <v>Under 10m - N.Ireland</v>
          </cell>
          <cell r="B196">
            <v>0</v>
          </cell>
          <cell r="C196">
            <v>0</v>
          </cell>
          <cell r="D196">
            <v>0.126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>Handliners(VIIe-h)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</row>
        <row r="199">
          <cell r="A199" t="str">
            <v>Total</v>
          </cell>
          <cell r="B199">
            <v>53623.004008771539</v>
          </cell>
          <cell r="C199">
            <v>723.27300000762943</v>
          </cell>
          <cell r="D199">
            <v>83454.527557017849</v>
          </cell>
          <cell r="E199">
            <v>206.08622200329586</v>
          </cell>
          <cell r="F199">
            <v>22372.010001716615</v>
          </cell>
          <cell r="G199">
            <v>936.57850030219515</v>
          </cell>
          <cell r="H199">
            <v>232.36512027490886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1497.760753424704</v>
          </cell>
          <cell r="O199">
            <v>1336.8925881491748</v>
          </cell>
          <cell r="P199">
            <v>0</v>
          </cell>
          <cell r="Q199">
            <v>0</v>
          </cell>
          <cell r="R199">
            <v>0</v>
          </cell>
          <cell r="S199">
            <v>9.8252998046875</v>
          </cell>
          <cell r="T199">
            <v>72103.040034172052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</sheetData>
      <sheetData sheetId="4">
        <row r="46">
          <cell r="B46" t="str">
            <v>SFO</v>
          </cell>
          <cell r="C46">
            <v>18584.099999999999</v>
          </cell>
          <cell r="D46">
            <v>0</v>
          </cell>
          <cell r="E46">
            <v>49577.299999999996</v>
          </cell>
          <cell r="F46">
            <v>48607.1</v>
          </cell>
          <cell r="G46">
            <v>92.917000000000002</v>
          </cell>
          <cell r="H46">
            <v>64.016999999999996</v>
          </cell>
          <cell r="I46">
            <v>0.8000000000001819</v>
          </cell>
          <cell r="J46">
            <v>0</v>
          </cell>
          <cell r="K46">
            <v>0</v>
          </cell>
          <cell r="L46">
            <v>0</v>
          </cell>
          <cell r="M46">
            <v>138.9</v>
          </cell>
          <cell r="N46">
            <v>226.2</v>
          </cell>
          <cell r="O46">
            <v>85.414000000000044</v>
          </cell>
          <cell r="Q46">
            <v>0</v>
          </cell>
          <cell r="R46">
            <v>0</v>
          </cell>
          <cell r="S46">
            <v>0</v>
          </cell>
          <cell r="T46">
            <v>12963.532999999999</v>
          </cell>
          <cell r="W46">
            <v>0</v>
          </cell>
        </row>
        <row r="47">
          <cell r="B47" t="str">
            <v>Aberdeen</v>
          </cell>
          <cell r="C47">
            <v>-0.4</v>
          </cell>
          <cell r="D47">
            <v>0</v>
          </cell>
          <cell r="E47">
            <v>12</v>
          </cell>
          <cell r="F47">
            <v>42</v>
          </cell>
          <cell r="G47">
            <v>23.384</v>
          </cell>
          <cell r="H47">
            <v>7.1840000000000002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4.5</v>
          </cell>
          <cell r="N47">
            <v>10</v>
          </cell>
          <cell r="O47">
            <v>0.1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W47">
            <v>0</v>
          </cell>
          <cell r="Y47">
            <v>0</v>
          </cell>
        </row>
        <row r="48">
          <cell r="B48" t="str">
            <v>NESFO</v>
          </cell>
          <cell r="C48">
            <v>0.2</v>
          </cell>
          <cell r="D48">
            <v>0</v>
          </cell>
          <cell r="E48">
            <v>1</v>
          </cell>
          <cell r="F48">
            <v>0</v>
          </cell>
          <cell r="G48">
            <v>7.770999999999999</v>
          </cell>
          <cell r="H48">
            <v>2.6709999999999998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0.4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0.89999999999997726</v>
          </cell>
          <cell r="W48">
            <v>0</v>
          </cell>
          <cell r="Y48">
            <v>0</v>
          </cell>
        </row>
        <row r="49">
          <cell r="B49" t="str">
            <v>Shetland</v>
          </cell>
          <cell r="C49">
            <v>10482.9</v>
          </cell>
          <cell r="D49">
            <v>680</v>
          </cell>
          <cell r="E49">
            <v>46773.4</v>
          </cell>
          <cell r="F49">
            <v>45888.800000000003</v>
          </cell>
          <cell r="G49">
            <v>29.449000000000002</v>
          </cell>
          <cell r="H49">
            <v>42.249000000000002</v>
          </cell>
          <cell r="I49">
            <v>4300.26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218.2</v>
          </cell>
          <cell r="O49">
            <v>576.17399999999998</v>
          </cell>
          <cell r="Q49">
            <v>0</v>
          </cell>
          <cell r="R49">
            <v>0</v>
          </cell>
          <cell r="S49">
            <v>0</v>
          </cell>
          <cell r="T49">
            <v>9671.8799999999992</v>
          </cell>
          <cell r="W49">
            <v>0</v>
          </cell>
          <cell r="Y49">
            <v>0</v>
          </cell>
        </row>
        <row r="50">
          <cell r="B50" t="str">
            <v>Fife</v>
          </cell>
          <cell r="C50">
            <v>0.6</v>
          </cell>
          <cell r="D50">
            <v>0</v>
          </cell>
          <cell r="E50">
            <v>170.3</v>
          </cell>
          <cell r="F50">
            <v>0.3</v>
          </cell>
          <cell r="G50">
            <v>41.882000000000005</v>
          </cell>
          <cell r="H50">
            <v>0.68200000000000005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52.402999999999999</v>
          </cell>
          <cell r="O50">
            <v>0.59799999999999998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W50">
            <v>0</v>
          </cell>
          <cell r="Y50">
            <v>0</v>
          </cell>
        </row>
        <row r="51">
          <cell r="B51" t="str">
            <v>West Scotland</v>
          </cell>
          <cell r="C51">
            <v>0.19999999999999996</v>
          </cell>
          <cell r="D51">
            <v>0</v>
          </cell>
          <cell r="E51">
            <v>1.3999999999999986</v>
          </cell>
          <cell r="F51">
            <v>15.7</v>
          </cell>
          <cell r="G51">
            <v>1.6E-2</v>
          </cell>
          <cell r="H51">
            <v>0.11600000000000001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25.8</v>
          </cell>
          <cell r="N51">
            <v>0</v>
          </cell>
          <cell r="O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W51">
            <v>0</v>
          </cell>
          <cell r="Y51">
            <v>0</v>
          </cell>
        </row>
        <row r="52">
          <cell r="B52" t="str">
            <v>Orkney</v>
          </cell>
          <cell r="C52">
            <v>0.2</v>
          </cell>
          <cell r="D52">
            <v>0</v>
          </cell>
          <cell r="E52">
            <v>0.2</v>
          </cell>
          <cell r="F52">
            <v>0.2</v>
          </cell>
          <cell r="G52">
            <v>4.4000000000000004</v>
          </cell>
          <cell r="H52">
            <v>1.3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0.1</v>
          </cell>
          <cell r="N52">
            <v>0</v>
          </cell>
          <cell r="O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W52">
            <v>0</v>
          </cell>
          <cell r="Y52">
            <v>0</v>
          </cell>
        </row>
        <row r="53">
          <cell r="B53" t="str">
            <v>Northern</v>
          </cell>
          <cell r="C53">
            <v>0.2</v>
          </cell>
          <cell r="D53">
            <v>0</v>
          </cell>
          <cell r="E53">
            <v>4.3</v>
          </cell>
          <cell r="F53">
            <v>4.3</v>
          </cell>
          <cell r="G53">
            <v>-7.6000000000000005</v>
          </cell>
          <cell r="H53">
            <v>-7.9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4</v>
          </cell>
          <cell r="N53">
            <v>0.1</v>
          </cell>
          <cell r="O53">
            <v>1.6</v>
          </cell>
          <cell r="Q53">
            <v>0</v>
          </cell>
          <cell r="R53">
            <v>0</v>
          </cell>
          <cell r="S53">
            <v>0</v>
          </cell>
          <cell r="T53">
            <v>3.3</v>
          </cell>
          <cell r="W53">
            <v>0</v>
          </cell>
          <cell r="Y53">
            <v>0</v>
          </cell>
        </row>
        <row r="54">
          <cell r="B54" t="str">
            <v>Klondyke</v>
          </cell>
          <cell r="C54">
            <v>6358.9</v>
          </cell>
          <cell r="D54">
            <v>680</v>
          </cell>
          <cell r="E54">
            <v>25463</v>
          </cell>
          <cell r="F54">
            <v>25401.3</v>
          </cell>
          <cell r="G54">
            <v>23.800999999999995</v>
          </cell>
          <cell r="H54">
            <v>56.000999999999998</v>
          </cell>
          <cell r="I54">
            <v>3358.1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0.5</v>
          </cell>
          <cell r="O54">
            <v>625.678</v>
          </cell>
          <cell r="Q54">
            <v>0</v>
          </cell>
          <cell r="R54">
            <v>0</v>
          </cell>
          <cell r="S54">
            <v>0</v>
          </cell>
          <cell r="T54">
            <v>10318.038</v>
          </cell>
          <cell r="W54">
            <v>0</v>
          </cell>
        </row>
        <row r="55">
          <cell r="B55" t="str">
            <v>Lunar</v>
          </cell>
          <cell r="C55">
            <v>6369.0999999999995</v>
          </cell>
          <cell r="D55">
            <v>0</v>
          </cell>
          <cell r="E55">
            <v>24633.8</v>
          </cell>
          <cell r="F55">
            <v>24616.5</v>
          </cell>
          <cell r="G55">
            <v>50.856000000000002</v>
          </cell>
          <cell r="H55">
            <v>19.056000000000001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2.3999999999999986</v>
          </cell>
          <cell r="O55">
            <v>3.2870000000000061</v>
          </cell>
          <cell r="Q55">
            <v>0</v>
          </cell>
          <cell r="R55">
            <v>0</v>
          </cell>
          <cell r="S55">
            <v>0</v>
          </cell>
          <cell r="T55">
            <v>24886.434000000001</v>
          </cell>
          <cell r="W55">
            <v>0</v>
          </cell>
        </row>
        <row r="56">
          <cell r="B56" t="str">
            <v>Anglo Scot.</v>
          </cell>
          <cell r="C56">
            <v>4.8170000000000002</v>
          </cell>
          <cell r="D56">
            <v>0</v>
          </cell>
          <cell r="E56">
            <v>0.59599999999999997</v>
          </cell>
          <cell r="F56">
            <v>0.59599999999999997</v>
          </cell>
          <cell r="G56">
            <v>7.3680000000000003</v>
          </cell>
          <cell r="H56">
            <v>11.368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2.6419999999999999</v>
          </cell>
          <cell r="O56">
            <v>6.1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W56">
            <v>0</v>
          </cell>
          <cell r="Y56">
            <v>0</v>
          </cell>
        </row>
        <row r="57">
          <cell r="B57" t="str">
            <v>EEFPO</v>
          </cell>
          <cell r="C57">
            <v>1.6499999999999915</v>
          </cell>
          <cell r="D57">
            <v>0</v>
          </cell>
          <cell r="E57">
            <v>517.00199999999995</v>
          </cell>
          <cell r="F57">
            <v>262.00200000000001</v>
          </cell>
          <cell r="G57">
            <v>15.036</v>
          </cell>
          <cell r="H57">
            <v>2.036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4.7729999999999997</v>
          </cell>
          <cell r="O57">
            <v>13.1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W57">
            <v>0</v>
          </cell>
          <cell r="Y57">
            <v>0</v>
          </cell>
        </row>
        <row r="58">
          <cell r="B58" t="str">
            <v>Western PO</v>
          </cell>
          <cell r="C58">
            <v>0</v>
          </cell>
          <cell r="D58">
            <v>0</v>
          </cell>
          <cell r="E58">
            <v>175.435</v>
          </cell>
          <cell r="F58">
            <v>5.4349999999999996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0.434</v>
          </cell>
          <cell r="O58">
            <v>0.7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W58">
            <v>0</v>
          </cell>
          <cell r="Y58">
            <v>0</v>
          </cell>
        </row>
        <row r="59">
          <cell r="B59" t="str">
            <v>FPO</v>
          </cell>
          <cell r="C59">
            <v>0.111</v>
          </cell>
          <cell r="D59">
            <v>0</v>
          </cell>
          <cell r="E59">
            <v>3.0139999999999993</v>
          </cell>
          <cell r="F59">
            <v>16.213999999999999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2.206</v>
          </cell>
          <cell r="O59">
            <v>1.1000000000000005</v>
          </cell>
          <cell r="Q59">
            <v>0</v>
          </cell>
          <cell r="R59">
            <v>0</v>
          </cell>
          <cell r="S59">
            <v>0</v>
          </cell>
          <cell r="T59">
            <v>1.5149999999999999</v>
          </cell>
          <cell r="W59">
            <v>0</v>
          </cell>
          <cell r="Y59">
            <v>0</v>
          </cell>
        </row>
        <row r="60">
          <cell r="B60" t="str">
            <v>NIFPO</v>
          </cell>
          <cell r="C60">
            <v>19.416999999999973</v>
          </cell>
          <cell r="D60">
            <v>0</v>
          </cell>
          <cell r="E60">
            <v>1566.5840000000001</v>
          </cell>
          <cell r="F60">
            <v>1156.5840000000001</v>
          </cell>
          <cell r="G60">
            <v>13.235999999999997</v>
          </cell>
          <cell r="H60">
            <v>49.235999999999997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113.822</v>
          </cell>
          <cell r="N60">
            <v>8.5310000000000006</v>
          </cell>
          <cell r="O60">
            <v>10.5</v>
          </cell>
          <cell r="Q60">
            <v>0</v>
          </cell>
          <cell r="R60">
            <v>0</v>
          </cell>
          <cell r="S60">
            <v>0</v>
          </cell>
          <cell r="T60">
            <v>0.29199999999999998</v>
          </cell>
          <cell r="W60">
            <v>0</v>
          </cell>
          <cell r="Y60">
            <v>0</v>
          </cell>
        </row>
        <row r="61">
          <cell r="B61" t="str">
            <v>ANIFPO</v>
          </cell>
          <cell r="C61">
            <v>5373.0829999999996</v>
          </cell>
          <cell r="D61">
            <v>0</v>
          </cell>
          <cell r="E61">
            <v>15737.116</v>
          </cell>
          <cell r="F61">
            <v>15695.716</v>
          </cell>
          <cell r="G61">
            <v>6.1110000000000007</v>
          </cell>
          <cell r="H61">
            <v>1.0999999999999233E-2</v>
          </cell>
          <cell r="I61">
            <v>0.19999999999998863</v>
          </cell>
          <cell r="J61">
            <v>0</v>
          </cell>
          <cell r="K61">
            <v>0</v>
          </cell>
          <cell r="L61">
            <v>0</v>
          </cell>
          <cell r="M61">
            <v>218.27799999999999</v>
          </cell>
          <cell r="N61">
            <v>4.0690000000000168</v>
          </cell>
          <cell r="O61">
            <v>1825.114</v>
          </cell>
          <cell r="Q61">
            <v>0</v>
          </cell>
          <cell r="R61">
            <v>0</v>
          </cell>
          <cell r="S61">
            <v>0</v>
          </cell>
          <cell r="T61">
            <v>218.01899999999978</v>
          </cell>
          <cell r="W61">
            <v>0</v>
          </cell>
          <cell r="Y61">
            <v>0</v>
          </cell>
        </row>
        <row r="62">
          <cell r="B62" t="str">
            <v>Cornish</v>
          </cell>
          <cell r="C62">
            <v>0.5</v>
          </cell>
          <cell r="D62">
            <v>0</v>
          </cell>
          <cell r="E62">
            <v>18.081</v>
          </cell>
          <cell r="F62">
            <v>18.181000000000001</v>
          </cell>
          <cell r="G62">
            <v>10.266999999999999</v>
          </cell>
          <cell r="H62">
            <v>0.26700000000000002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3.0379999999999998</v>
          </cell>
          <cell r="O62">
            <v>7.9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W62">
            <v>0</v>
          </cell>
          <cell r="Y62">
            <v>0</v>
          </cell>
        </row>
        <row r="63">
          <cell r="B63" t="str">
            <v>South West</v>
          </cell>
          <cell r="C63">
            <v>0</v>
          </cell>
          <cell r="D63">
            <v>0</v>
          </cell>
          <cell r="E63">
            <v>17.082999999999998</v>
          </cell>
          <cell r="F63">
            <v>17.082999999999998</v>
          </cell>
          <cell r="G63">
            <v>0.46200000000000002</v>
          </cell>
          <cell r="H63">
            <v>0.46200000000000002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2.9020000000000001</v>
          </cell>
          <cell r="O63">
            <v>5.2830000000000004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W63">
            <v>0</v>
          </cell>
          <cell r="Y63">
            <v>0</v>
          </cell>
        </row>
        <row r="64">
          <cell r="B64" t="str">
            <v>North Sea</v>
          </cell>
          <cell r="C64">
            <v>0.32200000000000001</v>
          </cell>
          <cell r="D64">
            <v>0</v>
          </cell>
          <cell r="E64">
            <v>14.799999999999999</v>
          </cell>
          <cell r="F64">
            <v>0.2</v>
          </cell>
          <cell r="G64">
            <v>4.6159999999999997</v>
          </cell>
          <cell r="H64">
            <v>0.71599999999999997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24.067999999999998</v>
          </cell>
          <cell r="O64">
            <v>0.1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W64">
            <v>0</v>
          </cell>
          <cell r="Y64">
            <v>0</v>
          </cell>
        </row>
        <row r="65">
          <cell r="B65" t="str">
            <v>Lowestoft</v>
          </cell>
          <cell r="C65">
            <v>0</v>
          </cell>
          <cell r="D65">
            <v>0</v>
          </cell>
          <cell r="E65">
            <v>728</v>
          </cell>
          <cell r="F65">
            <v>479.89999999999992</v>
          </cell>
          <cell r="G65">
            <v>88.426000000000002</v>
          </cell>
          <cell r="H65">
            <v>47.126000000000005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75.759</v>
          </cell>
          <cell r="O65">
            <v>10.368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W65">
            <v>0</v>
          </cell>
          <cell r="Y65">
            <v>0</v>
          </cell>
        </row>
        <row r="66">
          <cell r="B66" t="str">
            <v>Wales WC</v>
          </cell>
          <cell r="C66">
            <v>0</v>
          </cell>
          <cell r="D66">
            <v>0</v>
          </cell>
          <cell r="E66">
            <v>5.1369999999999996</v>
          </cell>
          <cell r="F66">
            <v>5.1369999999999996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1.4019999999999999</v>
          </cell>
          <cell r="O66">
            <v>4.7</v>
          </cell>
          <cell r="Q66">
            <v>0</v>
          </cell>
          <cell r="R66">
            <v>0</v>
          </cell>
          <cell r="S66">
            <v>0</v>
          </cell>
          <cell r="T66">
            <v>3.03</v>
          </cell>
          <cell r="W66">
            <v>0</v>
          </cell>
          <cell r="Y66">
            <v>0</v>
          </cell>
        </row>
        <row r="67">
          <cell r="B67" t="str">
            <v>Interfish</v>
          </cell>
          <cell r="C67">
            <v>7408.84</v>
          </cell>
          <cell r="D67">
            <v>0</v>
          </cell>
          <cell r="E67">
            <v>26698.881000000001</v>
          </cell>
          <cell r="F67">
            <v>26457.481</v>
          </cell>
          <cell r="G67">
            <v>3.6359999999999957</v>
          </cell>
          <cell r="H67">
            <v>3.6000000000001364E-2</v>
          </cell>
          <cell r="I67">
            <v>0.60000000000002274</v>
          </cell>
          <cell r="J67">
            <v>0</v>
          </cell>
          <cell r="K67">
            <v>0</v>
          </cell>
          <cell r="L67">
            <v>0</v>
          </cell>
          <cell r="M67">
            <v>38.588000000000001</v>
          </cell>
          <cell r="N67">
            <v>309.37</v>
          </cell>
          <cell r="O67">
            <v>1427.2139999999999</v>
          </cell>
          <cell r="Q67">
            <v>0</v>
          </cell>
          <cell r="R67">
            <v>0</v>
          </cell>
          <cell r="S67">
            <v>0</v>
          </cell>
          <cell r="T67">
            <v>6350.9</v>
          </cell>
          <cell r="W67">
            <v>0</v>
          </cell>
          <cell r="Y67">
            <v>0</v>
          </cell>
        </row>
        <row r="68">
          <cell r="B68" t="str">
            <v>North Atlantic FPO</v>
          </cell>
          <cell r="C68">
            <v>8730.4339999999993</v>
          </cell>
          <cell r="D68">
            <v>0</v>
          </cell>
          <cell r="E68">
            <v>21860.555</v>
          </cell>
          <cell r="F68">
            <v>23518.654999999999</v>
          </cell>
          <cell r="G68">
            <v>427.35300000000001</v>
          </cell>
          <cell r="H68">
            <v>154.35300000000001</v>
          </cell>
          <cell r="I68">
            <v>1</v>
          </cell>
          <cell r="J68">
            <v>0</v>
          </cell>
          <cell r="K68">
            <v>0</v>
          </cell>
          <cell r="L68">
            <v>0</v>
          </cell>
          <cell r="M68">
            <v>38.487000000000002</v>
          </cell>
          <cell r="N68">
            <v>3843.2739999999999</v>
          </cell>
          <cell r="O68">
            <v>2816.7469999999998</v>
          </cell>
          <cell r="Q68">
            <v>0</v>
          </cell>
          <cell r="T68">
            <v>8012.6030000000001</v>
          </cell>
          <cell r="W68">
            <v>0</v>
          </cell>
          <cell r="Y68">
            <v>0</v>
          </cell>
        </row>
        <row r="69">
          <cell r="B69" t="str">
            <v>Non Sector - England</v>
          </cell>
          <cell r="C69">
            <v>0</v>
          </cell>
          <cell r="D69">
            <v>0</v>
          </cell>
          <cell r="E69">
            <v>152.197</v>
          </cell>
          <cell r="F69">
            <v>352.197</v>
          </cell>
          <cell r="G69">
            <v>3.669</v>
          </cell>
          <cell r="H69">
            <v>3.669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356.81299999999999</v>
          </cell>
          <cell r="O69">
            <v>0.4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W69">
            <v>0</v>
          </cell>
        </row>
        <row r="70">
          <cell r="B70" t="str">
            <v>Non Sector - Wales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W70">
            <v>0</v>
          </cell>
        </row>
        <row r="71">
          <cell r="B71" t="str">
            <v>Non Sector - Scotland</v>
          </cell>
          <cell r="C71">
            <v>0</v>
          </cell>
          <cell r="D71">
            <v>0</v>
          </cell>
          <cell r="E71">
            <v>10</v>
          </cell>
          <cell r="F71">
            <v>10</v>
          </cell>
          <cell r="G71">
            <v>10.043000000000006</v>
          </cell>
          <cell r="H71">
            <v>100.04300000000001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W71">
            <v>0</v>
          </cell>
        </row>
        <row r="72">
          <cell r="B72" t="str">
            <v>Non Sector - N.Ireland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W72">
            <v>0</v>
          </cell>
        </row>
        <row r="73">
          <cell r="B73" t="str">
            <v>Isle of Man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W73">
            <v>0</v>
          </cell>
          <cell r="Y73">
            <v>0</v>
          </cell>
        </row>
        <row r="74">
          <cell r="B74" t="str">
            <v>Under 10m - England</v>
          </cell>
          <cell r="C74">
            <v>53.881000000000085</v>
          </cell>
          <cell r="D74">
            <v>0</v>
          </cell>
          <cell r="E74">
            <v>-61.115000000000009</v>
          </cell>
          <cell r="F74">
            <v>1069.7850000000001</v>
          </cell>
          <cell r="G74">
            <v>69.39500000000001</v>
          </cell>
          <cell r="H74">
            <v>110.495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17.285000000000082</v>
          </cell>
          <cell r="O74">
            <v>15.939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W74">
            <v>0</v>
          </cell>
          <cell r="Y74">
            <v>0</v>
          </cell>
        </row>
        <row r="75">
          <cell r="B75" t="str">
            <v>Under 10m - Wales</v>
          </cell>
          <cell r="C75">
            <v>0</v>
          </cell>
          <cell r="D75">
            <v>0</v>
          </cell>
          <cell r="E75">
            <v>3.6769999999999996</v>
          </cell>
          <cell r="F75">
            <v>48.677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Q75">
            <v>0</v>
          </cell>
          <cell r="T75">
            <v>0</v>
          </cell>
          <cell r="W75">
            <v>0</v>
          </cell>
        </row>
        <row r="76">
          <cell r="B76" t="str">
            <v>Under 10m - Scotland</v>
          </cell>
          <cell r="C76">
            <v>0</v>
          </cell>
          <cell r="D76">
            <v>0</v>
          </cell>
          <cell r="E76">
            <v>570.4</v>
          </cell>
          <cell r="F76">
            <v>650.4</v>
          </cell>
          <cell r="G76">
            <v>806.55400000000009</v>
          </cell>
          <cell r="H76">
            <v>1064.0540000000001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T76">
            <v>0</v>
          </cell>
          <cell r="W76">
            <v>0</v>
          </cell>
        </row>
        <row r="77">
          <cell r="B77" t="str">
            <v>Under 10m - N.Ireland</v>
          </cell>
          <cell r="C77">
            <v>0</v>
          </cell>
          <cell r="D77">
            <v>0</v>
          </cell>
          <cell r="E77">
            <v>17.600000000000001</v>
          </cell>
          <cell r="F77">
            <v>17.600000000000001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Q77">
            <v>0</v>
          </cell>
          <cell r="T77">
            <v>0</v>
          </cell>
          <cell r="W77">
            <v>0</v>
          </cell>
        </row>
        <row r="78">
          <cell r="B78" t="str">
            <v>Handliners (VIIe-h)</v>
          </cell>
          <cell r="C78">
            <v>0</v>
          </cell>
          <cell r="D78">
            <v>0</v>
          </cell>
          <cell r="E78">
            <v>798.7</v>
          </cell>
          <cell r="F78">
            <v>1750.7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W78">
            <v>0</v>
          </cell>
          <cell r="Y78">
            <v>0</v>
          </cell>
        </row>
        <row r="79">
          <cell r="B79" t="str">
            <v>TOTAL</v>
          </cell>
          <cell r="C79">
            <v>63389.054999999993</v>
          </cell>
          <cell r="D79">
            <v>1360</v>
          </cell>
          <cell r="E79">
            <v>215470.44299999997</v>
          </cell>
          <cell r="F79">
            <v>216108.74300000005</v>
          </cell>
          <cell r="G79">
            <v>1734.1480000000001</v>
          </cell>
          <cell r="H79">
            <v>1729.248</v>
          </cell>
          <cell r="I79">
            <v>7660.96</v>
          </cell>
          <cell r="J79">
            <v>0</v>
          </cell>
          <cell r="K79">
            <v>0</v>
          </cell>
          <cell r="L79">
            <v>0</v>
          </cell>
          <cell r="M79">
            <v>582.97699999999998</v>
          </cell>
          <cell r="N79">
            <v>5166.3689999999997</v>
          </cell>
          <cell r="O79">
            <v>7438.1159999999982</v>
          </cell>
          <cell r="Q79">
            <v>0</v>
          </cell>
          <cell r="R79">
            <v>0</v>
          </cell>
          <cell r="S79">
            <v>0</v>
          </cell>
          <cell r="T79">
            <v>72430.444000000003</v>
          </cell>
          <cell r="W79">
            <v>0</v>
          </cell>
        </row>
        <row r="84">
          <cell r="C84">
            <v>21</v>
          </cell>
          <cell r="D84">
            <v>23</v>
          </cell>
          <cell r="E84">
            <v>20</v>
          </cell>
          <cell r="F84">
            <v>88</v>
          </cell>
          <cell r="G84">
            <v>19</v>
          </cell>
          <cell r="H84">
            <v>90</v>
          </cell>
          <cell r="I84">
            <v>91</v>
          </cell>
          <cell r="J84">
            <v>911</v>
          </cell>
          <cell r="K84">
            <v>912</v>
          </cell>
          <cell r="L84">
            <v>913</v>
          </cell>
          <cell r="M84">
            <v>24</v>
          </cell>
          <cell r="N84">
            <v>71</v>
          </cell>
          <cell r="O84">
            <v>72</v>
          </cell>
          <cell r="P84">
            <v>69</v>
          </cell>
          <cell r="Q84">
            <v>103</v>
          </cell>
          <cell r="R84">
            <v>57</v>
          </cell>
          <cell r="S84">
            <v>73</v>
          </cell>
          <cell r="T84">
            <v>70</v>
          </cell>
          <cell r="U84">
            <v>990</v>
          </cell>
          <cell r="V84">
            <v>104</v>
          </cell>
          <cell r="W84">
            <v>53</v>
          </cell>
        </row>
        <row r="85">
          <cell r="C85" t="str">
            <v>North Sea Herring</v>
          </cell>
          <cell r="D85" t="str">
            <v>West Coast Herring</v>
          </cell>
          <cell r="E85" t="str">
            <v>West Coast Mackerel</v>
          </cell>
          <cell r="F85" t="str">
            <v>Shet. Box Mackerel</v>
          </cell>
          <cell r="G85" t="str">
            <v>North Sea Mackerel</v>
          </cell>
          <cell r="H85" t="str">
            <v>N.Sea Mackerel IIIa IVbc</v>
          </cell>
          <cell r="I85" t="str">
            <v>Atlanto Scandian Herring</v>
          </cell>
          <cell r="J85" t="str">
            <v>AS Norway</v>
          </cell>
          <cell r="K85" t="str">
            <v>AS Nor EEZ</v>
          </cell>
          <cell r="L85" t="str">
            <v>AS Faroe</v>
          </cell>
          <cell r="M85" t="str">
            <v>Clyde Firth Herring</v>
          </cell>
          <cell r="N85" t="str">
            <v>North Sea Horse Mackerel</v>
          </cell>
          <cell r="O85" t="str">
            <v>West Coast Horse Mackerel</v>
          </cell>
          <cell r="P85" t="str">
            <v>North Sea Blue Whiting</v>
          </cell>
          <cell r="Q85" t="str">
            <v>North Sea Sand Eels</v>
          </cell>
          <cell r="R85" t="str">
            <v>Norwegian Sand Eels</v>
          </cell>
          <cell r="S85" t="str">
            <v>Norway Pout</v>
          </cell>
          <cell r="T85" t="str">
            <v>Blue Whiting I-VIII, XII, XIV</v>
          </cell>
          <cell r="U85" t="str">
            <v>Shetland Sandeels</v>
          </cell>
          <cell r="V85" t="str">
            <v>Blue Whiting VIII</v>
          </cell>
          <cell r="W85" t="str">
            <v>Far Blue Whiting</v>
          </cell>
        </row>
        <row r="86">
          <cell r="B86" t="str">
            <v>SFO</v>
          </cell>
          <cell r="C86">
            <v>18584.099999999999</v>
          </cell>
          <cell r="D86">
            <v>0</v>
          </cell>
          <cell r="E86">
            <v>49577.299999999996</v>
          </cell>
          <cell r="F86">
            <v>48607.1</v>
          </cell>
          <cell r="G86">
            <v>92.917000000000002</v>
          </cell>
          <cell r="H86">
            <v>64.016999999999996</v>
          </cell>
          <cell r="I86">
            <v>0.8000000000001819</v>
          </cell>
          <cell r="J86">
            <v>0</v>
          </cell>
          <cell r="K86">
            <v>0</v>
          </cell>
          <cell r="L86">
            <v>0</v>
          </cell>
          <cell r="M86">
            <v>138.9</v>
          </cell>
          <cell r="N86">
            <v>226.2</v>
          </cell>
          <cell r="O86">
            <v>85.414000000000044</v>
          </cell>
          <cell r="Q86">
            <v>0</v>
          </cell>
          <cell r="R86">
            <v>0</v>
          </cell>
          <cell r="S86">
            <v>0</v>
          </cell>
          <cell r="T86">
            <v>12963.532999999999</v>
          </cell>
          <cell r="W86">
            <v>0</v>
          </cell>
        </row>
        <row r="87">
          <cell r="B87" t="str">
            <v>Aberdeen</v>
          </cell>
          <cell r="C87">
            <v>-0.4</v>
          </cell>
          <cell r="D87">
            <v>0</v>
          </cell>
          <cell r="E87">
            <v>12</v>
          </cell>
          <cell r="F87">
            <v>42</v>
          </cell>
          <cell r="G87">
            <v>23.384</v>
          </cell>
          <cell r="H87">
            <v>7.1840000000000002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4.5</v>
          </cell>
          <cell r="N87">
            <v>10</v>
          </cell>
          <cell r="O87">
            <v>0.1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W87">
            <v>0</v>
          </cell>
        </row>
        <row r="88">
          <cell r="B88" t="str">
            <v>NESFO</v>
          </cell>
          <cell r="C88">
            <v>0.2</v>
          </cell>
          <cell r="D88">
            <v>0</v>
          </cell>
          <cell r="E88">
            <v>1</v>
          </cell>
          <cell r="F88">
            <v>0</v>
          </cell>
          <cell r="G88">
            <v>7.770999999999999</v>
          </cell>
          <cell r="H88">
            <v>2.6709999999999998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0.4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0.89999999999997726</v>
          </cell>
          <cell r="W88">
            <v>0</v>
          </cell>
        </row>
        <row r="89">
          <cell r="B89" t="str">
            <v>Shetland</v>
          </cell>
          <cell r="C89">
            <v>10482.9</v>
          </cell>
          <cell r="D89">
            <v>680</v>
          </cell>
          <cell r="E89">
            <v>46773.4</v>
          </cell>
          <cell r="F89">
            <v>45888.800000000003</v>
          </cell>
          <cell r="G89">
            <v>29.449000000000002</v>
          </cell>
          <cell r="H89">
            <v>42.249000000000002</v>
          </cell>
          <cell r="I89">
            <v>4300.26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218.2</v>
          </cell>
          <cell r="O89">
            <v>576.17399999999998</v>
          </cell>
          <cell r="Q89">
            <v>0</v>
          </cell>
          <cell r="R89">
            <v>0</v>
          </cell>
          <cell r="S89">
            <v>0</v>
          </cell>
          <cell r="T89">
            <v>9671.8799999999992</v>
          </cell>
          <cell r="W89">
            <v>0</v>
          </cell>
        </row>
        <row r="90">
          <cell r="B90" t="str">
            <v>Fife</v>
          </cell>
          <cell r="C90">
            <v>0.6</v>
          </cell>
          <cell r="D90">
            <v>0</v>
          </cell>
          <cell r="E90">
            <v>170.3</v>
          </cell>
          <cell r="F90">
            <v>0.3</v>
          </cell>
          <cell r="G90">
            <v>1.8820000000000001</v>
          </cell>
          <cell r="H90">
            <v>0.68200000000000005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42.402999999999999</v>
          </cell>
          <cell r="O90">
            <v>0.59799999999999998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W90">
            <v>0</v>
          </cell>
        </row>
        <row r="91">
          <cell r="B91" t="str">
            <v>West Scotland</v>
          </cell>
          <cell r="C91">
            <v>0.19999999999999996</v>
          </cell>
          <cell r="D91">
            <v>0</v>
          </cell>
          <cell r="E91">
            <v>1.3999999999999986</v>
          </cell>
          <cell r="F91">
            <v>15.7</v>
          </cell>
          <cell r="G91">
            <v>1.6E-2</v>
          </cell>
          <cell r="H91">
            <v>0.11600000000000001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25.8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W91">
            <v>0</v>
          </cell>
        </row>
        <row r="92">
          <cell r="B92" t="str">
            <v>Orkney</v>
          </cell>
          <cell r="C92">
            <v>0.2</v>
          </cell>
          <cell r="D92">
            <v>0</v>
          </cell>
          <cell r="E92">
            <v>0.2</v>
          </cell>
          <cell r="F92">
            <v>0.2</v>
          </cell>
          <cell r="G92">
            <v>4.4000000000000004</v>
          </cell>
          <cell r="H92">
            <v>1.3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0.1</v>
          </cell>
          <cell r="N92">
            <v>0</v>
          </cell>
          <cell r="O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W92">
            <v>0</v>
          </cell>
        </row>
        <row r="93">
          <cell r="B93" t="str">
            <v>Northern</v>
          </cell>
          <cell r="C93">
            <v>0.2</v>
          </cell>
          <cell r="D93">
            <v>0</v>
          </cell>
          <cell r="E93">
            <v>4.3</v>
          </cell>
          <cell r="F93">
            <v>4.3</v>
          </cell>
          <cell r="G93">
            <v>-7.6000000000000005</v>
          </cell>
          <cell r="H93">
            <v>-7.9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4</v>
          </cell>
          <cell r="N93">
            <v>0.1</v>
          </cell>
          <cell r="O93">
            <v>1.6</v>
          </cell>
          <cell r="Q93">
            <v>0</v>
          </cell>
          <cell r="R93">
            <v>0</v>
          </cell>
          <cell r="S93">
            <v>0</v>
          </cell>
          <cell r="T93">
            <v>3.3</v>
          </cell>
          <cell r="W93">
            <v>0</v>
          </cell>
        </row>
        <row r="94">
          <cell r="B94" t="str">
            <v>Klondyke</v>
          </cell>
          <cell r="C94">
            <v>6358.9</v>
          </cell>
          <cell r="D94">
            <v>680</v>
          </cell>
          <cell r="E94">
            <v>25463</v>
          </cell>
          <cell r="F94">
            <v>25401.3</v>
          </cell>
          <cell r="G94">
            <v>23.800999999999995</v>
          </cell>
          <cell r="H94">
            <v>56.000999999999998</v>
          </cell>
          <cell r="I94">
            <v>3358.1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0.5</v>
          </cell>
          <cell r="O94">
            <v>625.678</v>
          </cell>
          <cell r="Q94">
            <v>0</v>
          </cell>
          <cell r="R94">
            <v>0</v>
          </cell>
          <cell r="S94">
            <v>0</v>
          </cell>
          <cell r="T94">
            <v>10318.038</v>
          </cell>
          <cell r="W94">
            <v>0</v>
          </cell>
        </row>
        <row r="95">
          <cell r="B95" t="str">
            <v>Lunar</v>
          </cell>
          <cell r="C95">
            <v>6369.0999999999995</v>
          </cell>
          <cell r="D95">
            <v>0</v>
          </cell>
          <cell r="E95">
            <v>24633.8</v>
          </cell>
          <cell r="F95">
            <v>24616.5</v>
          </cell>
          <cell r="G95">
            <v>50.856000000000002</v>
          </cell>
          <cell r="H95">
            <v>19.056000000000001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2.3999999999999986</v>
          </cell>
          <cell r="O95">
            <v>3.2870000000000061</v>
          </cell>
          <cell r="Q95">
            <v>0</v>
          </cell>
          <cell r="R95">
            <v>0</v>
          </cell>
          <cell r="S95">
            <v>0</v>
          </cell>
          <cell r="T95">
            <v>24886.434000000001</v>
          </cell>
          <cell r="W95">
            <v>0</v>
          </cell>
        </row>
        <row r="96">
          <cell r="B96" t="str">
            <v>Anglo Scot.</v>
          </cell>
          <cell r="C96">
            <v>4.8170000000000002</v>
          </cell>
          <cell r="D96">
            <v>0</v>
          </cell>
          <cell r="E96">
            <v>0.59599999999999997</v>
          </cell>
          <cell r="F96">
            <v>0.59599999999999997</v>
          </cell>
          <cell r="G96">
            <v>7.3680000000000003</v>
          </cell>
          <cell r="H96">
            <v>11.368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2.6419999999999999</v>
          </cell>
          <cell r="O96">
            <v>6.1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W96">
            <v>0</v>
          </cell>
        </row>
        <row r="97">
          <cell r="B97" t="str">
            <v>EEFPO</v>
          </cell>
          <cell r="C97">
            <v>1.6499999999999915</v>
          </cell>
          <cell r="D97">
            <v>0</v>
          </cell>
          <cell r="E97">
            <v>317.00200000000001</v>
          </cell>
          <cell r="F97">
            <v>262.00200000000001</v>
          </cell>
          <cell r="G97">
            <v>15.036</v>
          </cell>
          <cell r="H97">
            <v>2.036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4.7729999999999997</v>
          </cell>
          <cell r="O97">
            <v>13.1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W97">
            <v>0</v>
          </cell>
        </row>
        <row r="98">
          <cell r="B98" t="str">
            <v>Western PO</v>
          </cell>
          <cell r="C98">
            <v>0</v>
          </cell>
          <cell r="D98">
            <v>0</v>
          </cell>
          <cell r="E98">
            <v>175.435</v>
          </cell>
          <cell r="F98">
            <v>5.4349999999999996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0.434</v>
          </cell>
          <cell r="O98">
            <v>0.7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W98">
            <v>0</v>
          </cell>
        </row>
        <row r="99">
          <cell r="B99" t="str">
            <v>FPO</v>
          </cell>
          <cell r="C99">
            <v>0.111</v>
          </cell>
          <cell r="D99">
            <v>0</v>
          </cell>
          <cell r="E99">
            <v>3.0139999999999993</v>
          </cell>
          <cell r="F99">
            <v>16.213999999999999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2.206</v>
          </cell>
          <cell r="O99">
            <v>1.1000000000000005</v>
          </cell>
          <cell r="Q99">
            <v>0</v>
          </cell>
          <cell r="R99">
            <v>0</v>
          </cell>
          <cell r="S99">
            <v>0</v>
          </cell>
          <cell r="T99">
            <v>1.5149999999999999</v>
          </cell>
          <cell r="W99">
            <v>0</v>
          </cell>
        </row>
        <row r="100">
          <cell r="B100" t="str">
            <v>NIFPO</v>
          </cell>
          <cell r="C100">
            <v>19.416999999999973</v>
          </cell>
          <cell r="D100">
            <v>0</v>
          </cell>
          <cell r="E100">
            <v>1566.5840000000001</v>
          </cell>
          <cell r="F100">
            <v>1156.5840000000001</v>
          </cell>
          <cell r="G100">
            <v>13.235999999999997</v>
          </cell>
          <cell r="H100">
            <v>49.235999999999997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113.822</v>
          </cell>
          <cell r="N100">
            <v>8.5310000000000006</v>
          </cell>
          <cell r="O100">
            <v>10.5</v>
          </cell>
          <cell r="Q100">
            <v>0</v>
          </cell>
          <cell r="R100">
            <v>0</v>
          </cell>
          <cell r="S100">
            <v>0</v>
          </cell>
          <cell r="T100">
            <v>0.29199999999999998</v>
          </cell>
          <cell r="W100">
            <v>0</v>
          </cell>
        </row>
        <row r="101">
          <cell r="B101" t="str">
            <v>ANIFPO</v>
          </cell>
          <cell r="C101">
            <v>5373.0829999999996</v>
          </cell>
          <cell r="D101">
            <v>0</v>
          </cell>
          <cell r="E101">
            <v>15737.116</v>
          </cell>
          <cell r="F101">
            <v>15695.716</v>
          </cell>
          <cell r="G101">
            <v>6.1110000000000007</v>
          </cell>
          <cell r="H101">
            <v>1.0999999999999233E-2</v>
          </cell>
          <cell r="I101">
            <v>0.19999999999998863</v>
          </cell>
          <cell r="J101">
            <v>0</v>
          </cell>
          <cell r="K101">
            <v>0</v>
          </cell>
          <cell r="L101">
            <v>0</v>
          </cell>
          <cell r="M101">
            <v>218.27799999999999</v>
          </cell>
          <cell r="N101">
            <v>4.0690000000000168</v>
          </cell>
          <cell r="O101">
            <v>1825.114</v>
          </cell>
          <cell r="Q101">
            <v>0</v>
          </cell>
          <cell r="R101">
            <v>0</v>
          </cell>
          <cell r="S101">
            <v>0</v>
          </cell>
          <cell r="T101">
            <v>218.01899999999978</v>
          </cell>
          <cell r="W101">
            <v>0</v>
          </cell>
        </row>
        <row r="102">
          <cell r="B102" t="str">
            <v>Cornish</v>
          </cell>
          <cell r="C102">
            <v>0.5</v>
          </cell>
          <cell r="D102">
            <v>0</v>
          </cell>
          <cell r="E102">
            <v>18.081</v>
          </cell>
          <cell r="F102">
            <v>18.181000000000001</v>
          </cell>
          <cell r="G102">
            <v>10.266999999999999</v>
          </cell>
          <cell r="H102">
            <v>0.26700000000000002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3.0379999999999998</v>
          </cell>
          <cell r="O102">
            <v>7.9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W102">
            <v>0</v>
          </cell>
        </row>
        <row r="103">
          <cell r="B103" t="str">
            <v>South West</v>
          </cell>
          <cell r="C103">
            <v>0</v>
          </cell>
          <cell r="D103">
            <v>0</v>
          </cell>
          <cell r="E103">
            <v>17.082999999999998</v>
          </cell>
          <cell r="F103">
            <v>17.082999999999998</v>
          </cell>
          <cell r="G103">
            <v>0.46200000000000002</v>
          </cell>
          <cell r="H103">
            <v>0.46200000000000002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2.9020000000000001</v>
          </cell>
          <cell r="O103">
            <v>5.2830000000000004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W103">
            <v>0</v>
          </cell>
        </row>
        <row r="104">
          <cell r="B104" t="str">
            <v>North Sea</v>
          </cell>
          <cell r="C104">
            <v>0.32200000000000001</v>
          </cell>
          <cell r="D104">
            <v>0</v>
          </cell>
          <cell r="E104">
            <v>14.799999999999999</v>
          </cell>
          <cell r="F104">
            <v>0.2</v>
          </cell>
          <cell r="G104">
            <v>4.6159999999999997</v>
          </cell>
          <cell r="H104">
            <v>0.71599999999999997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24.067999999999998</v>
          </cell>
          <cell r="O104">
            <v>0.1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W104">
            <v>0</v>
          </cell>
        </row>
        <row r="105">
          <cell r="B105" t="str">
            <v>Lowestoft</v>
          </cell>
          <cell r="C105">
            <v>0</v>
          </cell>
          <cell r="D105">
            <v>0</v>
          </cell>
          <cell r="E105">
            <v>653</v>
          </cell>
          <cell r="F105">
            <v>179.9</v>
          </cell>
          <cell r="G105">
            <v>88.426000000000002</v>
          </cell>
          <cell r="H105">
            <v>47.126000000000005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75.759</v>
          </cell>
          <cell r="O105">
            <v>10.368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W105">
            <v>0</v>
          </cell>
        </row>
        <row r="106">
          <cell r="B106" t="str">
            <v>Wales WC</v>
          </cell>
          <cell r="C106">
            <v>0</v>
          </cell>
          <cell r="D106">
            <v>0</v>
          </cell>
          <cell r="E106">
            <v>5.1369999999999996</v>
          </cell>
          <cell r="F106">
            <v>5.1369999999999996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1.4019999999999999</v>
          </cell>
          <cell r="O106">
            <v>4.7</v>
          </cell>
          <cell r="Q106">
            <v>0</v>
          </cell>
          <cell r="R106">
            <v>0</v>
          </cell>
          <cell r="S106">
            <v>0</v>
          </cell>
          <cell r="T106">
            <v>3.03</v>
          </cell>
          <cell r="W106">
            <v>0</v>
          </cell>
        </row>
        <row r="107">
          <cell r="B107" t="str">
            <v>Interfish</v>
          </cell>
          <cell r="C107">
            <v>7408.84</v>
          </cell>
          <cell r="D107">
            <v>0</v>
          </cell>
          <cell r="E107">
            <v>26698.881000000001</v>
          </cell>
          <cell r="F107">
            <v>26457.481</v>
          </cell>
          <cell r="G107">
            <v>3.6359999999999957</v>
          </cell>
          <cell r="H107">
            <v>3.6000000000001364E-2</v>
          </cell>
          <cell r="I107">
            <v>0.60000000000002274</v>
          </cell>
          <cell r="J107">
            <v>0</v>
          </cell>
          <cell r="K107">
            <v>0</v>
          </cell>
          <cell r="L107">
            <v>0</v>
          </cell>
          <cell r="M107">
            <v>38.588000000000001</v>
          </cell>
          <cell r="N107">
            <v>309.37</v>
          </cell>
          <cell r="O107">
            <v>1427.2139999999999</v>
          </cell>
          <cell r="Q107">
            <v>0</v>
          </cell>
          <cell r="R107">
            <v>0</v>
          </cell>
          <cell r="S107">
            <v>0</v>
          </cell>
          <cell r="T107">
            <v>6350.9</v>
          </cell>
          <cell r="W107">
            <v>0</v>
          </cell>
        </row>
        <row r="108">
          <cell r="B108" t="str">
            <v>North Atlantic FPO</v>
          </cell>
          <cell r="C108">
            <v>8615.4339999999993</v>
          </cell>
          <cell r="D108">
            <v>0</v>
          </cell>
          <cell r="E108">
            <v>21860.555</v>
          </cell>
          <cell r="F108">
            <v>23638.654999999999</v>
          </cell>
          <cell r="G108">
            <v>427.35300000000001</v>
          </cell>
          <cell r="H108">
            <v>154.35300000000001</v>
          </cell>
          <cell r="I108">
            <v>231</v>
          </cell>
          <cell r="J108">
            <v>0</v>
          </cell>
          <cell r="K108">
            <v>0</v>
          </cell>
          <cell r="L108">
            <v>0</v>
          </cell>
          <cell r="M108">
            <v>38.487000000000002</v>
          </cell>
          <cell r="N108">
            <v>3843.2739999999999</v>
          </cell>
          <cell r="O108">
            <v>2816.7469999999998</v>
          </cell>
          <cell r="Q108">
            <v>0</v>
          </cell>
          <cell r="T108">
            <v>8012.6030000000001</v>
          </cell>
          <cell r="W108">
            <v>0</v>
          </cell>
        </row>
        <row r="109">
          <cell r="B109" t="str">
            <v>Non Sector - England</v>
          </cell>
          <cell r="C109">
            <v>0</v>
          </cell>
          <cell r="D109">
            <v>0</v>
          </cell>
          <cell r="E109">
            <v>152.197</v>
          </cell>
          <cell r="F109">
            <v>352.197</v>
          </cell>
          <cell r="G109">
            <v>3.669</v>
          </cell>
          <cell r="H109">
            <v>3.669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356.81299999999999</v>
          </cell>
          <cell r="O109">
            <v>0.4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W109">
            <v>0</v>
          </cell>
        </row>
        <row r="110">
          <cell r="B110" t="str">
            <v>Non Sector - Wales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W110">
            <v>0</v>
          </cell>
        </row>
        <row r="111">
          <cell r="B111" t="str">
            <v>Non Sector - Scotland</v>
          </cell>
          <cell r="C111">
            <v>0</v>
          </cell>
          <cell r="D111">
            <v>0</v>
          </cell>
          <cell r="E111">
            <v>100</v>
          </cell>
          <cell r="F111">
            <v>100</v>
          </cell>
          <cell r="G111">
            <v>100.04300000000001</v>
          </cell>
          <cell r="H111">
            <v>100.04300000000001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W111">
            <v>0</v>
          </cell>
        </row>
        <row r="112">
          <cell r="B112" t="str">
            <v>Non Sector - N.Ireland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W112">
            <v>0</v>
          </cell>
        </row>
        <row r="113">
          <cell r="B113" t="str">
            <v>Isle of Man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W113">
            <v>0</v>
          </cell>
        </row>
        <row r="114">
          <cell r="B114" t="str">
            <v>Under 10m - England</v>
          </cell>
          <cell r="C114">
            <v>53.881000000000085</v>
          </cell>
          <cell r="D114">
            <v>0</v>
          </cell>
          <cell r="E114">
            <v>-561.11500000000001</v>
          </cell>
          <cell r="F114">
            <v>1069.7850000000001</v>
          </cell>
          <cell r="G114">
            <v>110.495</v>
          </cell>
          <cell r="H114">
            <v>110.495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27.285000000000082</v>
          </cell>
          <cell r="O114">
            <v>15.939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W114">
            <v>0</v>
          </cell>
        </row>
        <row r="115">
          <cell r="B115" t="str">
            <v>Under 10m - Wales</v>
          </cell>
          <cell r="C115">
            <v>0</v>
          </cell>
          <cell r="D115">
            <v>0</v>
          </cell>
          <cell r="E115">
            <v>3.6769999999999996</v>
          </cell>
          <cell r="F115">
            <v>48.677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T115">
            <v>0</v>
          </cell>
          <cell r="W115">
            <v>0</v>
          </cell>
        </row>
        <row r="116">
          <cell r="B116" t="str">
            <v>Under 10m - Scotland</v>
          </cell>
          <cell r="C116">
            <v>0</v>
          </cell>
          <cell r="D116">
            <v>0</v>
          </cell>
          <cell r="E116">
            <v>480.4</v>
          </cell>
          <cell r="F116">
            <v>560.4</v>
          </cell>
          <cell r="G116">
            <v>716.55400000000009</v>
          </cell>
          <cell r="H116">
            <v>1064.0540000000001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Q116">
            <v>0</v>
          </cell>
          <cell r="T116">
            <v>0</v>
          </cell>
          <cell r="W116">
            <v>0</v>
          </cell>
        </row>
        <row r="117">
          <cell r="B117" t="str">
            <v>Under 10m - N.Ireland</v>
          </cell>
          <cell r="C117">
            <v>0</v>
          </cell>
          <cell r="D117">
            <v>0</v>
          </cell>
          <cell r="E117">
            <v>17.600000000000001</v>
          </cell>
          <cell r="F117">
            <v>17.600000000000001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T117">
            <v>0</v>
          </cell>
          <cell r="W117">
            <v>0</v>
          </cell>
        </row>
        <row r="118">
          <cell r="B118" t="str">
            <v>Handliners (VIIe-h)</v>
          </cell>
          <cell r="C118">
            <v>0</v>
          </cell>
          <cell r="D118">
            <v>0</v>
          </cell>
          <cell r="E118">
            <v>1418.7</v>
          </cell>
          <cell r="F118">
            <v>1750.7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W118">
            <v>0</v>
          </cell>
        </row>
        <row r="119">
          <cell r="B119" t="str">
            <v>TOTAL</v>
          </cell>
          <cell r="C119">
            <v>63274.054999999993</v>
          </cell>
          <cell r="D119">
            <v>1360</v>
          </cell>
          <cell r="E119">
            <v>215315.44299999997</v>
          </cell>
          <cell r="F119">
            <v>215928.74300000005</v>
          </cell>
          <cell r="G119">
            <v>1734.1480000000001</v>
          </cell>
          <cell r="H119">
            <v>1729.248</v>
          </cell>
          <cell r="I119">
            <v>7890.96</v>
          </cell>
          <cell r="J119">
            <v>0</v>
          </cell>
          <cell r="K119">
            <v>0</v>
          </cell>
          <cell r="L119">
            <v>0</v>
          </cell>
          <cell r="M119">
            <v>582.97699999999998</v>
          </cell>
          <cell r="N119">
            <v>5166.3689999999997</v>
          </cell>
          <cell r="O119">
            <v>7438.1159999999982</v>
          </cell>
          <cell r="Q119">
            <v>0</v>
          </cell>
          <cell r="R119">
            <v>0</v>
          </cell>
          <cell r="S119">
            <v>0</v>
          </cell>
          <cell r="T119">
            <v>72430.444000000003</v>
          </cell>
          <cell r="W119">
            <v>0</v>
          </cell>
        </row>
      </sheetData>
      <sheetData sheetId="5"/>
      <sheetData sheetId="6">
        <row r="3">
          <cell r="A3">
            <v>44489</v>
          </cell>
        </row>
        <row r="56">
          <cell r="B56" t="str">
            <v>North Sea Herring</v>
          </cell>
          <cell r="C56" t="str">
            <v>West Coast Herring</v>
          </cell>
          <cell r="D56" t="str">
            <v>West Coast Mackerel</v>
          </cell>
          <cell r="E56" t="str">
            <v>West Coast Mackerel HL</v>
          </cell>
          <cell r="F56" t="str">
            <v>Shet. Box Mackerel</v>
          </cell>
          <cell r="G56" t="str">
            <v>North Sea Mackerel</v>
          </cell>
          <cell r="H56" t="str">
            <v>N.Sea Mackerel IIIa IVbc</v>
          </cell>
          <cell r="I56" t="str">
            <v>Atlanto Scandian Herring</v>
          </cell>
          <cell r="J56" t="str">
            <v xml:space="preserve">Norway  </v>
          </cell>
          <cell r="K56" t="str">
            <v>Nor EEZ</v>
          </cell>
          <cell r="L56" t="str">
            <v>Faroes</v>
          </cell>
          <cell r="M56" t="str">
            <v>Clyde Firth Herring</v>
          </cell>
          <cell r="N56" t="str">
            <v>North Sea Horse Mackerel</v>
          </cell>
          <cell r="O56" t="str">
            <v>West Coast Horse Mackerel</v>
          </cell>
          <cell r="P56" t="str">
            <v>North Sea Blue Whiting</v>
          </cell>
          <cell r="Q56" t="str">
            <v>North Sea Sand Eels</v>
          </cell>
          <cell r="R56" t="str">
            <v>Norwegian Sand Eels</v>
          </cell>
          <cell r="S56" t="str">
            <v>Norway Pout</v>
          </cell>
          <cell r="T56" t="str">
            <v>Blue Whiting I-VIII, XII, XIV</v>
          </cell>
          <cell r="U56" t="str">
            <v>Shetland Sandeels</v>
          </cell>
          <cell r="V56" t="str">
            <v>Blue Whiting VIII</v>
          </cell>
          <cell r="W56" t="str">
            <v>Greenland Capelin</v>
          </cell>
          <cell r="X56" t="str">
            <v>Bl Whi Vb Faroes</v>
          </cell>
          <cell r="Y56" t="str">
            <v>NS Sandeels (Area1)</v>
          </cell>
          <cell r="Z56" t="str">
            <v>NS Sandeels (Area2)</v>
          </cell>
          <cell r="AA56" t="str">
            <v>NS Sandeels (Area3)</v>
          </cell>
          <cell r="AB56" t="str">
            <v>NS Sandeels (Area4)</v>
          </cell>
          <cell r="AC56" t="str">
            <v>NS Sandeels (Area5)</v>
          </cell>
          <cell r="AD56" t="str">
            <v>NS Sandeels (Area6)</v>
          </cell>
          <cell r="AE56" t="str">
            <v xml:space="preserve">WS Mac Of Which IIa Nor </v>
          </cell>
        </row>
        <row r="57">
          <cell r="A57" t="str">
            <v>SFO</v>
          </cell>
          <cell r="B57">
            <v>18731.63</v>
          </cell>
          <cell r="C57">
            <v>0.63</v>
          </cell>
          <cell r="D57">
            <v>26174.860000000004</v>
          </cell>
          <cell r="E57">
            <v>0</v>
          </cell>
          <cell r="F57">
            <v>1640.0500000000002</v>
          </cell>
          <cell r="G57">
            <v>12.69</v>
          </cell>
          <cell r="H57">
            <v>3.9569999999999999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15.190000000000001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12890.6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</row>
        <row r="58">
          <cell r="A58" t="str">
            <v>Aberdeen</v>
          </cell>
          <cell r="B58">
            <v>7.0000000000000007E-2</v>
          </cell>
          <cell r="C58">
            <v>0</v>
          </cell>
          <cell r="D58">
            <v>0</v>
          </cell>
          <cell r="E58">
            <v>0</v>
          </cell>
          <cell r="F58">
            <v>2.41</v>
          </cell>
          <cell r="G58">
            <v>12.700000000000001</v>
          </cell>
          <cell r="H58">
            <v>5.82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0.28000000000000003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</row>
        <row r="59">
          <cell r="A59" t="str">
            <v>NESFO</v>
          </cell>
          <cell r="B59">
            <v>0.12</v>
          </cell>
          <cell r="C59">
            <v>0</v>
          </cell>
          <cell r="D59">
            <v>1.1599999999999999</v>
          </cell>
          <cell r="E59">
            <v>0</v>
          </cell>
          <cell r="F59">
            <v>0.67999999999999994</v>
          </cell>
          <cell r="G59">
            <v>1.76</v>
          </cell>
          <cell r="H59">
            <v>1.7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</row>
        <row r="60">
          <cell r="A60" t="str">
            <v>Shetland</v>
          </cell>
          <cell r="B60">
            <v>10543.81</v>
          </cell>
          <cell r="C60">
            <v>690.9</v>
          </cell>
          <cell r="D60">
            <v>8735.68</v>
          </cell>
          <cell r="E60">
            <v>0</v>
          </cell>
          <cell r="F60">
            <v>13317.550000000001</v>
          </cell>
          <cell r="G60">
            <v>19.900000000000002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11.27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9759.32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</row>
        <row r="61">
          <cell r="A61" t="str">
            <v>Fife</v>
          </cell>
          <cell r="B61">
            <v>0</v>
          </cell>
          <cell r="C61">
            <v>0</v>
          </cell>
          <cell r="D61">
            <v>57.839999880790749</v>
          </cell>
          <cell r="E61">
            <v>0</v>
          </cell>
          <cell r="F61">
            <v>0.04</v>
          </cell>
          <cell r="G61">
            <v>1.3900000000000001</v>
          </cell>
          <cell r="H61">
            <v>17.2480000076294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9.5040000133514422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</row>
        <row r="62">
          <cell r="A62" t="str">
            <v>West Scotland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0.02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</row>
        <row r="63">
          <cell r="A63" t="str">
            <v>Orkney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0.15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</row>
        <row r="64">
          <cell r="A64" t="str">
            <v>Northern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0.03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</row>
        <row r="65">
          <cell r="A65" t="str">
            <v>Klondyke</v>
          </cell>
          <cell r="B65">
            <v>6570.21</v>
          </cell>
          <cell r="C65">
            <v>70.73</v>
          </cell>
          <cell r="D65">
            <v>9588.380000000001</v>
          </cell>
          <cell r="E65">
            <v>0</v>
          </cell>
          <cell r="F65">
            <v>678.37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434.93999999999994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10544.32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</row>
        <row r="66">
          <cell r="A66" t="str">
            <v>Lunar</v>
          </cell>
          <cell r="B66">
            <v>6398.9</v>
          </cell>
          <cell r="C66">
            <v>0</v>
          </cell>
          <cell r="D66">
            <v>11276.07</v>
          </cell>
          <cell r="E66">
            <v>0</v>
          </cell>
          <cell r="F66">
            <v>3305.9399999999996</v>
          </cell>
          <cell r="G66">
            <v>29.6</v>
          </cell>
          <cell r="H66">
            <v>0.21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1.22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24885.629999999997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</row>
        <row r="67">
          <cell r="A67" t="str">
            <v>Anglo Scot.</v>
          </cell>
          <cell r="B67">
            <v>0.15975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0.57999999999999996</v>
          </cell>
          <cell r="H67">
            <v>0.50049999859184036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</row>
        <row r="68">
          <cell r="A68" t="str">
            <v>EEFPO</v>
          </cell>
          <cell r="B68">
            <v>0.25</v>
          </cell>
          <cell r="C68">
            <v>0</v>
          </cell>
          <cell r="D68">
            <v>0</v>
          </cell>
          <cell r="E68">
            <v>0</v>
          </cell>
          <cell r="F68">
            <v>0.53</v>
          </cell>
          <cell r="G68">
            <v>0.79</v>
          </cell>
          <cell r="H68">
            <v>0.03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</row>
        <row r="69">
          <cell r="A69" t="str">
            <v>Western PO</v>
          </cell>
          <cell r="B69">
            <v>0</v>
          </cell>
          <cell r="C69">
            <v>0</v>
          </cell>
          <cell r="D69">
            <v>7.2607269845902933E-2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</row>
        <row r="70">
          <cell r="A70" t="str">
            <v>FPO</v>
          </cell>
          <cell r="B70">
            <v>0</v>
          </cell>
          <cell r="C70">
            <v>0</v>
          </cell>
          <cell r="D70">
            <v>0.31825000026822092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0.06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</row>
        <row r="71">
          <cell r="A71" t="str">
            <v>NIFPO</v>
          </cell>
          <cell r="B71">
            <v>31.335000000000001</v>
          </cell>
          <cell r="C71">
            <v>0</v>
          </cell>
          <cell r="D71">
            <v>1370.7860000076294</v>
          </cell>
          <cell r="E71">
            <v>0</v>
          </cell>
          <cell r="F71">
            <v>329.69300000000004</v>
          </cell>
          <cell r="G71">
            <v>10.855999976992608</v>
          </cell>
          <cell r="H71">
            <v>0.97900000095367434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0.35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</row>
        <row r="72">
          <cell r="A72" t="str">
            <v>ANIFPO</v>
          </cell>
          <cell r="B72">
            <v>5601.8879999999999</v>
          </cell>
          <cell r="C72">
            <v>0</v>
          </cell>
          <cell r="D72">
            <v>6799.2010000039345</v>
          </cell>
          <cell r="E72">
            <v>0</v>
          </cell>
          <cell r="F72">
            <v>4158.7880000000005</v>
          </cell>
          <cell r="G72">
            <v>0</v>
          </cell>
          <cell r="H72">
            <v>0.01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180.3</v>
          </cell>
          <cell r="N72">
            <v>0</v>
          </cell>
          <cell r="O72">
            <v>1342.5859999999998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</row>
        <row r="73">
          <cell r="A73" t="str">
            <v>Cornish</v>
          </cell>
          <cell r="B73">
            <v>0</v>
          </cell>
          <cell r="C73">
            <v>0</v>
          </cell>
          <cell r="D73">
            <v>11.033241930477317</v>
          </cell>
          <cell r="E73">
            <v>4.4044999999999996</v>
          </cell>
          <cell r="F73">
            <v>1.1800000190734865</v>
          </cell>
          <cell r="G73">
            <v>8.1820000038146983</v>
          </cell>
          <cell r="H73">
            <v>2.1864999661445625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2.9660815974250432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</row>
        <row r="74">
          <cell r="A74" t="str">
            <v>South West</v>
          </cell>
          <cell r="B74">
            <v>0</v>
          </cell>
          <cell r="C74">
            <v>0</v>
          </cell>
          <cell r="D74">
            <v>2.7025510209128245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0.30259999994188541</v>
          </cell>
          <cell r="O74">
            <v>0.20329999899864198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</row>
        <row r="75">
          <cell r="A75" t="str">
            <v>North Sea</v>
          </cell>
          <cell r="B75">
            <v>5.8999999999999997E-2</v>
          </cell>
          <cell r="C75">
            <v>0</v>
          </cell>
          <cell r="D75">
            <v>19.031000035285945</v>
          </cell>
          <cell r="E75">
            <v>0</v>
          </cell>
          <cell r="F75">
            <v>0</v>
          </cell>
          <cell r="G75">
            <v>0</v>
          </cell>
          <cell r="H75">
            <v>4.4439999732971174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14.294000005722038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</row>
        <row r="76">
          <cell r="A76" t="str">
            <v>Lowestoft</v>
          </cell>
          <cell r="B76">
            <v>0</v>
          </cell>
          <cell r="C76">
            <v>0</v>
          </cell>
          <cell r="D76">
            <v>43.616000060081497</v>
          </cell>
          <cell r="E76">
            <v>0</v>
          </cell>
          <cell r="F76">
            <v>0</v>
          </cell>
          <cell r="G76">
            <v>0</v>
          </cell>
          <cell r="H76">
            <v>72.606000187173564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57.99705902087689</v>
          </cell>
          <cell r="O76">
            <v>7.1043000068664544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</row>
        <row r="77">
          <cell r="A77" t="str">
            <v>Wales WC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</row>
        <row r="78">
          <cell r="A78" t="str">
            <v>Interfish</v>
          </cell>
          <cell r="B78">
            <v>7754.0200000000013</v>
          </cell>
          <cell r="C78">
            <v>27.2</v>
          </cell>
          <cell r="D78">
            <v>7349.4158000036032</v>
          </cell>
          <cell r="E78">
            <v>0</v>
          </cell>
          <cell r="F78">
            <v>2243.5299999999997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6821.0199999999995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</row>
        <row r="79">
          <cell r="A79" t="str">
            <v>North Atlantic FPO</v>
          </cell>
          <cell r="B79">
            <v>9011.4820087715416</v>
          </cell>
          <cell r="C79">
            <v>4.5430000076293942</v>
          </cell>
          <cell r="D79">
            <v>12144.334996567812</v>
          </cell>
          <cell r="E79">
            <v>0</v>
          </cell>
          <cell r="F79">
            <v>251.75700170898438</v>
          </cell>
          <cell r="G79">
            <v>215.74050032138831</v>
          </cell>
          <cell r="H79">
            <v>154.71700062984229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3875.1758943758582</v>
          </cell>
          <cell r="O79">
            <v>3.5120000000000049</v>
          </cell>
          <cell r="P79">
            <v>0</v>
          </cell>
          <cell r="Q79">
            <v>0</v>
          </cell>
          <cell r="R79">
            <v>0</v>
          </cell>
          <cell r="S79">
            <v>9.8252998046875</v>
          </cell>
          <cell r="T79">
            <v>7202.1500341720584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</row>
        <row r="80">
          <cell r="A80" t="str">
            <v>Non Sector - England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</row>
        <row r="81">
          <cell r="A81" t="str">
            <v>Non Sector - Wales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</row>
        <row r="82">
          <cell r="A82" t="str">
            <v>Non Sector - Scotland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0.1</v>
          </cell>
          <cell r="G82">
            <v>0.18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</row>
        <row r="83">
          <cell r="A83" t="str">
            <v>Non Sector - N.Ireland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</row>
        <row r="84">
          <cell r="A84" t="str">
            <v>Isle of Man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</row>
        <row r="85">
          <cell r="A85" t="str">
            <v>Under 10m - England</v>
          </cell>
          <cell r="B85">
            <v>3.3722499999999993</v>
          </cell>
          <cell r="C85">
            <v>0</v>
          </cell>
          <cell r="D85">
            <v>51.196377097859838</v>
          </cell>
          <cell r="E85">
            <v>237.29265201821934</v>
          </cell>
          <cell r="F85">
            <v>0</v>
          </cell>
          <cell r="G85">
            <v>0</v>
          </cell>
          <cell r="H85">
            <v>4.9785700007527964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0.86950000108033354</v>
          </cell>
          <cell r="O85">
            <v>1.7793300024121996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</row>
        <row r="86">
          <cell r="A86" t="str">
            <v>Under 10m - Wales</v>
          </cell>
          <cell r="B86">
            <v>0</v>
          </cell>
          <cell r="C86">
            <v>0</v>
          </cell>
          <cell r="D86">
            <v>0.58765999993681939</v>
          </cell>
          <cell r="E86">
            <v>9.4199999809265134E-2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</row>
        <row r="87">
          <cell r="A87" t="str">
            <v>Under 10m - Scotland</v>
          </cell>
          <cell r="B87">
            <v>0.1</v>
          </cell>
          <cell r="C87">
            <v>0</v>
          </cell>
          <cell r="D87">
            <v>12.829999999999998</v>
          </cell>
          <cell r="E87">
            <v>0</v>
          </cell>
          <cell r="F87">
            <v>0</v>
          </cell>
          <cell r="G87">
            <v>930.47999999999922</v>
          </cell>
          <cell r="H87">
            <v>58.279999999999987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0.06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</row>
        <row r="88">
          <cell r="A88" t="str">
            <v>Under 10m - N.Ireland</v>
          </cell>
          <cell r="B88">
            <v>0</v>
          </cell>
          <cell r="C88">
            <v>0</v>
          </cell>
          <cell r="D88">
            <v>0.126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</row>
        <row r="89">
          <cell r="A89" t="str">
            <v>Handliners(VIIe-h)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</row>
        <row r="91">
          <cell r="A91" t="str">
            <v>Total</v>
          </cell>
          <cell r="B91">
            <v>64647.406008771541</v>
          </cell>
          <cell r="C91">
            <v>794.00300000762945</v>
          </cell>
          <cell r="D91">
            <v>83639.241483878432</v>
          </cell>
          <cell r="E91">
            <v>241.79135201802862</v>
          </cell>
          <cell r="F91">
            <v>25930.818001728061</v>
          </cell>
          <cell r="G91">
            <v>1244.8485003021949</v>
          </cell>
          <cell r="H91">
            <v>327.66657076438526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180.3</v>
          </cell>
          <cell r="N91">
            <v>3958.2630534168306</v>
          </cell>
          <cell r="O91">
            <v>1821.401011605702</v>
          </cell>
          <cell r="P91">
            <v>0</v>
          </cell>
          <cell r="Q91">
            <v>0</v>
          </cell>
          <cell r="R91">
            <v>0</v>
          </cell>
          <cell r="S91">
            <v>9.8252998046875</v>
          </cell>
          <cell r="T91">
            <v>72103.040034172052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</row>
      </sheetData>
      <sheetData sheetId="7">
        <row r="2">
          <cell r="B2">
            <v>44489</v>
          </cell>
        </row>
      </sheetData>
      <sheetData sheetId="8">
        <row r="18">
          <cell r="P18">
            <v>0</v>
          </cell>
          <cell r="S18" t="e">
            <v>#DIV/0!</v>
          </cell>
        </row>
        <row r="24">
          <cell r="P24">
            <v>0</v>
          </cell>
          <cell r="S24" t="e">
            <v>#DIV/0!</v>
          </cell>
        </row>
      </sheetData>
      <sheetData sheetId="9"/>
      <sheetData sheetId="10"/>
      <sheetData sheetId="11">
        <row r="147">
          <cell r="C147">
            <v>300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 - IV&amp;VI"/>
      <sheetName val="D1 - DSS"/>
      <sheetName val="D1 - Maj pel"/>
      <sheetName val="D1 - VII"/>
      <sheetName val="D1 - Min pel"/>
      <sheetName val="Final alloc from Guy"/>
      <sheetName val="Master"/>
      <sheetName val="Windfall banking"/>
      <sheetName val="IV&amp;VI Combined"/>
      <sheetName val="Special condition stocks"/>
      <sheetName val="raw allocs"/>
      <sheetName val="Maj Pel Combined"/>
      <sheetName val="DSS Combined"/>
      <sheetName val="Faroes Combined"/>
      <sheetName val="Unallocated swaps"/>
      <sheetName val="Final reallocation 11 Dec"/>
      <sheetName val="Reallocated FDF"/>
      <sheetName val="Retained Mackerel allocated29_8"/>
      <sheetName val="Sheet2"/>
      <sheetName val="Sheet1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4.8170000000000002</v>
          </cell>
        </row>
        <row r="29">
          <cell r="B29">
            <v>0</v>
          </cell>
          <cell r="C29"/>
          <cell r="D29">
            <v>352.197</v>
          </cell>
          <cell r="E29">
            <v>352.197</v>
          </cell>
          <cell r="F29">
            <v>3.669</v>
          </cell>
          <cell r="G29">
            <v>3.669</v>
          </cell>
          <cell r="I29">
            <v>356.81299999999999</v>
          </cell>
          <cell r="J29">
            <v>0.4</v>
          </cell>
          <cell r="K29">
            <v>0</v>
          </cell>
          <cell r="O29"/>
        </row>
        <row r="30">
          <cell r="B30">
            <v>0</v>
          </cell>
          <cell r="C30"/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O30"/>
        </row>
        <row r="31">
          <cell r="B31">
            <v>0</v>
          </cell>
          <cell r="C31"/>
          <cell r="D31">
            <v>100</v>
          </cell>
          <cell r="E31">
            <v>100</v>
          </cell>
          <cell r="F31">
            <v>100.04300000000001</v>
          </cell>
          <cell r="G31">
            <v>100.04300000000001</v>
          </cell>
          <cell r="I31">
            <v>0</v>
          </cell>
          <cell r="J31">
            <v>0</v>
          </cell>
          <cell r="K31">
            <v>0</v>
          </cell>
          <cell r="O31"/>
        </row>
        <row r="32">
          <cell r="B32">
            <v>0</v>
          </cell>
          <cell r="C32"/>
          <cell r="D32">
            <v>0</v>
          </cell>
          <cell r="E32">
            <v>0</v>
          </cell>
          <cell r="F32">
            <v>0</v>
          </cell>
          <cell r="G32">
            <v>0</v>
          </cell>
          <cell r="I32">
            <v>0</v>
          </cell>
          <cell r="J32">
            <v>0</v>
          </cell>
          <cell r="K32">
            <v>0</v>
          </cell>
          <cell r="O32"/>
        </row>
        <row r="36">
          <cell r="B36">
            <v>1312.3810000000001</v>
          </cell>
          <cell r="C36"/>
          <cell r="D36">
            <v>1069.7850000000001</v>
          </cell>
          <cell r="E36">
            <v>1069.7850000000001</v>
          </cell>
          <cell r="F36">
            <v>10.595000000000001</v>
          </cell>
          <cell r="G36">
            <v>10.595000000000001</v>
          </cell>
          <cell r="I36">
            <v>1027.2850000000001</v>
          </cell>
          <cell r="J36">
            <v>0.93899999999999995</v>
          </cell>
          <cell r="K36">
            <v>0</v>
          </cell>
          <cell r="O36"/>
        </row>
        <row r="37">
          <cell r="B37">
            <v>0</v>
          </cell>
          <cell r="C37"/>
          <cell r="D37">
            <v>48.677</v>
          </cell>
          <cell r="E37">
            <v>48.677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>
            <v>0</v>
          </cell>
          <cell r="O37"/>
        </row>
        <row r="38">
          <cell r="B38">
            <v>0</v>
          </cell>
          <cell r="C38"/>
          <cell r="D38">
            <v>324.39999999999998</v>
          </cell>
          <cell r="E38">
            <v>324.39999999999998</v>
          </cell>
          <cell r="F38">
            <v>1064.0540000000001</v>
          </cell>
          <cell r="G38">
            <v>1064.0540000000001</v>
          </cell>
          <cell r="I38">
            <v>0</v>
          </cell>
          <cell r="J38">
            <v>0</v>
          </cell>
          <cell r="K38">
            <v>0</v>
          </cell>
          <cell r="O38"/>
        </row>
        <row r="39">
          <cell r="B39">
            <v>0</v>
          </cell>
          <cell r="C39"/>
          <cell r="D39">
            <v>17.600000000000001</v>
          </cell>
          <cell r="E39">
            <v>17.600000000000001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  <cell r="K39">
            <v>0</v>
          </cell>
          <cell r="O39"/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>
    <pageSetUpPr fitToPage="1"/>
  </sheetPr>
  <dimension ref="A1:AC56"/>
  <sheetViews>
    <sheetView tabSelected="1" workbookViewId="0"/>
  </sheetViews>
  <sheetFormatPr defaultColWidth="9.140625" defaultRowHeight="12" x14ac:dyDescent="0.2"/>
  <cols>
    <col min="1" max="1" width="2.7109375" style="77" customWidth="1"/>
    <col min="2" max="2" width="26" style="77" customWidth="1"/>
    <col min="3" max="4" width="6.7109375" style="76" customWidth="1"/>
    <col min="5" max="5" width="6.7109375" style="77" customWidth="1"/>
    <col min="6" max="7" width="6.7109375" style="76" customWidth="1"/>
    <col min="8" max="8" width="6.7109375" style="77" customWidth="1"/>
    <col min="9" max="10" width="6.7109375" style="76" customWidth="1"/>
    <col min="11" max="11" width="6.7109375" style="77" customWidth="1"/>
    <col min="12" max="12" width="1.7109375" style="77" customWidth="1"/>
    <col min="13" max="14" width="6.7109375" style="76" customWidth="1"/>
    <col min="15" max="16" width="6.7109375" style="77" customWidth="1"/>
    <col min="17" max="17" width="6.7109375" style="76" customWidth="1"/>
    <col min="18" max="18" width="6.7109375" style="77" customWidth="1"/>
    <col min="19" max="19" width="6.7109375" style="81" customWidth="1"/>
    <col min="20" max="20" width="6.7109375" style="77" customWidth="1"/>
    <col min="21" max="21" width="1.7109375" style="77" customWidth="1"/>
    <col min="22" max="23" width="2.7109375" style="77" customWidth="1"/>
    <col min="24" max="24" width="7.7109375" style="77" hidden="1" customWidth="1"/>
    <col min="25" max="25" width="9.140625" style="77" customWidth="1"/>
    <col min="26" max="16384" width="9.140625" style="77"/>
  </cols>
  <sheetData>
    <row r="1" spans="2:25" x14ac:dyDescent="0.2">
      <c r="B1" s="75" t="s">
        <v>153</v>
      </c>
      <c r="I1" s="78"/>
      <c r="J1" s="79" t="s">
        <v>0</v>
      </c>
      <c r="M1" s="80"/>
    </row>
    <row r="2" spans="2:25" x14ac:dyDescent="0.2">
      <c r="B2" s="1">
        <v>44489</v>
      </c>
      <c r="I2" s="82"/>
      <c r="M2" s="77"/>
      <c r="N2" s="79" t="s">
        <v>166</v>
      </c>
    </row>
    <row r="3" spans="2:25" x14ac:dyDescent="0.2">
      <c r="B3" s="83"/>
    </row>
    <row r="4" spans="2:25" ht="11.85" customHeight="1" x14ac:dyDescent="0.2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5" ht="11.85" customHeight="1" x14ac:dyDescent="0.2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5" ht="11.85" customHeight="1" x14ac:dyDescent="0.2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2020</v>
      </c>
      <c r="T6" s="108">
        <v>2021</v>
      </c>
      <c r="U6" s="100"/>
      <c r="V6" s="83"/>
      <c r="X6" s="94" t="s">
        <v>14</v>
      </c>
    </row>
    <row r="7" spans="2:25" ht="11.85" customHeight="1" x14ac:dyDescent="0.2">
      <c r="B7" s="109"/>
      <c r="C7" s="110">
        <v>2020</v>
      </c>
      <c r="D7" s="111">
        <v>2021</v>
      </c>
      <c r="E7" s="112" t="s">
        <v>15</v>
      </c>
      <c r="F7" s="110">
        <v>2020</v>
      </c>
      <c r="G7" s="111">
        <v>2021</v>
      </c>
      <c r="H7" s="112" t="s">
        <v>15</v>
      </c>
      <c r="I7" s="110">
        <v>2020</v>
      </c>
      <c r="J7" s="111">
        <v>2021</v>
      </c>
      <c r="K7" s="113" t="s">
        <v>15</v>
      </c>
      <c r="L7" s="114"/>
      <c r="M7" s="110">
        <v>2020</v>
      </c>
      <c r="N7" s="111">
        <v>2021</v>
      </c>
      <c r="O7" s="105" t="s">
        <v>15</v>
      </c>
      <c r="P7" s="115">
        <v>2021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2020</v>
      </c>
    </row>
    <row r="8" spans="2:25" ht="11.85" customHeight="1" x14ac:dyDescent="0.2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85" customHeight="1" x14ac:dyDescent="0.2">
      <c r="B9" s="175" t="s">
        <v>17</v>
      </c>
      <c r="C9" s="129">
        <v>26723.33</v>
      </c>
      <c r="D9" s="130">
        <v>31885.830000000005</v>
      </c>
      <c r="E9" s="131">
        <v>19.318325972100045</v>
      </c>
      <c r="F9" s="132">
        <v>2933.7032500005512</v>
      </c>
      <c r="G9" s="130">
        <v>548.423</v>
      </c>
      <c r="H9" s="131">
        <v>-81.306118810759159</v>
      </c>
      <c r="I9" s="132">
        <v>33859.881897233252</v>
      </c>
      <c r="J9" s="130">
        <v>32213.153008771544</v>
      </c>
      <c r="K9" s="131">
        <v>-4.8633627649961335</v>
      </c>
      <c r="L9" s="132"/>
      <c r="M9" s="129">
        <v>63516.915147233805</v>
      </c>
      <c r="N9" s="132">
        <v>64647.406008771541</v>
      </c>
      <c r="O9" s="131">
        <v>1.7798264586956547</v>
      </c>
      <c r="P9" s="130">
        <v>63389.054999999993</v>
      </c>
      <c r="Q9" s="130">
        <v>165.13399999999092</v>
      </c>
      <c r="R9" s="131">
        <v>0.26050869507360686</v>
      </c>
      <c r="S9" s="131">
        <v>89.826836147488649</v>
      </c>
      <c r="T9" s="176">
        <v>101.98512347087608</v>
      </c>
      <c r="U9" s="100"/>
      <c r="V9" s="83"/>
      <c r="X9" s="133">
        <v>70710.399999999994</v>
      </c>
      <c r="Y9" s="76"/>
    </row>
    <row r="10" spans="2:25" ht="11.85" customHeight="1" x14ac:dyDescent="0.2">
      <c r="B10" s="175" t="s">
        <v>18</v>
      </c>
      <c r="C10" s="129">
        <v>0.02</v>
      </c>
      <c r="D10" s="130">
        <v>98.050000000000011</v>
      </c>
      <c r="E10" s="131" t="s">
        <v>64</v>
      </c>
      <c r="F10" s="132">
        <v>0</v>
      </c>
      <c r="G10" s="130">
        <v>0</v>
      </c>
      <c r="H10" s="131" t="s">
        <v>64</v>
      </c>
      <c r="I10" s="132">
        <v>5.95</v>
      </c>
      <c r="J10" s="130">
        <v>695.95300000762938</v>
      </c>
      <c r="K10" s="131" t="s">
        <v>64</v>
      </c>
      <c r="L10" s="132"/>
      <c r="M10" s="129">
        <v>5.97</v>
      </c>
      <c r="N10" s="132">
        <v>794.00300000762934</v>
      </c>
      <c r="O10" s="131" t="s">
        <v>64</v>
      </c>
      <c r="P10" s="130">
        <v>2472.8000000000002</v>
      </c>
      <c r="Q10" s="130">
        <v>0</v>
      </c>
      <c r="R10" s="131">
        <v>0</v>
      </c>
      <c r="S10" s="131">
        <v>0.14711318104531679</v>
      </c>
      <c r="T10" s="176">
        <v>32.109471045277793</v>
      </c>
      <c r="U10" s="100"/>
      <c r="V10" s="83"/>
      <c r="X10" s="133">
        <v>4058.1</v>
      </c>
    </row>
    <row r="11" spans="2:25" ht="11.85" customHeight="1" x14ac:dyDescent="0.2">
      <c r="B11" s="177" t="s">
        <v>19</v>
      </c>
      <c r="C11" s="132">
        <v>44210.719999999994</v>
      </c>
      <c r="D11" s="130">
        <v>41392.35</v>
      </c>
      <c r="E11" s="131">
        <v>-6.3748565958663326</v>
      </c>
      <c r="F11" s="132">
        <v>4850.6658287587697</v>
      </c>
      <c r="G11" s="130">
        <v>3825.5035646027445</v>
      </c>
      <c r="H11" s="131">
        <v>-21.134464841465952</v>
      </c>
      <c r="I11" s="132">
        <v>74173.620379930682</v>
      </c>
      <c r="J11" s="130">
        <v>64593.997273021778</v>
      </c>
      <c r="K11" s="131">
        <v>-12.915134865792371</v>
      </c>
      <c r="L11" s="132"/>
      <c r="M11" s="129">
        <v>123235.00620868945</v>
      </c>
      <c r="N11" s="132">
        <v>109403.85083762452</v>
      </c>
      <c r="O11" s="131">
        <v>-11.223398120857709</v>
      </c>
      <c r="P11" s="130">
        <v>215470.44299999997</v>
      </c>
      <c r="Q11" s="130">
        <v>3700.4210790041689</v>
      </c>
      <c r="R11" s="131">
        <v>1.717368297703908</v>
      </c>
      <c r="S11" s="131">
        <v>62.895091089648758</v>
      </c>
      <c r="T11" s="176">
        <v>50.774412171986171</v>
      </c>
      <c r="U11" s="100"/>
      <c r="V11" s="83"/>
      <c r="X11" s="133">
        <v>195937.4</v>
      </c>
    </row>
    <row r="12" spans="2:25" ht="11.25" customHeight="1" x14ac:dyDescent="0.2">
      <c r="B12" s="175" t="s">
        <v>20</v>
      </c>
      <c r="C12" s="129">
        <v>17110.550000000003</v>
      </c>
      <c r="D12" s="130">
        <v>7733.5299999999988</v>
      </c>
      <c r="E12" s="131">
        <v>-54.802563330810536</v>
      </c>
      <c r="F12" s="132">
        <v>2868.8670387864108</v>
      </c>
      <c r="G12" s="130">
        <v>583.22900001907351</v>
      </c>
      <c r="H12" s="131">
        <v>-79.670406744754843</v>
      </c>
      <c r="I12" s="132">
        <v>30840.002492625357</v>
      </c>
      <c r="J12" s="130">
        <v>17614.059001708985</v>
      </c>
      <c r="K12" s="131">
        <v>-42.885675816916802</v>
      </c>
      <c r="L12" s="132"/>
      <c r="M12" s="129">
        <v>50819.419531411768</v>
      </c>
      <c r="N12" s="132">
        <v>26530.818001728061</v>
      </c>
      <c r="O12" s="131">
        <v>-47.793937344504272</v>
      </c>
      <c r="P12" s="130">
        <v>214358.04300000003</v>
      </c>
      <c r="Q12" s="130">
        <v>3551.208000000006</v>
      </c>
      <c r="R12" s="131">
        <v>1.6566712171373972</v>
      </c>
      <c r="S12" s="131">
        <v>37.180307184698513</v>
      </c>
      <c r="T12" s="176">
        <v>12.37687078610251</v>
      </c>
      <c r="U12" s="100"/>
      <c r="V12" s="83"/>
      <c r="X12" s="133">
        <v>136683.70000000001</v>
      </c>
    </row>
    <row r="13" spans="2:25" ht="11.85" customHeight="1" x14ac:dyDescent="0.2">
      <c r="B13" s="175" t="s">
        <v>21</v>
      </c>
      <c r="C13" s="129">
        <v>1111.6799999999998</v>
      </c>
      <c r="D13" s="130">
        <v>1066.8100000000004</v>
      </c>
      <c r="E13" s="131">
        <v>-4.0362334484743307</v>
      </c>
      <c r="F13" s="132">
        <v>26.248756430009379</v>
      </c>
      <c r="G13" s="130">
        <v>29.886569973953073</v>
      </c>
      <c r="H13" s="131">
        <v>13.858993867552122</v>
      </c>
      <c r="I13" s="132">
        <v>505.65390191721269</v>
      </c>
      <c r="J13" s="130">
        <v>475.81850109262768</v>
      </c>
      <c r="K13" s="131">
        <v>-5.9003600509088443</v>
      </c>
      <c r="L13" s="132"/>
      <c r="M13" s="129">
        <v>1643.5826583472217</v>
      </c>
      <c r="N13" s="132">
        <v>972.51507106658005</v>
      </c>
      <c r="O13" s="131">
        <v>-40.829561195021597</v>
      </c>
      <c r="P13" s="130">
        <v>1734.1480000000001</v>
      </c>
      <c r="Q13" s="130">
        <v>107.92150048936924</v>
      </c>
      <c r="R13" s="131">
        <v>6.2233154545845704</v>
      </c>
      <c r="S13" s="131">
        <v>19.225437575707353</v>
      </c>
      <c r="T13" s="176">
        <v>56.080280983317451</v>
      </c>
      <c r="U13" s="100"/>
      <c r="V13" s="83"/>
      <c r="X13" s="133">
        <v>8549</v>
      </c>
    </row>
    <row r="14" spans="2:25" ht="11.85" customHeight="1" x14ac:dyDescent="0.2">
      <c r="B14" s="175" t="s">
        <v>22</v>
      </c>
      <c r="C14" s="129">
        <v>37.299999999999997</v>
      </c>
      <c r="D14" s="130">
        <v>70.039999999999978</v>
      </c>
      <c r="E14" s="131">
        <v>87.774798927613901</v>
      </c>
      <c r="F14" s="132">
        <v>13.040870031232011</v>
      </c>
      <c r="G14" s="130">
        <v>10.158569993145766</v>
      </c>
      <c r="H14" s="131">
        <v>-22.102053246319674</v>
      </c>
      <c r="I14" s="132">
        <v>178.10500002706041</v>
      </c>
      <c r="J14" s="130">
        <v>247.46800077123933</v>
      </c>
      <c r="K14" s="131">
        <v>38.945004763280224</v>
      </c>
      <c r="L14" s="132"/>
      <c r="M14" s="129">
        <v>228.44587005829243</v>
      </c>
      <c r="N14" s="132">
        <v>327.66657076438509</v>
      </c>
      <c r="O14" s="131">
        <v>43.43291506244983</v>
      </c>
      <c r="P14" s="130">
        <v>1729.248</v>
      </c>
      <c r="Q14" s="130">
        <v>41.271500489369089</v>
      </c>
      <c r="R14" s="131">
        <v>2.3866733105586411</v>
      </c>
      <c r="S14" s="131">
        <v>47.170322126428331</v>
      </c>
      <c r="T14" s="176">
        <v>18.948500779783181</v>
      </c>
      <c r="U14" s="100"/>
      <c r="V14" s="83"/>
      <c r="X14" s="133">
        <v>484.3</v>
      </c>
    </row>
    <row r="15" spans="2:25" ht="11.85" customHeight="1" x14ac:dyDescent="0.2">
      <c r="B15" s="175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180.3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180.3</v>
      </c>
      <c r="O15" s="131" t="s">
        <v>64</v>
      </c>
      <c r="P15" s="130">
        <v>582.97700000000009</v>
      </c>
      <c r="Q15" s="130">
        <v>0</v>
      </c>
      <c r="R15" s="131">
        <v>0</v>
      </c>
      <c r="S15" s="131">
        <v>0</v>
      </c>
      <c r="T15" s="176">
        <v>30.927463690677332</v>
      </c>
      <c r="U15" s="100"/>
      <c r="V15" s="83"/>
      <c r="X15" s="133">
        <v>641.29999999999995</v>
      </c>
    </row>
    <row r="16" spans="2:25" ht="11.85" customHeight="1" x14ac:dyDescent="0.2">
      <c r="B16" s="134" t="s">
        <v>24</v>
      </c>
      <c r="C16" s="129">
        <v>0</v>
      </c>
      <c r="D16" s="130">
        <v>0.06</v>
      </c>
      <c r="E16" s="131" t="s">
        <v>64</v>
      </c>
      <c r="F16" s="132">
        <v>9.9302899962365583</v>
      </c>
      <c r="G16" s="130">
        <v>2.3441999937742928</v>
      </c>
      <c r="H16" s="131">
        <v>-76.393438714652731</v>
      </c>
      <c r="I16" s="132">
        <v>142.68499985054137</v>
      </c>
      <c r="J16" s="130">
        <v>3955.858853423058</v>
      </c>
      <c r="K16" s="131" t="s">
        <v>64</v>
      </c>
      <c r="L16" s="132"/>
      <c r="M16" s="129">
        <v>152.61528984677793</v>
      </c>
      <c r="N16" s="132">
        <v>3958.2630534168306</v>
      </c>
      <c r="O16" s="131" t="s">
        <v>64</v>
      </c>
      <c r="P16" s="130">
        <v>5166.3689999999997</v>
      </c>
      <c r="Q16" s="130">
        <v>2457.6034000038189</v>
      </c>
      <c r="R16" s="131">
        <v>47.56925802248773</v>
      </c>
      <c r="S16" s="131">
        <v>2.6702468741781491</v>
      </c>
      <c r="T16" s="176">
        <v>76.615957037076342</v>
      </c>
      <c r="U16" s="100"/>
      <c r="V16" s="83"/>
      <c r="X16" s="133">
        <v>5715.4</v>
      </c>
    </row>
    <row r="17" spans="1:25" ht="11.85" customHeight="1" x14ac:dyDescent="0.2">
      <c r="B17" s="134" t="s">
        <v>25</v>
      </c>
      <c r="C17" s="129">
        <v>311.40999999999991</v>
      </c>
      <c r="D17" s="130">
        <v>451.63</v>
      </c>
      <c r="E17" s="131">
        <v>45.02745576571084</v>
      </c>
      <c r="F17" s="132">
        <v>16.036930003896355</v>
      </c>
      <c r="G17" s="130">
        <v>1080.1730115866289</v>
      </c>
      <c r="H17" s="131" t="s">
        <v>64</v>
      </c>
      <c r="I17" s="132">
        <v>1975.0780088195793</v>
      </c>
      <c r="J17" s="130">
        <v>289.59800001907348</v>
      </c>
      <c r="K17" s="131">
        <v>-85.33738927141647</v>
      </c>
      <c r="L17" s="132"/>
      <c r="M17" s="129">
        <v>2302.5249388234756</v>
      </c>
      <c r="N17" s="132">
        <v>1821.401011605702</v>
      </c>
      <c r="O17" s="131">
        <v>-20.895492557123578</v>
      </c>
      <c r="P17" s="130">
        <v>7438.1159999999982</v>
      </c>
      <c r="Q17" s="130">
        <v>0.37540000035619414</v>
      </c>
      <c r="R17" s="131">
        <v>5.0469769543281424E-3</v>
      </c>
      <c r="S17" s="131">
        <v>28.506474258697018</v>
      </c>
      <c r="T17" s="176">
        <v>24.487397233462108</v>
      </c>
      <c r="U17" s="100"/>
      <c r="V17" s="83"/>
      <c r="X17" s="133">
        <v>8077.2</v>
      </c>
    </row>
    <row r="18" spans="1:25" ht="11.85" hidden="1" customHeight="1" x14ac:dyDescent="0.2">
      <c r="B18" s="178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6" t="s">
        <v>64</v>
      </c>
      <c r="U18" s="100"/>
      <c r="V18" s="83"/>
      <c r="X18" s="133"/>
    </row>
    <row r="19" spans="1:25" ht="11.85" customHeight="1" x14ac:dyDescent="0.2">
      <c r="B19" s="178" t="s">
        <v>27</v>
      </c>
      <c r="C19" s="129">
        <v>0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0</v>
      </c>
      <c r="K19" s="131" t="s">
        <v>64</v>
      </c>
      <c r="L19" s="132"/>
      <c r="M19" s="129">
        <v>0</v>
      </c>
      <c r="N19" s="132">
        <v>0</v>
      </c>
      <c r="O19" s="131" t="s">
        <v>64</v>
      </c>
      <c r="P19" s="130">
        <v>0</v>
      </c>
      <c r="Q19" s="130">
        <v>0</v>
      </c>
      <c r="R19" s="131" t="s">
        <v>64</v>
      </c>
      <c r="S19" s="131">
        <v>0</v>
      </c>
      <c r="T19" s="176" t="s">
        <v>64</v>
      </c>
      <c r="U19" s="100"/>
      <c r="V19" s="83"/>
      <c r="X19" s="133">
        <v>1741.2</v>
      </c>
    </row>
    <row r="20" spans="1:25" s="83" customFormat="1" ht="11.85" customHeight="1" x14ac:dyDescent="0.2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6" t="s">
        <v>64</v>
      </c>
      <c r="U20" s="100"/>
      <c r="X20" s="133">
        <v>0</v>
      </c>
    </row>
    <row r="21" spans="1:25" s="83" customFormat="1" ht="11.85" customHeight="1" x14ac:dyDescent="0.2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85.896999744415325</v>
      </c>
      <c r="J21" s="130">
        <v>9.8252998046875</v>
      </c>
      <c r="K21" s="131">
        <v>-88.561533192169136</v>
      </c>
      <c r="L21" s="132"/>
      <c r="M21" s="129">
        <v>85.896999744415325</v>
      </c>
      <c r="N21" s="132">
        <v>9.8252998046875</v>
      </c>
      <c r="O21" s="131">
        <v>-88.561533192169136</v>
      </c>
      <c r="P21" s="130">
        <v>0</v>
      </c>
      <c r="Q21" s="130">
        <v>0</v>
      </c>
      <c r="R21" s="131" t="s">
        <v>64</v>
      </c>
      <c r="S21" s="131" t="s">
        <v>64</v>
      </c>
      <c r="T21" s="179" t="s">
        <v>64</v>
      </c>
      <c r="U21" s="100"/>
      <c r="X21" s="133">
        <v>0</v>
      </c>
    </row>
    <row r="22" spans="1:25" ht="11.85" customHeight="1" x14ac:dyDescent="0.2">
      <c r="B22" s="175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2.0053999882936502</v>
      </c>
      <c r="J22" s="130">
        <v>0</v>
      </c>
      <c r="K22" s="131" t="s">
        <v>64</v>
      </c>
      <c r="L22" s="132"/>
      <c r="M22" s="129">
        <v>2.0053999882936502</v>
      </c>
      <c r="N22" s="132">
        <v>0</v>
      </c>
      <c r="O22" s="131" t="s">
        <v>64</v>
      </c>
      <c r="P22" s="130">
        <v>7682.96</v>
      </c>
      <c r="Q22" s="130">
        <v>0</v>
      </c>
      <c r="R22" s="131">
        <v>0</v>
      </c>
      <c r="S22" s="131">
        <v>4.9378277603074144E-2</v>
      </c>
      <c r="T22" s="176">
        <v>0</v>
      </c>
      <c r="U22" s="100"/>
      <c r="V22" s="83"/>
      <c r="X22" s="133">
        <v>4061.3</v>
      </c>
    </row>
    <row r="23" spans="1:25" ht="11.25" customHeight="1" x14ac:dyDescent="0.2">
      <c r="A23" s="100"/>
      <c r="B23" s="137" t="s">
        <v>31</v>
      </c>
      <c r="C23" s="132">
        <v>12886.51</v>
      </c>
      <c r="D23" s="130">
        <v>21348.949999999997</v>
      </c>
      <c r="E23" s="131">
        <v>65.668982525136727</v>
      </c>
      <c r="F23" s="132">
        <v>1E-3</v>
      </c>
      <c r="G23" s="130">
        <v>0</v>
      </c>
      <c r="H23" s="131" t="s">
        <v>64</v>
      </c>
      <c r="I23" s="132">
        <v>38673.943699611664</v>
      </c>
      <c r="J23" s="130">
        <v>50754.090034172063</v>
      </c>
      <c r="K23" s="131">
        <v>31.235879196570533</v>
      </c>
      <c r="L23" s="132"/>
      <c r="M23" s="129">
        <v>51560.454699611662</v>
      </c>
      <c r="N23" s="132">
        <v>72103.040034172067</v>
      </c>
      <c r="O23" s="131">
        <v>39.841745877223858</v>
      </c>
      <c r="P23" s="130">
        <v>72430.444000000003</v>
      </c>
      <c r="Q23" s="130">
        <v>0</v>
      </c>
      <c r="R23" s="131">
        <v>0</v>
      </c>
      <c r="S23" s="131">
        <v>123.14973619440974</v>
      </c>
      <c r="T23" s="176">
        <v>99.54797465299545</v>
      </c>
      <c r="U23" s="100"/>
      <c r="V23" s="136"/>
      <c r="W23" s="138"/>
      <c r="X23" s="133">
        <v>41868.1</v>
      </c>
      <c r="Y23" s="138"/>
    </row>
    <row r="24" spans="1:25" s="139" customFormat="1" ht="11.25" hidden="1" customHeight="1" x14ac:dyDescent="0.2">
      <c r="B24" s="177" t="s">
        <v>32</v>
      </c>
      <c r="C24" s="132">
        <v>12886.51</v>
      </c>
      <c r="D24" s="130">
        <v>21348.949999999997</v>
      </c>
      <c r="E24" s="131">
        <v>65.668982525136727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12886.51</v>
      </c>
      <c r="N24" s="132">
        <v>21348.949999999997</v>
      </c>
      <c r="O24" s="131">
        <v>65.668982525136727</v>
      </c>
      <c r="P24" s="132">
        <v>0</v>
      </c>
      <c r="Q24" s="132">
        <v>0</v>
      </c>
      <c r="R24" s="131" t="s">
        <v>64</v>
      </c>
      <c r="S24" s="131" t="e">
        <v>#DIV/0!</v>
      </c>
      <c r="T24" s="176" t="s">
        <v>64</v>
      </c>
      <c r="U24" s="140"/>
      <c r="V24" s="141"/>
      <c r="W24" s="142"/>
      <c r="X24" s="133"/>
      <c r="Y24" s="142"/>
    </row>
    <row r="25" spans="1:25" s="139" customFormat="1" ht="11.25" customHeight="1" x14ac:dyDescent="0.2">
      <c r="B25" s="177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0</v>
      </c>
      <c r="Q25" s="132">
        <v>0</v>
      </c>
      <c r="R25" s="131" t="s">
        <v>64</v>
      </c>
      <c r="S25" s="131">
        <v>0</v>
      </c>
      <c r="T25" s="176" t="s">
        <v>64</v>
      </c>
      <c r="U25" s="140"/>
      <c r="V25" s="141"/>
      <c r="W25" s="142"/>
      <c r="X25" s="133">
        <v>713</v>
      </c>
      <c r="Y25" s="142"/>
    </row>
    <row r="26" spans="1:25" s="139" customFormat="1" ht="11.85" customHeight="1" x14ac:dyDescent="0.2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0" t="s">
        <v>64</v>
      </c>
      <c r="U26" s="147"/>
      <c r="V26" s="141"/>
      <c r="W26" s="142"/>
      <c r="X26" s="148">
        <v>0</v>
      </c>
      <c r="Y26" s="142"/>
    </row>
    <row r="27" spans="1:25" ht="11.85" customHeight="1" x14ac:dyDescent="0.2">
      <c r="B27" s="181"/>
      <c r="K27" s="76"/>
      <c r="V27" s="83"/>
      <c r="W27" s="83"/>
    </row>
    <row r="28" spans="1:25" ht="11.85" customHeight="1" x14ac:dyDescent="0.2">
      <c r="B28" s="149" t="s">
        <v>154</v>
      </c>
    </row>
    <row r="29" spans="1:25" ht="11.85" customHeight="1" x14ac:dyDescent="0.2">
      <c r="B29" s="149" t="s">
        <v>35</v>
      </c>
      <c r="S29" s="77"/>
    </row>
    <row r="30" spans="1:25" ht="11.85" customHeight="1" x14ac:dyDescent="0.2">
      <c r="B30" s="149" t="s">
        <v>155</v>
      </c>
      <c r="S30" s="77"/>
    </row>
    <row r="31" spans="1:25" ht="11.85" customHeight="1" x14ac:dyDescent="0.2">
      <c r="B31" s="77" t="s">
        <v>36</v>
      </c>
      <c r="Q31" s="77"/>
      <c r="S31" s="77"/>
    </row>
    <row r="32" spans="1:25" ht="11.85" customHeight="1" x14ac:dyDescent="0.2">
      <c r="B32" s="77" t="s">
        <v>37</v>
      </c>
    </row>
    <row r="33" spans="2:29" x14ac:dyDescent="0.2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2:29" x14ac:dyDescent="0.2">
      <c r="D34" s="77"/>
      <c r="M34" s="77"/>
      <c r="Z34" s="76"/>
      <c r="AA34" s="76"/>
      <c r="AB34" s="76"/>
      <c r="AC34" s="76"/>
    </row>
    <row r="35" spans="2:29" x14ac:dyDescent="0.2">
      <c r="D35" s="77"/>
      <c r="M35" s="77"/>
    </row>
    <row r="36" spans="2:29" x14ac:dyDescent="0.2">
      <c r="D36" s="77"/>
      <c r="M36" s="77"/>
    </row>
    <row r="37" spans="2:29" x14ac:dyDescent="0.2">
      <c r="D37" s="77"/>
      <c r="M37" s="77"/>
    </row>
    <row r="38" spans="2:29" x14ac:dyDescent="0.2">
      <c r="D38" s="77"/>
      <c r="M38" s="77"/>
    </row>
    <row r="39" spans="2:29" x14ac:dyDescent="0.2">
      <c r="D39" s="77"/>
      <c r="M39" s="77"/>
    </row>
    <row r="40" spans="2:29" x14ac:dyDescent="0.2">
      <c r="D40" s="77"/>
      <c r="M40" s="77"/>
    </row>
    <row r="41" spans="2:29" x14ac:dyDescent="0.2">
      <c r="D41" s="77"/>
      <c r="M41" s="77"/>
    </row>
    <row r="42" spans="2:29" x14ac:dyDescent="0.2">
      <c r="D42" s="77"/>
      <c r="M42" s="77"/>
    </row>
    <row r="43" spans="2:29" x14ac:dyDescent="0.2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2:29" x14ac:dyDescent="0.2">
      <c r="D44" s="77"/>
      <c r="M44" s="77"/>
      <c r="Z44" s="76"/>
      <c r="AA44" s="76"/>
    </row>
    <row r="45" spans="2:29" x14ac:dyDescent="0.2">
      <c r="D45" s="77"/>
      <c r="M45" s="77"/>
    </row>
    <row r="46" spans="2:29" x14ac:dyDescent="0.2">
      <c r="D46" s="77"/>
    </row>
    <row r="47" spans="2:29" x14ac:dyDescent="0.2">
      <c r="D47" s="77"/>
    </row>
    <row r="48" spans="2:29" x14ac:dyDescent="0.2">
      <c r="D48" s="77"/>
    </row>
    <row r="49" s="77" customFormat="1" x14ac:dyDescent="0.2"/>
    <row r="50" s="77" customFormat="1" x14ac:dyDescent="0.2"/>
    <row r="51" s="77" customFormat="1" x14ac:dyDescent="0.2"/>
    <row r="52" s="77" customFormat="1" x14ac:dyDescent="0.2"/>
    <row r="53" s="77" customFormat="1" x14ac:dyDescent="0.2"/>
    <row r="54" s="77" customFormat="1" x14ac:dyDescent="0.2"/>
    <row r="55" s="77" customFormat="1" x14ac:dyDescent="0.2"/>
    <row r="56" s="77" customFormat="1" x14ac:dyDescent="0.2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2"/>
  <dimension ref="A1:IT893"/>
  <sheetViews>
    <sheetView workbookViewId="0"/>
  </sheetViews>
  <sheetFormatPr defaultColWidth="10.28515625" defaultRowHeight="10.7" customHeight="1" x14ac:dyDescent="0.2"/>
  <cols>
    <col min="1" max="1" width="1.7109375" style="168" customWidth="1"/>
    <col min="2" max="2" width="15.140625" style="2" customWidth="1"/>
    <col min="3" max="3" width="7.42578125" style="4" bestFit="1" customWidth="1"/>
    <col min="4" max="4" width="7.140625" style="4" customWidth="1"/>
    <col min="5" max="5" width="7.7109375" style="4" customWidth="1"/>
    <col min="6" max="6" width="8.42578125" style="6" customWidth="1"/>
    <col min="7" max="7" width="7.42578125" style="4" bestFit="1" customWidth="1"/>
    <col min="8" max="8" width="7.5703125" style="10" customWidth="1"/>
    <col min="9" max="9" width="7.7109375" style="6" bestFit="1" customWidth="1"/>
    <col min="10" max="10" width="6.85546875" style="4" customWidth="1"/>
    <col min="11" max="12" width="6.5703125" style="4" bestFit="1" customWidth="1"/>
    <col min="13" max="13" width="7.7109375" style="4" bestFit="1" customWidth="1"/>
    <col min="14" max="14" width="6.5703125" style="11" customWidth="1"/>
    <col min="15" max="15" width="8.28515625" style="4" customWidth="1"/>
    <col min="16" max="16" width="6.28515625" style="9" customWidth="1"/>
    <col min="17" max="17" width="10.28515625" style="2" customWidth="1"/>
    <col min="18" max="18" width="7.42578125" style="185" bestFit="1" customWidth="1"/>
    <col min="19" max="16384" width="10.28515625" style="2"/>
  </cols>
  <sheetData>
    <row r="1" spans="1:17" s="2" customFormat="1" ht="10.7" customHeight="1" x14ac:dyDescent="0.2">
      <c r="A1" s="168"/>
      <c r="B1" s="182" t="s">
        <v>156</v>
      </c>
      <c r="C1" s="3"/>
      <c r="D1" s="4"/>
      <c r="E1" s="4"/>
      <c r="F1" s="5"/>
      <c r="G1" s="4"/>
      <c r="H1" s="4"/>
      <c r="I1" s="6"/>
      <c r="J1" s="4"/>
      <c r="K1" s="7">
        <v>44489</v>
      </c>
      <c r="L1" s="8"/>
      <c r="M1" s="4"/>
      <c r="N1" s="9"/>
      <c r="O1" s="10"/>
      <c r="P1" s="11"/>
      <c r="Q1" s="9"/>
    </row>
    <row r="2" spans="1:17" s="2" customFormat="1" ht="10.7" customHeight="1" x14ac:dyDescent="0.2">
      <c r="A2" s="168"/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" customHeight="1" x14ac:dyDescent="0.2">
      <c r="A3" s="168"/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" customHeight="1" x14ac:dyDescent="0.2">
      <c r="A5" s="168"/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" customHeight="1" x14ac:dyDescent="0.2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" customHeight="1" x14ac:dyDescent="0.2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44468</v>
      </c>
      <c r="K7" s="33">
        <v>44475</v>
      </c>
      <c r="L7" s="33">
        <v>44482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" customHeight="1" x14ac:dyDescent="0.2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" customHeight="1" x14ac:dyDescent="0.2">
      <c r="A9" s="168"/>
      <c r="B9" s="40"/>
      <c r="C9" s="233" t="s">
        <v>136</v>
      </c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41" t="s">
        <v>4</v>
      </c>
    </row>
    <row r="10" spans="1:17" s="2" customFormat="1" ht="10.7" customHeight="1" x14ac:dyDescent="0.2">
      <c r="A10" s="169"/>
      <c r="B10" s="40" t="s">
        <v>62</v>
      </c>
      <c r="C10" s="151">
        <v>15820.9</v>
      </c>
      <c r="D10" s="152">
        <v>0</v>
      </c>
      <c r="E10" s="152">
        <v>2763.1999999999989</v>
      </c>
      <c r="F10" s="153">
        <v>18584.099999999999</v>
      </c>
      <c r="G10" s="154">
        <v>18731.63</v>
      </c>
      <c r="H10" s="183">
        <v>100.79385065728231</v>
      </c>
      <c r="I10" s="153">
        <v>-147.53000000000247</v>
      </c>
      <c r="J10" s="154">
        <v>4891.9800000000032</v>
      </c>
      <c r="K10" s="154">
        <v>230.02000000000044</v>
      </c>
      <c r="L10" s="154">
        <v>0</v>
      </c>
      <c r="M10" s="154">
        <v>2.0000000000436557E-2</v>
      </c>
      <c r="N10" s="46">
        <v>1.2641505856453525E-4</v>
      </c>
      <c r="O10" s="154">
        <v>1280.505000000001</v>
      </c>
      <c r="P10" s="41">
        <v>0</v>
      </c>
    </row>
    <row r="11" spans="1:17" s="2" customFormat="1" ht="10.7" customHeight="1" x14ac:dyDescent="0.2">
      <c r="A11" s="168"/>
      <c r="B11" s="40" t="s">
        <v>63</v>
      </c>
      <c r="C11" s="151">
        <v>-0.4</v>
      </c>
      <c r="D11" s="152">
        <v>0</v>
      </c>
      <c r="E11" s="152">
        <v>0</v>
      </c>
      <c r="F11" s="153">
        <v>-0.4</v>
      </c>
      <c r="G11" s="154">
        <v>7.0000000000000007E-2</v>
      </c>
      <c r="H11" s="183">
        <v>-17.5</v>
      </c>
      <c r="I11" s="153">
        <v>-0.47000000000000003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7" s="2" customFormat="1" ht="10.7" customHeight="1" x14ac:dyDescent="0.2">
      <c r="A12" s="168"/>
      <c r="B12" s="40" t="s">
        <v>65</v>
      </c>
      <c r="C12" s="151">
        <v>0.2</v>
      </c>
      <c r="D12" s="152">
        <v>0</v>
      </c>
      <c r="E12" s="152">
        <v>0</v>
      </c>
      <c r="F12" s="153">
        <v>0.2</v>
      </c>
      <c r="G12" s="154">
        <v>0.12</v>
      </c>
      <c r="H12" s="183">
        <v>60</v>
      </c>
      <c r="I12" s="153">
        <v>8.0000000000000016E-2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154">
        <v>0</v>
      </c>
      <c r="P12" s="41" t="s">
        <v>150</v>
      </c>
    </row>
    <row r="13" spans="1:17" s="2" customFormat="1" ht="10.7" customHeight="1" x14ac:dyDescent="0.2">
      <c r="A13" s="169"/>
      <c r="B13" s="40" t="s">
        <v>66</v>
      </c>
      <c r="C13" s="151">
        <v>10482.9</v>
      </c>
      <c r="D13" s="152">
        <v>0</v>
      </c>
      <c r="E13" s="152">
        <v>0</v>
      </c>
      <c r="F13" s="153">
        <v>10482.9</v>
      </c>
      <c r="G13" s="154">
        <v>10543.81</v>
      </c>
      <c r="H13" s="183">
        <v>100.58104150569022</v>
      </c>
      <c r="I13" s="153">
        <v>-60.909999999999854</v>
      </c>
      <c r="J13" s="154">
        <v>1124.33</v>
      </c>
      <c r="K13" s="154">
        <v>0</v>
      </c>
      <c r="L13" s="154">
        <v>0</v>
      </c>
      <c r="M13" s="154">
        <v>0</v>
      </c>
      <c r="N13" s="46">
        <v>0</v>
      </c>
      <c r="O13" s="154">
        <v>281.08249999999998</v>
      </c>
      <c r="P13" s="41">
        <v>0</v>
      </c>
    </row>
    <row r="14" spans="1:17" s="2" customFormat="1" ht="10.7" customHeight="1" x14ac:dyDescent="0.2">
      <c r="A14" s="168"/>
      <c r="B14" s="40" t="s">
        <v>67</v>
      </c>
      <c r="C14" s="151">
        <v>0.6</v>
      </c>
      <c r="D14" s="152">
        <v>0</v>
      </c>
      <c r="E14" s="152">
        <v>0</v>
      </c>
      <c r="F14" s="153">
        <v>0.6</v>
      </c>
      <c r="G14" s="154">
        <v>0</v>
      </c>
      <c r="H14" s="183">
        <v>0</v>
      </c>
      <c r="I14" s="153">
        <v>0.6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150</v>
      </c>
    </row>
    <row r="15" spans="1:17" s="2" customFormat="1" ht="10.7" customHeight="1" x14ac:dyDescent="0.2">
      <c r="A15" s="168"/>
      <c r="B15" s="40" t="s">
        <v>68</v>
      </c>
      <c r="C15" s="151">
        <v>0.6</v>
      </c>
      <c r="D15" s="152">
        <v>0</v>
      </c>
      <c r="E15" s="152">
        <v>-0.4</v>
      </c>
      <c r="F15" s="153">
        <v>0.19999999999999996</v>
      </c>
      <c r="G15" s="154">
        <v>0</v>
      </c>
      <c r="H15" s="183">
        <v>0</v>
      </c>
      <c r="I15" s="153">
        <v>0.19999999999999996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150</v>
      </c>
    </row>
    <row r="16" spans="1:17" s="2" customFormat="1" ht="10.7" customHeight="1" x14ac:dyDescent="0.2">
      <c r="A16" s="168"/>
      <c r="B16" s="40" t="s">
        <v>69</v>
      </c>
      <c r="C16" s="151">
        <v>0.2</v>
      </c>
      <c r="D16" s="152">
        <v>0</v>
      </c>
      <c r="E16" s="152">
        <v>0</v>
      </c>
      <c r="F16" s="153">
        <v>0.2</v>
      </c>
      <c r="G16" s="154">
        <v>0</v>
      </c>
      <c r="H16" s="183">
        <v>0</v>
      </c>
      <c r="I16" s="153">
        <v>0.2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150</v>
      </c>
    </row>
    <row r="17" spans="1:16" s="2" customFormat="1" ht="10.7" customHeight="1" x14ac:dyDescent="0.2">
      <c r="A17" s="168"/>
      <c r="B17" s="40" t="s">
        <v>70</v>
      </c>
      <c r="C17" s="151">
        <v>0.2</v>
      </c>
      <c r="D17" s="152">
        <v>0</v>
      </c>
      <c r="E17" s="152">
        <v>0</v>
      </c>
      <c r="F17" s="153">
        <v>0.2</v>
      </c>
      <c r="G17" s="154">
        <v>0</v>
      </c>
      <c r="H17" s="183">
        <v>0</v>
      </c>
      <c r="I17" s="153">
        <v>0.2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150</v>
      </c>
    </row>
    <row r="18" spans="1:16" s="2" customFormat="1" ht="10.7" customHeight="1" x14ac:dyDescent="0.2">
      <c r="A18" s="168"/>
      <c r="B18" s="40" t="s">
        <v>71</v>
      </c>
      <c r="C18" s="151">
        <v>6358.9</v>
      </c>
      <c r="D18" s="152">
        <v>0</v>
      </c>
      <c r="E18" s="152">
        <v>0</v>
      </c>
      <c r="F18" s="153">
        <v>6358.9</v>
      </c>
      <c r="G18" s="154">
        <v>6570.21</v>
      </c>
      <c r="H18" s="183">
        <v>103.32305901964176</v>
      </c>
      <c r="I18" s="153">
        <v>-211.3100000000004</v>
      </c>
      <c r="J18" s="154">
        <v>601.84000000000015</v>
      </c>
      <c r="K18" s="154">
        <v>0</v>
      </c>
      <c r="L18" s="154">
        <v>0</v>
      </c>
      <c r="M18" s="154">
        <v>0</v>
      </c>
      <c r="N18" s="46">
        <v>0</v>
      </c>
      <c r="O18" s="154">
        <v>150.46000000000004</v>
      </c>
      <c r="P18" s="41">
        <v>0</v>
      </c>
    </row>
    <row r="19" spans="1:16" s="2" customFormat="1" ht="10.7" customHeight="1" x14ac:dyDescent="0.2">
      <c r="A19" s="168"/>
      <c r="B19" s="40" t="s">
        <v>72</v>
      </c>
      <c r="C19" s="151">
        <v>5908.4</v>
      </c>
      <c r="D19" s="152">
        <v>0</v>
      </c>
      <c r="E19" s="152">
        <v>460.69999999999982</v>
      </c>
      <c r="F19" s="153">
        <v>6369.0999999999995</v>
      </c>
      <c r="G19" s="154">
        <v>6398.9</v>
      </c>
      <c r="H19" s="183">
        <v>100.46788400244934</v>
      </c>
      <c r="I19" s="153">
        <v>-29.800000000000182</v>
      </c>
      <c r="J19" s="154">
        <v>0</v>
      </c>
      <c r="K19" s="154">
        <v>0</v>
      </c>
      <c r="L19" s="154">
        <v>0</v>
      </c>
      <c r="M19" s="154">
        <v>16.860000000000582</v>
      </c>
      <c r="N19" s="46">
        <v>0.28535644167626739</v>
      </c>
      <c r="O19" s="154">
        <v>4.2150000000001455</v>
      </c>
      <c r="P19" s="41">
        <v>0</v>
      </c>
    </row>
    <row r="20" spans="1:16" s="2" customFormat="1" ht="10.7" customHeight="1" x14ac:dyDescent="0.2">
      <c r="A20" s="168"/>
      <c r="B20" s="47" t="s">
        <v>73</v>
      </c>
      <c r="C20" s="151">
        <v>38572.5</v>
      </c>
      <c r="D20" s="152">
        <v>0</v>
      </c>
      <c r="E20" s="154">
        <v>3223.4999999999986</v>
      </c>
      <c r="F20" s="153">
        <v>41795.999999999993</v>
      </c>
      <c r="G20" s="154">
        <v>42244.74</v>
      </c>
      <c r="H20" s="183">
        <v>101.07364341085272</v>
      </c>
      <c r="I20" s="153">
        <v>-448.74000000000524</v>
      </c>
      <c r="J20" s="154">
        <v>6618.1500000000033</v>
      </c>
      <c r="K20" s="154">
        <v>230.02000000000044</v>
      </c>
      <c r="L20" s="154">
        <v>0</v>
      </c>
      <c r="M20" s="154">
        <v>16.880000000001019</v>
      </c>
      <c r="N20" s="46">
        <v>0.28548285673483192</v>
      </c>
      <c r="O20" s="154">
        <v>1716.2625000000012</v>
      </c>
      <c r="P20" s="41">
        <v>0</v>
      </c>
    </row>
    <row r="21" spans="1:16" s="2" customFormat="1" ht="10.7" customHeight="1" x14ac:dyDescent="0.2">
      <c r="A21" s="168"/>
      <c r="B21" s="47"/>
      <c r="C21" s="151"/>
      <c r="D21" s="152"/>
      <c r="E21" s="154"/>
      <c r="F21" s="153"/>
      <c r="G21" s="154"/>
      <c r="H21" s="183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7" customHeight="1" x14ac:dyDescent="0.2">
      <c r="A22" s="168"/>
      <c r="B22" s="40" t="s">
        <v>74</v>
      </c>
      <c r="C22" s="151">
        <v>4.8170000000000002</v>
      </c>
      <c r="D22" s="152">
        <v>0</v>
      </c>
      <c r="E22" s="152">
        <v>0</v>
      </c>
      <c r="F22" s="153">
        <v>4.8170000000000002</v>
      </c>
      <c r="G22" s="154">
        <v>0.15975</v>
      </c>
      <c r="H22" s="183">
        <v>3.316379489308698</v>
      </c>
      <c r="I22" s="153">
        <v>4.6572500000000003</v>
      </c>
      <c r="J22" s="154">
        <v>0</v>
      </c>
      <c r="K22" s="154">
        <v>0</v>
      </c>
      <c r="L22" s="154">
        <v>0</v>
      </c>
      <c r="M22" s="154">
        <v>0</v>
      </c>
      <c r="N22" s="46">
        <v>0</v>
      </c>
      <c r="O22" s="154">
        <v>0</v>
      </c>
      <c r="P22" s="41" t="s">
        <v>149</v>
      </c>
    </row>
    <row r="23" spans="1:16" s="2" customFormat="1" ht="10.7" customHeight="1" x14ac:dyDescent="0.2">
      <c r="A23" s="168"/>
      <c r="B23" s="40" t="s">
        <v>75</v>
      </c>
      <c r="C23" s="151">
        <v>91.85</v>
      </c>
      <c r="D23" s="152">
        <v>0</v>
      </c>
      <c r="E23" s="152">
        <v>-90.2</v>
      </c>
      <c r="F23" s="153">
        <v>1.6499999999999915</v>
      </c>
      <c r="G23" s="154">
        <v>0.25</v>
      </c>
      <c r="H23" s="183">
        <v>15.15151515151523</v>
      </c>
      <c r="I23" s="153">
        <v>1.3999999999999915</v>
      </c>
      <c r="J23" s="154">
        <v>0</v>
      </c>
      <c r="K23" s="154">
        <v>0</v>
      </c>
      <c r="L23" s="154">
        <v>0</v>
      </c>
      <c r="M23" s="154">
        <v>0</v>
      </c>
      <c r="N23" s="46">
        <v>0</v>
      </c>
      <c r="O23" s="154">
        <v>0</v>
      </c>
      <c r="P23" s="41" t="s">
        <v>149</v>
      </c>
    </row>
    <row r="24" spans="1:16" s="2" customFormat="1" ht="10.7" customHeight="1" x14ac:dyDescent="0.2">
      <c r="A24" s="168"/>
      <c r="B24" s="40" t="s">
        <v>157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3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7" customHeight="1" x14ac:dyDescent="0.2">
      <c r="A25" s="168"/>
      <c r="B25" s="40" t="s">
        <v>76</v>
      </c>
      <c r="C25" s="151">
        <v>0.111</v>
      </c>
      <c r="D25" s="152">
        <v>0</v>
      </c>
      <c r="E25" s="152">
        <v>0</v>
      </c>
      <c r="F25" s="153">
        <v>0.111</v>
      </c>
      <c r="G25" s="154">
        <v>0</v>
      </c>
      <c r="H25" s="183">
        <v>0</v>
      </c>
      <c r="I25" s="153">
        <v>0.111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149</v>
      </c>
    </row>
    <row r="26" spans="1:16" s="2" customFormat="1" ht="10.7" customHeight="1" x14ac:dyDescent="0.2">
      <c r="A26" s="168"/>
      <c r="B26" s="40" t="s">
        <v>77</v>
      </c>
      <c r="C26" s="151">
        <v>319.41699999999997</v>
      </c>
      <c r="D26" s="152">
        <v>0</v>
      </c>
      <c r="E26" s="152">
        <v>-300</v>
      </c>
      <c r="F26" s="153">
        <v>19.416999999999973</v>
      </c>
      <c r="G26" s="154">
        <v>31.335000000000001</v>
      </c>
      <c r="H26" s="183">
        <v>161.37920379049308</v>
      </c>
      <c r="I26" s="153">
        <v>-11.918000000000028</v>
      </c>
      <c r="J26" s="154">
        <v>0</v>
      </c>
      <c r="K26" s="154">
        <v>0</v>
      </c>
      <c r="L26" s="154">
        <v>0</v>
      </c>
      <c r="M26" s="154">
        <v>31.335000000000001</v>
      </c>
      <c r="N26" s="46">
        <v>9.8100602034331317</v>
      </c>
      <c r="O26" s="154">
        <v>7.8337500000000002</v>
      </c>
      <c r="P26" s="41">
        <v>0</v>
      </c>
    </row>
    <row r="27" spans="1:16" s="2" customFormat="1" ht="10.7" customHeight="1" x14ac:dyDescent="0.2">
      <c r="A27" s="168"/>
      <c r="B27" s="40" t="s">
        <v>78</v>
      </c>
      <c r="C27" s="151">
        <v>5073.0829999999996</v>
      </c>
      <c r="D27" s="152">
        <v>0</v>
      </c>
      <c r="E27" s="152">
        <v>300</v>
      </c>
      <c r="F27" s="153">
        <v>5373.0829999999996</v>
      </c>
      <c r="G27" s="154">
        <v>5601.8879999999999</v>
      </c>
      <c r="H27" s="183">
        <v>104.25835595690594</v>
      </c>
      <c r="I27" s="153">
        <v>-228.80500000000029</v>
      </c>
      <c r="J27" s="154">
        <v>0</v>
      </c>
      <c r="K27" s="154">
        <v>0</v>
      </c>
      <c r="L27" s="154">
        <v>0</v>
      </c>
      <c r="M27" s="154">
        <v>116.81899999999951</v>
      </c>
      <c r="N27" s="46">
        <v>2.3027220331305345</v>
      </c>
      <c r="O27" s="154">
        <v>29.204749999999876</v>
      </c>
      <c r="P27" s="41">
        <v>0</v>
      </c>
    </row>
    <row r="28" spans="1:16" s="2" customFormat="1" ht="10.7" customHeight="1" x14ac:dyDescent="0.2">
      <c r="A28" s="168"/>
      <c r="B28" s="40" t="s">
        <v>79</v>
      </c>
      <c r="C28" s="151">
        <v>0.5</v>
      </c>
      <c r="D28" s="152">
        <v>0</v>
      </c>
      <c r="E28" s="152">
        <v>0</v>
      </c>
      <c r="F28" s="153">
        <v>0.5</v>
      </c>
      <c r="G28" s="154">
        <v>0</v>
      </c>
      <c r="H28" s="183">
        <v>0</v>
      </c>
      <c r="I28" s="153">
        <v>0.5</v>
      </c>
      <c r="J28" s="154">
        <v>0</v>
      </c>
      <c r="K28" s="154">
        <v>0</v>
      </c>
      <c r="L28" s="154">
        <v>0</v>
      </c>
      <c r="M28" s="154">
        <v>0</v>
      </c>
      <c r="N28" s="46">
        <v>0</v>
      </c>
      <c r="O28" s="154">
        <v>0</v>
      </c>
      <c r="P28" s="41" t="s">
        <v>149</v>
      </c>
    </row>
    <row r="29" spans="1:16" s="2" customFormat="1" ht="10.7" customHeight="1" x14ac:dyDescent="0.2">
      <c r="A29" s="168"/>
      <c r="B29" s="40" t="s">
        <v>80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3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7" customHeight="1" x14ac:dyDescent="0.2">
      <c r="A30" s="168"/>
      <c r="B30" s="40" t="s">
        <v>81</v>
      </c>
      <c r="C30" s="151">
        <v>0.32200000000000001</v>
      </c>
      <c r="D30" s="152">
        <v>0</v>
      </c>
      <c r="E30" s="152">
        <v>0</v>
      </c>
      <c r="F30" s="153">
        <v>0.32200000000000001</v>
      </c>
      <c r="G30" s="154">
        <v>5.8999999999999997E-2</v>
      </c>
      <c r="H30" s="183">
        <v>18.322981366459626</v>
      </c>
      <c r="I30" s="153">
        <v>0.26300000000000001</v>
      </c>
      <c r="J30" s="154">
        <v>0</v>
      </c>
      <c r="K30" s="154">
        <v>0</v>
      </c>
      <c r="L30" s="154">
        <v>5.8999999999999997E-2</v>
      </c>
      <c r="M30" s="154">
        <v>0</v>
      </c>
      <c r="N30" s="46">
        <v>0</v>
      </c>
      <c r="O30" s="154">
        <v>1.4749999999999999E-2</v>
      </c>
      <c r="P30" s="41">
        <v>15.830508474576273</v>
      </c>
    </row>
    <row r="31" spans="1:16" s="2" customFormat="1" ht="10.7" customHeight="1" x14ac:dyDescent="0.2">
      <c r="A31" s="168"/>
      <c r="B31" s="184" t="s">
        <v>82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3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7" customHeight="1" x14ac:dyDescent="0.2">
      <c r="A32" s="168"/>
      <c r="B32" s="184" t="s">
        <v>83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150</v>
      </c>
    </row>
    <row r="33" spans="1:18" ht="10.7" customHeight="1" x14ac:dyDescent="0.2">
      <c r="A33" s="169"/>
      <c r="B33" s="40" t="s">
        <v>84</v>
      </c>
      <c r="C33" s="151">
        <v>6017.94</v>
      </c>
      <c r="D33" s="152">
        <v>0</v>
      </c>
      <c r="E33" s="152">
        <v>1390.9000000000005</v>
      </c>
      <c r="F33" s="153">
        <v>7408.84</v>
      </c>
      <c r="G33" s="154">
        <v>7754.0200000000013</v>
      </c>
      <c r="H33" s="183">
        <v>104.65902894380228</v>
      </c>
      <c r="I33" s="153">
        <v>-345.1800000000012</v>
      </c>
      <c r="J33" s="154">
        <v>2342.0500000000006</v>
      </c>
      <c r="K33" s="154">
        <v>1668.8900000000012</v>
      </c>
      <c r="L33" s="154">
        <v>0</v>
      </c>
      <c r="M33" s="154">
        <v>0</v>
      </c>
      <c r="N33" s="46">
        <v>0</v>
      </c>
      <c r="O33" s="154">
        <v>1002.7350000000005</v>
      </c>
      <c r="P33" s="41">
        <v>0</v>
      </c>
    </row>
    <row r="34" spans="1:18" ht="10.7" customHeight="1" x14ac:dyDescent="0.2">
      <c r="B34" s="40" t="s">
        <v>85</v>
      </c>
      <c r="C34" s="151">
        <v>8255.4339999999993</v>
      </c>
      <c r="D34" s="152">
        <v>115</v>
      </c>
      <c r="E34" s="152">
        <v>475</v>
      </c>
      <c r="F34" s="153">
        <v>8730.4339999999993</v>
      </c>
      <c r="G34" s="154">
        <v>9011.4820087715416</v>
      </c>
      <c r="H34" s="183">
        <v>103.21917568784716</v>
      </c>
      <c r="I34" s="153">
        <v>-281.0480087715423</v>
      </c>
      <c r="J34" s="154">
        <v>0</v>
      </c>
      <c r="K34" s="154">
        <v>0</v>
      </c>
      <c r="L34" s="154">
        <v>0</v>
      </c>
      <c r="M34" s="154">
        <v>0</v>
      </c>
      <c r="N34" s="46">
        <v>0</v>
      </c>
      <c r="O34" s="154">
        <v>0</v>
      </c>
      <c r="P34" s="41">
        <v>0</v>
      </c>
    </row>
    <row r="35" spans="1:18" ht="10.7" customHeight="1" x14ac:dyDescent="0.2">
      <c r="B35" s="186" t="s">
        <v>86</v>
      </c>
      <c r="C35" s="151">
        <v>58335.974000000002</v>
      </c>
      <c r="D35" s="154">
        <v>115</v>
      </c>
      <c r="E35" s="154">
        <v>4999.1999999999989</v>
      </c>
      <c r="F35" s="153">
        <v>63335.173999999992</v>
      </c>
      <c r="G35" s="154">
        <v>64643.933758771542</v>
      </c>
      <c r="H35" s="183">
        <v>102.06640272081916</v>
      </c>
      <c r="I35" s="153">
        <v>-1308.75975877155</v>
      </c>
      <c r="J35" s="154">
        <v>8960.2000000000044</v>
      </c>
      <c r="K35" s="154">
        <v>1898.9100000000017</v>
      </c>
      <c r="L35" s="154">
        <v>5.8999999999999997E-2</v>
      </c>
      <c r="M35" s="154">
        <v>165.03400000000053</v>
      </c>
      <c r="N35" s="46">
        <v>0.28290262197387933</v>
      </c>
      <c r="O35" s="154">
        <v>2756.0507500000012</v>
      </c>
      <c r="P35" s="41">
        <v>0</v>
      </c>
    </row>
    <row r="36" spans="1:18" ht="10.7" customHeight="1" x14ac:dyDescent="0.2">
      <c r="B36" s="186"/>
      <c r="C36" s="151"/>
      <c r="D36" s="154"/>
      <c r="E36" s="154"/>
      <c r="F36" s="153"/>
      <c r="G36" s="154"/>
      <c r="H36" s="183"/>
      <c r="I36" s="153"/>
      <c r="J36" s="154"/>
      <c r="K36" s="154"/>
      <c r="L36" s="154"/>
      <c r="M36" s="154"/>
      <c r="N36" s="46"/>
      <c r="O36" s="154"/>
      <c r="P36" s="41"/>
    </row>
    <row r="37" spans="1:18" ht="10.7" customHeight="1" x14ac:dyDescent="0.2">
      <c r="B37" s="49" t="s">
        <v>87</v>
      </c>
      <c r="C37" s="151">
        <v>0</v>
      </c>
      <c r="D37" s="152">
        <v>0</v>
      </c>
      <c r="E37" s="152">
        <v>0</v>
      </c>
      <c r="F37" s="153">
        <v>0</v>
      </c>
      <c r="G37" s="154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154">
        <v>0</v>
      </c>
      <c r="P37" s="41" t="s">
        <v>150</v>
      </c>
    </row>
    <row r="38" spans="1:18" ht="10.7" customHeight="1" x14ac:dyDescent="0.2">
      <c r="B38" s="49" t="s">
        <v>88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3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150</v>
      </c>
    </row>
    <row r="39" spans="1:18" ht="10.7" customHeight="1" x14ac:dyDescent="0.2">
      <c r="B39" s="49" t="s">
        <v>89</v>
      </c>
      <c r="C39" s="151">
        <v>1312.3810000000001</v>
      </c>
      <c r="D39" s="152">
        <v>0</v>
      </c>
      <c r="E39" s="152">
        <v>-1258.5</v>
      </c>
      <c r="F39" s="153">
        <v>53.881000000000085</v>
      </c>
      <c r="G39" s="154">
        <v>3.4722499999999994</v>
      </c>
      <c r="H39" s="183">
        <v>6.4442939069430674</v>
      </c>
      <c r="I39" s="153">
        <v>50.408750000000083</v>
      </c>
      <c r="J39" s="154">
        <v>0</v>
      </c>
      <c r="K39" s="154">
        <v>9.8999999999999755E-2</v>
      </c>
      <c r="L39" s="154">
        <v>0</v>
      </c>
      <c r="M39" s="154">
        <v>0.1</v>
      </c>
      <c r="N39" s="46">
        <v>7.6197384753360492E-3</v>
      </c>
      <c r="O39" s="154">
        <v>4.974999999999994E-2</v>
      </c>
      <c r="P39" s="41" t="s">
        <v>150</v>
      </c>
    </row>
    <row r="40" spans="1:18" ht="10.7" customHeight="1" x14ac:dyDescent="0.2">
      <c r="B40" s="49"/>
      <c r="C40" s="151"/>
      <c r="D40" s="152"/>
      <c r="E40" s="152"/>
      <c r="F40" s="153"/>
      <c r="G40" s="154"/>
      <c r="H40" s="183"/>
      <c r="I40" s="153"/>
      <c r="J40" s="154"/>
      <c r="K40" s="154"/>
      <c r="L40" s="154"/>
      <c r="M40" s="154"/>
      <c r="N40" s="46"/>
      <c r="O40" s="154"/>
      <c r="P40" s="41"/>
    </row>
    <row r="41" spans="1:18" ht="10.7" customHeight="1" x14ac:dyDescent="0.2">
      <c r="B41" s="40" t="s">
        <v>90</v>
      </c>
      <c r="C41" s="151"/>
      <c r="D41" s="152"/>
      <c r="E41" s="152"/>
      <c r="F41" s="153">
        <v>0</v>
      </c>
      <c r="G41" s="154"/>
      <c r="H41" s="183"/>
      <c r="I41" s="153"/>
      <c r="J41" s="154"/>
      <c r="K41" s="154"/>
      <c r="L41" s="154"/>
      <c r="M41" s="154"/>
      <c r="N41" s="46"/>
      <c r="O41" s="154"/>
      <c r="P41" s="41"/>
    </row>
    <row r="42" spans="1:18" ht="10.7" customHeight="1" x14ac:dyDescent="0.2">
      <c r="B42" s="187" t="s">
        <v>91</v>
      </c>
      <c r="C42" s="224">
        <v>59648.355000000003</v>
      </c>
      <c r="D42" s="155">
        <v>115</v>
      </c>
      <c r="E42" s="155">
        <v>3740.6999999999989</v>
      </c>
      <c r="F42" s="156">
        <v>63389.054999999993</v>
      </c>
      <c r="G42" s="155">
        <v>64647.406008771541</v>
      </c>
      <c r="H42" s="188">
        <v>101.98512347087608</v>
      </c>
      <c r="I42" s="156">
        <v>-1258.3510087715476</v>
      </c>
      <c r="J42" s="155">
        <v>8960.1999999999971</v>
      </c>
      <c r="K42" s="155">
        <v>1899.0090000000127</v>
      </c>
      <c r="L42" s="155">
        <v>5.9000000001105946E-2</v>
      </c>
      <c r="M42" s="155">
        <v>165.13400000000053</v>
      </c>
      <c r="N42" s="58">
        <v>0.2768458576938132</v>
      </c>
      <c r="O42" s="155">
        <v>2756.1005000000027</v>
      </c>
      <c r="P42" s="54">
        <v>0</v>
      </c>
      <c r="R42" s="189"/>
    </row>
    <row r="43" spans="1:18" ht="10.7" customHeight="1" x14ac:dyDescent="0.2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8" ht="10.7" customHeight="1" x14ac:dyDescent="0.2">
      <c r="A44" s="190"/>
      <c r="B44" s="191"/>
      <c r="C44" s="191"/>
      <c r="D44" s="191"/>
      <c r="E44" s="191"/>
      <c r="F44" s="192"/>
      <c r="G44" s="191"/>
      <c r="H44" s="191"/>
      <c r="I44" s="193"/>
      <c r="J44" s="191"/>
      <c r="K44" s="191"/>
      <c r="L44" s="191"/>
      <c r="M44" s="191"/>
      <c r="N44" s="194"/>
      <c r="O44" s="191"/>
      <c r="P44" s="194"/>
    </row>
    <row r="45" spans="1:18" ht="10.7" customHeight="1" x14ac:dyDescent="0.2">
      <c r="A45" s="190"/>
      <c r="B45" s="14"/>
      <c r="C45" s="15" t="s">
        <v>147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7" customHeight="1" x14ac:dyDescent="0.2">
      <c r="A46" s="190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7" customHeight="1" x14ac:dyDescent="0.2">
      <c r="A47" s="190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44468</v>
      </c>
      <c r="K47" s="33">
        <v>44475</v>
      </c>
      <c r="L47" s="33">
        <v>44482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7" customHeight="1" x14ac:dyDescent="0.2">
      <c r="A48" s="190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7" customHeight="1" x14ac:dyDescent="0.2">
      <c r="A49" s="190"/>
      <c r="B49" s="40"/>
      <c r="C49" s="233" t="s">
        <v>137</v>
      </c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41" t="s">
        <v>4</v>
      </c>
    </row>
    <row r="50" spans="1:16" s="2" customFormat="1" ht="10.7" customHeight="1" x14ac:dyDescent="0.2">
      <c r="A50" s="195"/>
      <c r="B50" s="40" t="s">
        <v>62</v>
      </c>
      <c r="C50" s="151">
        <v>0</v>
      </c>
      <c r="D50" s="152">
        <v>0</v>
      </c>
      <c r="E50" s="152">
        <v>0</v>
      </c>
      <c r="F50" s="153">
        <v>0</v>
      </c>
      <c r="G50" s="154">
        <v>0.63</v>
      </c>
      <c r="H50" s="183" t="s">
        <v>151</v>
      </c>
      <c r="I50" s="153">
        <v>-0.63</v>
      </c>
      <c r="J50" s="154">
        <v>0</v>
      </c>
      <c r="K50" s="154">
        <v>0</v>
      </c>
      <c r="L50" s="154">
        <v>0</v>
      </c>
      <c r="M50" s="154">
        <v>0</v>
      </c>
      <c r="N50" s="46" t="s">
        <v>64</v>
      </c>
      <c r="O50" s="154">
        <v>0</v>
      </c>
      <c r="P50" s="41">
        <v>0</v>
      </c>
    </row>
    <row r="51" spans="1:16" s="2" customFormat="1" ht="10.7" customHeight="1" x14ac:dyDescent="0.2">
      <c r="A51" s="190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3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7" customHeight="1" x14ac:dyDescent="0.2">
      <c r="A52" s="190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3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7" customHeight="1" x14ac:dyDescent="0.2">
      <c r="A53" s="190"/>
      <c r="B53" s="40" t="s">
        <v>66</v>
      </c>
      <c r="C53" s="151">
        <v>680</v>
      </c>
      <c r="D53" s="152">
        <v>0</v>
      </c>
      <c r="E53" s="152">
        <v>0</v>
      </c>
      <c r="F53" s="153">
        <v>680</v>
      </c>
      <c r="G53" s="154">
        <v>690.9</v>
      </c>
      <c r="H53" s="183">
        <v>101.60294117647059</v>
      </c>
      <c r="I53" s="153">
        <v>-10.899999999999977</v>
      </c>
      <c r="J53" s="154">
        <v>0</v>
      </c>
      <c r="K53" s="154">
        <v>0</v>
      </c>
      <c r="L53" s="154">
        <v>0</v>
      </c>
      <c r="M53" s="154">
        <v>0</v>
      </c>
      <c r="N53" s="46">
        <v>0</v>
      </c>
      <c r="O53" s="154">
        <v>0</v>
      </c>
      <c r="P53" s="41">
        <v>0</v>
      </c>
    </row>
    <row r="54" spans="1:16" s="2" customFormat="1" ht="10.7" customHeight="1" x14ac:dyDescent="0.2">
      <c r="A54" s="190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3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7" customHeight="1" x14ac:dyDescent="0.2">
      <c r="A55" s="190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7" customHeight="1" x14ac:dyDescent="0.2">
      <c r="A56" s="190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150</v>
      </c>
    </row>
    <row r="57" spans="1:16" s="2" customFormat="1" ht="10.7" customHeight="1" x14ac:dyDescent="0.2">
      <c r="A57" s="190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150</v>
      </c>
    </row>
    <row r="58" spans="1:16" s="2" customFormat="1" ht="10.7" customHeight="1" x14ac:dyDescent="0.2">
      <c r="A58" s="190"/>
      <c r="B58" s="40" t="s">
        <v>71</v>
      </c>
      <c r="C58" s="151">
        <v>680</v>
      </c>
      <c r="D58" s="152">
        <v>0</v>
      </c>
      <c r="E58" s="152">
        <v>0</v>
      </c>
      <c r="F58" s="153">
        <v>680</v>
      </c>
      <c r="G58" s="154">
        <v>70.73</v>
      </c>
      <c r="H58" s="183">
        <v>10.401470588235295</v>
      </c>
      <c r="I58" s="153">
        <v>609.27</v>
      </c>
      <c r="J58" s="154">
        <v>70.73</v>
      </c>
      <c r="K58" s="154">
        <v>0</v>
      </c>
      <c r="L58" s="154">
        <v>0</v>
      </c>
      <c r="M58" s="154">
        <v>0</v>
      </c>
      <c r="N58" s="46">
        <v>0</v>
      </c>
      <c r="O58" s="154">
        <v>17.682500000000001</v>
      </c>
      <c r="P58" s="41">
        <v>32.456100664498798</v>
      </c>
    </row>
    <row r="59" spans="1:16" s="2" customFormat="1" ht="10.7" customHeight="1" x14ac:dyDescent="0.2">
      <c r="A59" s="190"/>
      <c r="B59" s="40" t="s">
        <v>72</v>
      </c>
      <c r="C59" s="151">
        <v>0</v>
      </c>
      <c r="D59" s="152">
        <v>0</v>
      </c>
      <c r="E59" s="152">
        <v>0</v>
      </c>
      <c r="F59" s="153">
        <v>0</v>
      </c>
      <c r="G59" s="154">
        <v>0</v>
      </c>
      <c r="H59" s="183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154">
        <v>0</v>
      </c>
      <c r="P59" s="41">
        <v>0</v>
      </c>
    </row>
    <row r="60" spans="1:16" s="2" customFormat="1" ht="10.7" customHeight="1" x14ac:dyDescent="0.2">
      <c r="A60" s="190"/>
      <c r="B60" s="47" t="s">
        <v>73</v>
      </c>
      <c r="C60" s="151">
        <v>1360</v>
      </c>
      <c r="D60" s="152">
        <v>0</v>
      </c>
      <c r="E60" s="154">
        <v>0</v>
      </c>
      <c r="F60" s="153">
        <v>1360</v>
      </c>
      <c r="G60" s="154">
        <v>762.26</v>
      </c>
      <c r="H60" s="183">
        <v>56.048529411764704</v>
      </c>
      <c r="I60" s="153">
        <v>597.74</v>
      </c>
      <c r="J60" s="154">
        <v>70.73</v>
      </c>
      <c r="K60" s="154">
        <v>0</v>
      </c>
      <c r="L60" s="154">
        <v>0</v>
      </c>
      <c r="M60" s="154">
        <v>0</v>
      </c>
      <c r="N60" s="46">
        <v>0</v>
      </c>
      <c r="O60" s="154">
        <v>17.682500000000001</v>
      </c>
      <c r="P60" s="41">
        <v>31.804043545878692</v>
      </c>
    </row>
    <row r="61" spans="1:16" s="2" customFormat="1" ht="10.7" customHeight="1" x14ac:dyDescent="0.2">
      <c r="A61" s="190"/>
      <c r="B61" s="40"/>
      <c r="C61" s="151"/>
      <c r="D61" s="154"/>
      <c r="E61" s="154"/>
      <c r="F61" s="153"/>
      <c r="G61" s="154"/>
      <c r="H61" s="183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7" customHeight="1" x14ac:dyDescent="0.2">
      <c r="A62" s="190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150</v>
      </c>
    </row>
    <row r="63" spans="1:16" s="2" customFormat="1" ht="10.7" customHeight="1" x14ac:dyDescent="0.2">
      <c r="A63" s="190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3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7" customHeight="1" x14ac:dyDescent="0.2">
      <c r="A64" s="190"/>
      <c r="B64" s="40" t="s">
        <v>157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150</v>
      </c>
    </row>
    <row r="65" spans="1:16" s="2" customFormat="1" ht="10.7" customHeight="1" x14ac:dyDescent="0.2">
      <c r="A65" s="190"/>
      <c r="B65" s="40" t="s">
        <v>76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3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7" customHeight="1" x14ac:dyDescent="0.2">
      <c r="A66" s="190"/>
      <c r="B66" s="40" t="s">
        <v>77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3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7" customHeight="1" x14ac:dyDescent="0.2">
      <c r="A67" s="190"/>
      <c r="B67" s="40" t="s">
        <v>78</v>
      </c>
      <c r="C67" s="151">
        <v>0</v>
      </c>
      <c r="D67" s="152">
        <v>0</v>
      </c>
      <c r="E67" s="152">
        <v>0</v>
      </c>
      <c r="F67" s="153">
        <v>0</v>
      </c>
      <c r="G67" s="154">
        <v>0</v>
      </c>
      <c r="H67" s="183">
        <v>0</v>
      </c>
      <c r="I67" s="153">
        <v>0</v>
      </c>
      <c r="J67" s="154">
        <v>180.3</v>
      </c>
      <c r="K67" s="154">
        <v>0</v>
      </c>
      <c r="L67" s="154">
        <v>-180.3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7" customHeight="1" x14ac:dyDescent="0.2">
      <c r="A68" s="190"/>
      <c r="B68" s="40" t="s">
        <v>79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3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7" customHeight="1" x14ac:dyDescent="0.2">
      <c r="A69" s="190"/>
      <c r="B69" s="40" t="s">
        <v>80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3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7" customHeight="1" x14ac:dyDescent="0.2">
      <c r="A70" s="190"/>
      <c r="B70" s="40" t="s">
        <v>81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3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7" customHeight="1" x14ac:dyDescent="0.2">
      <c r="A71" s="190"/>
      <c r="B71" s="184" t="s">
        <v>82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3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7" customHeight="1" x14ac:dyDescent="0.2">
      <c r="A72" s="190"/>
      <c r="B72" s="184" t="s">
        <v>83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3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150</v>
      </c>
    </row>
    <row r="73" spans="1:16" s="2" customFormat="1" ht="10.7" customHeight="1" x14ac:dyDescent="0.2">
      <c r="A73" s="195"/>
      <c r="B73" s="40" t="s">
        <v>84</v>
      </c>
      <c r="C73" s="151">
        <v>0</v>
      </c>
      <c r="D73" s="152">
        <v>0</v>
      </c>
      <c r="E73" s="152">
        <v>0</v>
      </c>
      <c r="F73" s="153">
        <v>0</v>
      </c>
      <c r="G73" s="154">
        <v>27.2</v>
      </c>
      <c r="H73" s="183" t="s">
        <v>151</v>
      </c>
      <c r="I73" s="153">
        <v>-27.2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7" customHeight="1" x14ac:dyDescent="0.2">
      <c r="A74" s="190"/>
      <c r="B74" s="40" t="s">
        <v>85</v>
      </c>
      <c r="C74" s="151">
        <v>0</v>
      </c>
      <c r="D74" s="152">
        <v>0</v>
      </c>
      <c r="E74" s="152">
        <v>0</v>
      </c>
      <c r="F74" s="153">
        <v>0</v>
      </c>
      <c r="G74" s="154">
        <v>4.5430000076293942</v>
      </c>
      <c r="H74" s="183" t="s">
        <v>151</v>
      </c>
      <c r="I74" s="153">
        <v>-4.5430000076293942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7" customHeight="1" x14ac:dyDescent="0.2">
      <c r="A75" s="190"/>
      <c r="B75" s="196" t="s">
        <v>86</v>
      </c>
      <c r="C75" s="151">
        <v>1360</v>
      </c>
      <c r="D75" s="154">
        <v>0</v>
      </c>
      <c r="E75" s="154">
        <v>0</v>
      </c>
      <c r="F75" s="153">
        <v>1360</v>
      </c>
      <c r="G75" s="154">
        <v>794.00300000762934</v>
      </c>
      <c r="H75" s="183">
        <v>58.382573529972746</v>
      </c>
      <c r="I75" s="153">
        <v>565.99699999237066</v>
      </c>
      <c r="J75" s="154">
        <v>251.03000000000003</v>
      </c>
      <c r="K75" s="154">
        <v>0</v>
      </c>
      <c r="L75" s="154">
        <v>-180.3</v>
      </c>
      <c r="M75" s="154">
        <v>0</v>
      </c>
      <c r="N75" s="46">
        <v>0</v>
      </c>
      <c r="O75" s="154">
        <v>17.682500000000005</v>
      </c>
      <c r="P75" s="41">
        <v>30.008878834574894</v>
      </c>
    </row>
    <row r="76" spans="1:16" s="2" customFormat="1" ht="10.7" customHeight="1" x14ac:dyDescent="0.2">
      <c r="A76" s="190"/>
      <c r="B76" s="40"/>
      <c r="C76" s="151"/>
      <c r="D76" s="154"/>
      <c r="E76" s="152"/>
      <c r="F76" s="153"/>
      <c r="G76" s="154"/>
      <c r="H76" s="183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7" customHeight="1" x14ac:dyDescent="0.2">
      <c r="A77" s="168"/>
      <c r="B77" s="57" t="s">
        <v>87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3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7" customHeight="1" x14ac:dyDescent="0.2">
      <c r="A78" s="168"/>
      <c r="B78" s="49" t="s">
        <v>88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3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150</v>
      </c>
    </row>
    <row r="79" spans="1:16" s="2" customFormat="1" ht="10.7" customHeight="1" x14ac:dyDescent="0.2">
      <c r="A79" s="168"/>
      <c r="B79" s="49" t="s">
        <v>89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150</v>
      </c>
    </row>
    <row r="80" spans="1:16" s="2" customFormat="1" ht="10.7" customHeight="1" x14ac:dyDescent="0.2">
      <c r="A80" s="168"/>
      <c r="B80" s="49"/>
      <c r="C80" s="151"/>
      <c r="D80" s="152"/>
      <c r="E80" s="152"/>
      <c r="F80" s="153"/>
      <c r="G80" s="154"/>
      <c r="H80" s="183"/>
      <c r="I80" s="153"/>
      <c r="J80" s="154"/>
      <c r="K80" s="154"/>
      <c r="L80" s="154"/>
      <c r="M80" s="154"/>
      <c r="N80" s="46"/>
      <c r="O80" s="154"/>
      <c r="P80" s="41"/>
    </row>
    <row r="81" spans="1:254" ht="10.7" customHeight="1" x14ac:dyDescent="0.2">
      <c r="B81" s="40" t="s">
        <v>90</v>
      </c>
      <c r="C81" s="151">
        <v>1112.8</v>
      </c>
      <c r="D81" s="152"/>
      <c r="E81" s="152"/>
      <c r="F81" s="153">
        <v>1112.8</v>
      </c>
      <c r="G81" s="154"/>
      <c r="H81" s="183"/>
      <c r="I81" s="153">
        <v>1112.8</v>
      </c>
      <c r="J81" s="154"/>
      <c r="K81" s="154"/>
      <c r="L81" s="154"/>
      <c r="M81" s="154"/>
      <c r="N81" s="46"/>
      <c r="O81" s="154"/>
      <c r="P81" s="41"/>
    </row>
    <row r="82" spans="1:254" ht="10.7" customHeight="1" x14ac:dyDescent="0.2">
      <c r="B82" s="197" t="s">
        <v>91</v>
      </c>
      <c r="C82" s="224">
        <v>1360</v>
      </c>
      <c r="D82" s="155">
        <v>0</v>
      </c>
      <c r="E82" s="155">
        <v>0</v>
      </c>
      <c r="F82" s="156">
        <v>2472.8000000000002</v>
      </c>
      <c r="G82" s="155">
        <v>794.00300000762934</v>
      </c>
      <c r="H82" s="188">
        <v>32.109471045277793</v>
      </c>
      <c r="I82" s="156">
        <v>1678.7969999923707</v>
      </c>
      <c r="J82" s="155">
        <v>251.03000000000003</v>
      </c>
      <c r="K82" s="155">
        <v>0</v>
      </c>
      <c r="L82" s="155">
        <v>-180.29999999999995</v>
      </c>
      <c r="M82" s="155">
        <v>0</v>
      </c>
      <c r="N82" s="58">
        <v>0</v>
      </c>
      <c r="O82" s="155">
        <v>17.682500000000019</v>
      </c>
      <c r="P82" s="54" t="s">
        <v>149</v>
      </c>
    </row>
    <row r="83" spans="1:254" ht="10.7" customHeight="1" x14ac:dyDescent="0.2">
      <c r="B83" s="198" t="s">
        <v>167</v>
      </c>
      <c r="C83" s="198"/>
      <c r="D83" s="198"/>
      <c r="E83" s="59"/>
      <c r="F83" s="199"/>
      <c r="G83" s="198"/>
      <c r="H83" s="198"/>
      <c r="I83" s="200"/>
      <c r="J83" s="198"/>
      <c r="K83" s="198"/>
      <c r="L83" s="198"/>
      <c r="M83" s="198"/>
      <c r="N83" s="201"/>
      <c r="O83" s="198"/>
      <c r="P83" s="201"/>
      <c r="Q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98"/>
      <c r="DK83" s="198"/>
      <c r="DL83" s="198"/>
      <c r="DM83" s="198"/>
      <c r="DN83" s="198"/>
      <c r="DO83" s="198"/>
      <c r="DP83" s="198"/>
      <c r="DQ83" s="198"/>
      <c r="DR83" s="198"/>
      <c r="DS83" s="198"/>
      <c r="DT83" s="198"/>
      <c r="DU83" s="198"/>
      <c r="DV83" s="198"/>
      <c r="DW83" s="198"/>
      <c r="DX83" s="198"/>
      <c r="DY83" s="198"/>
      <c r="DZ83" s="198"/>
      <c r="EA83" s="198"/>
      <c r="EB83" s="198"/>
      <c r="EC83" s="198"/>
      <c r="ED83" s="198"/>
      <c r="EE83" s="198"/>
      <c r="EF83" s="198"/>
      <c r="EG83" s="198"/>
      <c r="EH83" s="198"/>
      <c r="EI83" s="198"/>
      <c r="EJ83" s="198"/>
      <c r="EK83" s="198"/>
      <c r="EL83" s="198"/>
      <c r="EM83" s="198"/>
      <c r="EN83" s="198"/>
      <c r="EO83" s="198"/>
      <c r="EP83" s="198"/>
      <c r="EQ83" s="198"/>
      <c r="ER83" s="198"/>
      <c r="ES83" s="198"/>
      <c r="ET83" s="198"/>
      <c r="EU83" s="198"/>
      <c r="EV83" s="198"/>
      <c r="EW83" s="198"/>
      <c r="EX83" s="198"/>
      <c r="EY83" s="198"/>
      <c r="EZ83" s="198"/>
      <c r="FA83" s="198"/>
      <c r="FB83" s="198"/>
      <c r="FC83" s="198"/>
      <c r="FD83" s="198"/>
      <c r="FE83" s="198"/>
      <c r="FF83" s="198"/>
      <c r="FG83" s="198"/>
      <c r="FH83" s="198"/>
      <c r="FI83" s="198"/>
      <c r="FJ83" s="198"/>
      <c r="FK83" s="198"/>
      <c r="FL83" s="198"/>
      <c r="FM83" s="198"/>
      <c r="FN83" s="198"/>
      <c r="FO83" s="198"/>
      <c r="FP83" s="198"/>
      <c r="FQ83" s="198"/>
      <c r="FR83" s="198"/>
      <c r="FS83" s="198"/>
      <c r="FT83" s="198"/>
      <c r="FU83" s="198"/>
      <c r="FV83" s="198"/>
      <c r="FW83" s="198"/>
      <c r="FX83" s="198"/>
      <c r="FY83" s="198"/>
      <c r="FZ83" s="198"/>
      <c r="GA83" s="198"/>
      <c r="GB83" s="198"/>
      <c r="GC83" s="198"/>
      <c r="GD83" s="198"/>
      <c r="GE83" s="198"/>
      <c r="GF83" s="198"/>
      <c r="GG83" s="198"/>
      <c r="GH83" s="198"/>
      <c r="GI83" s="198"/>
      <c r="GJ83" s="198"/>
      <c r="GK83" s="198"/>
      <c r="GL83" s="198"/>
      <c r="GM83" s="198"/>
      <c r="GN83" s="198"/>
      <c r="GO83" s="198"/>
      <c r="GP83" s="198"/>
      <c r="GQ83" s="198"/>
      <c r="GR83" s="198"/>
      <c r="GS83" s="198"/>
      <c r="GT83" s="198"/>
      <c r="GU83" s="198"/>
      <c r="GV83" s="198"/>
      <c r="GW83" s="198"/>
      <c r="GX83" s="198"/>
      <c r="GY83" s="198"/>
      <c r="GZ83" s="198"/>
      <c r="HA83" s="198"/>
      <c r="HB83" s="198"/>
      <c r="HC83" s="198"/>
      <c r="HD83" s="198"/>
      <c r="HE83" s="198"/>
      <c r="HF83" s="198"/>
      <c r="HG83" s="198"/>
      <c r="HH83" s="198"/>
      <c r="HI83" s="198"/>
      <c r="HJ83" s="198"/>
      <c r="HK83" s="198"/>
      <c r="HL83" s="198"/>
      <c r="HM83" s="198"/>
      <c r="HN83" s="198"/>
      <c r="HO83" s="198"/>
      <c r="HP83" s="198"/>
      <c r="HQ83" s="198"/>
      <c r="HR83" s="198"/>
      <c r="HS83" s="198"/>
      <c r="HT83" s="198"/>
      <c r="HU83" s="198"/>
      <c r="HV83" s="198"/>
      <c r="HW83" s="198"/>
      <c r="HX83" s="198"/>
      <c r="HY83" s="198"/>
      <c r="HZ83" s="198"/>
      <c r="IA83" s="198"/>
      <c r="IB83" s="198"/>
      <c r="IC83" s="198"/>
      <c r="ID83" s="198"/>
      <c r="IE83" s="198"/>
      <c r="IF83" s="198"/>
      <c r="IG83" s="198"/>
      <c r="IH83" s="198"/>
      <c r="II83" s="198"/>
      <c r="IJ83" s="198"/>
      <c r="IK83" s="198"/>
      <c r="IL83" s="198"/>
      <c r="IM83" s="198"/>
      <c r="IN83" s="198"/>
      <c r="IO83" s="198"/>
      <c r="IP83" s="198"/>
      <c r="IQ83" s="198"/>
      <c r="IR83" s="198"/>
      <c r="IS83" s="198"/>
      <c r="IT83" s="198"/>
    </row>
    <row r="84" spans="1:254" ht="10.7" customHeight="1" x14ac:dyDescent="0.2">
      <c r="B84" s="202" t="s">
        <v>92</v>
      </c>
      <c r="C84" s="202"/>
      <c r="D84" s="202"/>
      <c r="E84" s="202"/>
      <c r="F84" s="203"/>
      <c r="G84" s="202"/>
      <c r="H84" s="202"/>
      <c r="I84" s="204"/>
      <c r="J84" s="202"/>
      <c r="K84" s="202"/>
      <c r="L84" s="202"/>
      <c r="M84" s="202"/>
      <c r="N84" s="194"/>
      <c r="O84" s="202"/>
      <c r="P84" s="194"/>
      <c r="Q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202"/>
      <c r="DG84" s="202"/>
      <c r="DH84" s="202"/>
      <c r="DI84" s="202"/>
      <c r="DJ84" s="202"/>
      <c r="DK84" s="202"/>
      <c r="DL84" s="202"/>
      <c r="DM84" s="202"/>
      <c r="DN84" s="202"/>
      <c r="DO84" s="202"/>
      <c r="DP84" s="202"/>
      <c r="DQ84" s="202"/>
      <c r="DR84" s="202"/>
      <c r="DS84" s="202"/>
      <c r="DT84" s="202"/>
      <c r="DU84" s="202"/>
      <c r="DV84" s="202"/>
      <c r="DW84" s="202"/>
      <c r="DX84" s="202"/>
      <c r="DY84" s="202"/>
      <c r="DZ84" s="202"/>
      <c r="EA84" s="202"/>
      <c r="EB84" s="202"/>
      <c r="EC84" s="202"/>
      <c r="ED84" s="202"/>
      <c r="EE84" s="202"/>
      <c r="EF84" s="202"/>
      <c r="EG84" s="202"/>
      <c r="EH84" s="202"/>
      <c r="EI84" s="202"/>
      <c r="EJ84" s="202"/>
      <c r="EK84" s="202"/>
      <c r="EL84" s="202"/>
      <c r="EM84" s="202"/>
      <c r="EN84" s="202"/>
      <c r="EO84" s="202"/>
      <c r="EP84" s="202"/>
      <c r="EQ84" s="202"/>
      <c r="ER84" s="202"/>
      <c r="ES84" s="202"/>
      <c r="ET84" s="202"/>
      <c r="EU84" s="202"/>
      <c r="EV84" s="202"/>
      <c r="EW84" s="202"/>
      <c r="EX84" s="202"/>
      <c r="EY84" s="202"/>
      <c r="EZ84" s="202"/>
      <c r="FA84" s="202"/>
      <c r="FB84" s="202"/>
      <c r="FC84" s="202"/>
      <c r="FD84" s="202"/>
      <c r="FE84" s="202"/>
      <c r="FF84" s="202"/>
      <c r="FG84" s="202"/>
      <c r="FH84" s="202"/>
      <c r="FI84" s="202"/>
      <c r="FJ84" s="202"/>
      <c r="FK84" s="202"/>
      <c r="FL84" s="202"/>
      <c r="FM84" s="202"/>
      <c r="FN84" s="202"/>
      <c r="FO84" s="202"/>
      <c r="FP84" s="202"/>
      <c r="FQ84" s="202"/>
      <c r="FR84" s="202"/>
      <c r="FS84" s="202"/>
      <c r="FT84" s="202"/>
      <c r="FU84" s="202"/>
      <c r="FV84" s="202"/>
      <c r="FW84" s="202"/>
      <c r="FX84" s="202"/>
      <c r="FY84" s="202"/>
      <c r="FZ84" s="202"/>
      <c r="GA84" s="202"/>
      <c r="GB84" s="202"/>
      <c r="GC84" s="202"/>
      <c r="GD84" s="202"/>
      <c r="GE84" s="202"/>
      <c r="GF84" s="202"/>
      <c r="GG84" s="202"/>
      <c r="GH84" s="202"/>
      <c r="GI84" s="202"/>
      <c r="GJ84" s="202"/>
      <c r="GK84" s="202"/>
      <c r="GL84" s="202"/>
      <c r="GM84" s="202"/>
      <c r="GN84" s="202"/>
      <c r="GO84" s="202"/>
      <c r="GP84" s="202"/>
      <c r="GQ84" s="202"/>
      <c r="GR84" s="202"/>
      <c r="GS84" s="202"/>
      <c r="GT84" s="202"/>
      <c r="GU84" s="202"/>
      <c r="GV84" s="202"/>
      <c r="GW84" s="202"/>
      <c r="GX84" s="202"/>
      <c r="GY84" s="202"/>
      <c r="GZ84" s="202"/>
      <c r="HA84" s="202"/>
      <c r="HB84" s="202"/>
      <c r="HC84" s="202"/>
      <c r="HD84" s="202"/>
      <c r="HE84" s="202"/>
      <c r="HF84" s="202"/>
      <c r="HG84" s="202"/>
      <c r="HH84" s="202"/>
      <c r="HI84" s="202"/>
      <c r="HJ84" s="202"/>
      <c r="HK84" s="202"/>
      <c r="HL84" s="202"/>
      <c r="HM84" s="202"/>
      <c r="HN84" s="202"/>
      <c r="HO84" s="202"/>
      <c r="HP84" s="202"/>
      <c r="HQ84" s="202"/>
      <c r="HR84" s="202"/>
      <c r="HS84" s="202"/>
      <c r="HT84" s="202"/>
      <c r="HU84" s="202"/>
      <c r="HV84" s="202"/>
      <c r="HW84" s="202"/>
      <c r="HX84" s="202"/>
      <c r="HY84" s="202"/>
      <c r="HZ84" s="202"/>
      <c r="IA84" s="202"/>
      <c r="IB84" s="202"/>
      <c r="IC84" s="202"/>
      <c r="ID84" s="202"/>
      <c r="IE84" s="202"/>
      <c r="IF84" s="202"/>
      <c r="IG84" s="202"/>
      <c r="IH84" s="202"/>
      <c r="II84" s="202"/>
      <c r="IJ84" s="202"/>
      <c r="IK84" s="202"/>
      <c r="IL84" s="202"/>
      <c r="IM84" s="202"/>
      <c r="IN84" s="202"/>
      <c r="IO84" s="202"/>
      <c r="IP84" s="202"/>
      <c r="IQ84" s="202"/>
      <c r="IR84" s="202"/>
      <c r="IS84" s="202"/>
      <c r="IT84" s="202"/>
    </row>
    <row r="85" spans="1:254" ht="10.7" customHeight="1" x14ac:dyDescent="0.2">
      <c r="B85" s="191"/>
      <c r="C85" s="191"/>
      <c r="D85" s="191"/>
      <c r="E85" s="191"/>
      <c r="F85" s="192"/>
      <c r="G85" s="191"/>
      <c r="H85" s="191"/>
      <c r="I85" s="193"/>
      <c r="J85" s="191"/>
      <c r="K85" s="191"/>
      <c r="L85" s="191"/>
      <c r="M85" s="191"/>
      <c r="N85" s="194"/>
      <c r="O85" s="191"/>
      <c r="P85" s="194"/>
      <c r="Q85" s="191"/>
    </row>
    <row r="86" spans="1:254" ht="10.7" customHeight="1" x14ac:dyDescent="0.2">
      <c r="B86" s="191"/>
      <c r="C86" s="191"/>
      <c r="D86" s="191"/>
      <c r="E86" s="191"/>
      <c r="F86" s="192"/>
      <c r="G86" s="191"/>
      <c r="H86" s="191"/>
      <c r="I86" s="193"/>
      <c r="J86" s="191"/>
      <c r="K86" s="191"/>
      <c r="L86" s="191"/>
      <c r="M86" s="191"/>
      <c r="N86" s="194"/>
      <c r="O86" s="191"/>
      <c r="P86" s="194"/>
      <c r="Q86" s="191"/>
    </row>
    <row r="87" spans="1:254" ht="10.7" customHeight="1" x14ac:dyDescent="0.2">
      <c r="B87" s="191"/>
      <c r="C87" s="191"/>
      <c r="D87" s="191"/>
      <c r="E87" s="191"/>
      <c r="F87" s="192"/>
      <c r="G87" s="191"/>
      <c r="H87" s="191"/>
      <c r="I87" s="193"/>
      <c r="J87" s="191"/>
      <c r="K87" s="191"/>
      <c r="L87" s="191"/>
      <c r="M87" s="191"/>
      <c r="N87" s="194"/>
      <c r="O87" s="191"/>
      <c r="P87" s="194"/>
      <c r="Q87" s="191"/>
    </row>
    <row r="88" spans="1:254" ht="10.7" customHeight="1" x14ac:dyDescent="0.2">
      <c r="B88" s="14"/>
      <c r="C88" s="15" t="s">
        <v>147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1"/>
    </row>
    <row r="89" spans="1:254" ht="10.7" customHeight="1" x14ac:dyDescent="0.2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1"/>
      <c r="R89" s="185" t="s">
        <v>152</v>
      </c>
    </row>
    <row r="90" spans="1:254" ht="10.7" customHeight="1" x14ac:dyDescent="0.2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44468</v>
      </c>
      <c r="K90" s="33">
        <v>44475</v>
      </c>
      <c r="L90" s="33">
        <v>44482</v>
      </c>
      <c r="M90" s="15" t="s">
        <v>48</v>
      </c>
      <c r="N90" s="34" t="s">
        <v>56</v>
      </c>
      <c r="O90" s="34" t="s">
        <v>48</v>
      </c>
      <c r="P90" s="24" t="s">
        <v>58</v>
      </c>
      <c r="Q90" s="191"/>
    </row>
    <row r="91" spans="1:254" ht="10.7" customHeight="1" x14ac:dyDescent="0.2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1"/>
    </row>
    <row r="92" spans="1:254" ht="10.7" customHeight="1" x14ac:dyDescent="0.2">
      <c r="B92" s="40"/>
      <c r="C92" s="233" t="s">
        <v>138</v>
      </c>
      <c r="D92" s="234"/>
      <c r="E92" s="234"/>
      <c r="F92" s="234"/>
      <c r="G92" s="234"/>
      <c r="H92" s="234"/>
      <c r="I92" s="234"/>
      <c r="J92" s="234"/>
      <c r="K92" s="234"/>
      <c r="L92" s="234"/>
      <c r="M92" s="234"/>
      <c r="N92" s="234"/>
      <c r="O92" s="234"/>
      <c r="P92" s="41" t="s">
        <v>4</v>
      </c>
      <c r="Q92" s="191"/>
    </row>
    <row r="93" spans="1:254" ht="10.7" customHeight="1" x14ac:dyDescent="0.2">
      <c r="A93" s="169"/>
      <c r="B93" s="40" t="s">
        <v>62</v>
      </c>
      <c r="C93" s="151">
        <v>48607.1</v>
      </c>
      <c r="D93" s="152">
        <v>0</v>
      </c>
      <c r="E93" s="152">
        <v>970.19999999999709</v>
      </c>
      <c r="F93" s="153">
        <v>49577.299999999996</v>
      </c>
      <c r="G93" s="154">
        <v>27814.910000000003</v>
      </c>
      <c r="H93" s="183">
        <v>56.10412426654942</v>
      </c>
      <c r="I93" s="153">
        <v>21762.389999999992</v>
      </c>
      <c r="J93" s="154">
        <v>0.45000000000004547</v>
      </c>
      <c r="K93" s="154">
        <v>1.5199999999992997</v>
      </c>
      <c r="L93" s="154">
        <v>0.92999999999938154</v>
      </c>
      <c r="M93" s="154">
        <v>0.25999999999839929</v>
      </c>
      <c r="N93" s="46">
        <v>5.3490127985088461E-4</v>
      </c>
      <c r="O93" s="154">
        <v>0.7899999999992815</v>
      </c>
      <c r="P93" s="41" t="s">
        <v>149</v>
      </c>
      <c r="Q93" s="191"/>
      <c r="T93" s="4"/>
    </row>
    <row r="94" spans="1:254" ht="10.7" customHeight="1" x14ac:dyDescent="0.2">
      <c r="B94" s="40" t="s">
        <v>63</v>
      </c>
      <c r="C94" s="151">
        <v>42</v>
      </c>
      <c r="D94" s="152">
        <v>0</v>
      </c>
      <c r="E94" s="152">
        <v>-30</v>
      </c>
      <c r="F94" s="153">
        <v>12</v>
      </c>
      <c r="G94" s="154">
        <v>2.41</v>
      </c>
      <c r="H94" s="183">
        <v>20.083333333333332</v>
      </c>
      <c r="I94" s="153">
        <v>9.59</v>
      </c>
      <c r="J94" s="154">
        <v>0.29000000000000004</v>
      </c>
      <c r="K94" s="154">
        <v>0.10000000000000009</v>
      </c>
      <c r="L94" s="154">
        <v>1.17</v>
      </c>
      <c r="M94" s="154">
        <v>0.12000000000000011</v>
      </c>
      <c r="N94" s="46">
        <v>0.28571428571428598</v>
      </c>
      <c r="O94" s="154">
        <v>0.42000000000000004</v>
      </c>
      <c r="P94" s="41" t="s">
        <v>150</v>
      </c>
      <c r="Q94" s="191"/>
      <c r="T94" s="4"/>
    </row>
    <row r="95" spans="1:254" ht="10.7" customHeight="1" x14ac:dyDescent="0.2">
      <c r="B95" s="40" t="s">
        <v>65</v>
      </c>
      <c r="C95" s="151">
        <v>0</v>
      </c>
      <c r="D95" s="152">
        <v>0</v>
      </c>
      <c r="E95" s="152">
        <v>1</v>
      </c>
      <c r="F95" s="153">
        <v>1</v>
      </c>
      <c r="G95" s="154">
        <v>1.8399999999999999</v>
      </c>
      <c r="H95" s="183">
        <v>184</v>
      </c>
      <c r="I95" s="153">
        <v>-0.83999999999999986</v>
      </c>
      <c r="J95" s="154">
        <v>0.01</v>
      </c>
      <c r="K95" s="154">
        <v>0.31</v>
      </c>
      <c r="L95" s="154">
        <v>0</v>
      </c>
      <c r="M95" s="154">
        <v>0.35999999999999988</v>
      </c>
      <c r="N95" s="46" t="s">
        <v>64</v>
      </c>
      <c r="O95" s="154">
        <v>0.16999999999999998</v>
      </c>
      <c r="P95" s="41" t="s">
        <v>150</v>
      </c>
      <c r="Q95" s="191"/>
      <c r="T95" s="4"/>
    </row>
    <row r="96" spans="1:254" ht="10.7" customHeight="1" x14ac:dyDescent="0.2">
      <c r="A96" s="169"/>
      <c r="B96" s="40" t="s">
        <v>66</v>
      </c>
      <c r="C96" s="151">
        <v>45888.800000000003</v>
      </c>
      <c r="D96" s="152">
        <v>0</v>
      </c>
      <c r="E96" s="152">
        <v>884.59999999999854</v>
      </c>
      <c r="F96" s="153">
        <v>46773.4</v>
      </c>
      <c r="G96" s="154">
        <v>22053.230000000003</v>
      </c>
      <c r="H96" s="183">
        <v>47.149084736196222</v>
      </c>
      <c r="I96" s="153">
        <v>24720.17</v>
      </c>
      <c r="J96" s="154">
        <v>0.8500000000003638</v>
      </c>
      <c r="K96" s="154">
        <v>0</v>
      </c>
      <c r="L96" s="154">
        <v>2.6200000000008004</v>
      </c>
      <c r="M96" s="154">
        <v>0</v>
      </c>
      <c r="N96" s="46">
        <v>0</v>
      </c>
      <c r="O96" s="154">
        <v>0.86750000000029104</v>
      </c>
      <c r="P96" s="41" t="s">
        <v>149</v>
      </c>
      <c r="Q96" s="191"/>
      <c r="T96" s="4"/>
    </row>
    <row r="97" spans="1:20" ht="10.7" customHeight="1" x14ac:dyDescent="0.2">
      <c r="B97" s="40" t="s">
        <v>67</v>
      </c>
      <c r="C97" s="151">
        <v>0.3</v>
      </c>
      <c r="D97" s="152">
        <v>0</v>
      </c>
      <c r="E97" s="152">
        <v>170</v>
      </c>
      <c r="F97" s="153">
        <v>170.3</v>
      </c>
      <c r="G97" s="154">
        <v>57.879999880790749</v>
      </c>
      <c r="H97" s="183">
        <v>33.987081550669842</v>
      </c>
      <c r="I97" s="153">
        <v>112.42000011920926</v>
      </c>
      <c r="J97" s="154">
        <v>0.45599999618529807</v>
      </c>
      <c r="K97" s="154">
        <v>1.2700000000000102</v>
      </c>
      <c r="L97" s="154">
        <v>1.6640000000000015</v>
      </c>
      <c r="M97" s="154">
        <v>1.8009999999999948</v>
      </c>
      <c r="N97" s="46">
        <v>600.33333333333167</v>
      </c>
      <c r="O97" s="154">
        <v>1.2977499990463262</v>
      </c>
      <c r="P97" s="41" t="s">
        <v>149</v>
      </c>
      <c r="Q97" s="191"/>
      <c r="T97" s="4"/>
    </row>
    <row r="98" spans="1:20" ht="10.7" customHeight="1" x14ac:dyDescent="0.2">
      <c r="B98" s="40" t="s">
        <v>68</v>
      </c>
      <c r="C98" s="151">
        <v>15.7</v>
      </c>
      <c r="D98" s="152">
        <v>0</v>
      </c>
      <c r="E98" s="152">
        <v>-14.3</v>
      </c>
      <c r="F98" s="153">
        <v>1.3999999999999986</v>
      </c>
      <c r="G98" s="154">
        <v>0.02</v>
      </c>
      <c r="H98" s="183">
        <v>1.4285714285714299</v>
      </c>
      <c r="I98" s="153">
        <v>1.3799999999999986</v>
      </c>
      <c r="J98" s="154">
        <v>0</v>
      </c>
      <c r="K98" s="154">
        <v>0.02</v>
      </c>
      <c r="L98" s="154">
        <v>0</v>
      </c>
      <c r="M98" s="154">
        <v>0</v>
      </c>
      <c r="N98" s="46">
        <v>0</v>
      </c>
      <c r="O98" s="154">
        <v>5.0000000000000001E-3</v>
      </c>
      <c r="P98" s="41" t="s">
        <v>149</v>
      </c>
      <c r="Q98" s="191"/>
      <c r="T98" s="4"/>
    </row>
    <row r="99" spans="1:20" s="191" customFormat="1" ht="10.7" customHeight="1" x14ac:dyDescent="0.2">
      <c r="A99" s="168"/>
      <c r="B99" s="40" t="s">
        <v>69</v>
      </c>
      <c r="C99" s="151">
        <v>0.2</v>
      </c>
      <c r="D99" s="152">
        <v>0</v>
      </c>
      <c r="E99" s="152">
        <v>0</v>
      </c>
      <c r="F99" s="153">
        <v>0.2</v>
      </c>
      <c r="G99" s="154">
        <v>0.15</v>
      </c>
      <c r="H99" s="183">
        <v>75</v>
      </c>
      <c r="I99" s="153">
        <v>5.0000000000000017E-2</v>
      </c>
      <c r="J99" s="154">
        <v>0</v>
      </c>
      <c r="K99" s="154">
        <v>0</v>
      </c>
      <c r="L99" s="154">
        <v>0.15</v>
      </c>
      <c r="M99" s="154">
        <v>0</v>
      </c>
      <c r="N99" s="46">
        <v>0</v>
      </c>
      <c r="O99" s="154">
        <v>3.7499999999999999E-2</v>
      </c>
      <c r="P99" s="41" t="s">
        <v>150</v>
      </c>
      <c r="R99" s="185"/>
      <c r="T99" s="4"/>
    </row>
    <row r="100" spans="1:20" ht="10.7" customHeight="1" x14ac:dyDescent="0.2">
      <c r="B100" s="40" t="s">
        <v>70</v>
      </c>
      <c r="C100" s="151">
        <v>4.3</v>
      </c>
      <c r="D100" s="152">
        <v>0</v>
      </c>
      <c r="E100" s="152">
        <v>0</v>
      </c>
      <c r="F100" s="153">
        <v>4.3</v>
      </c>
      <c r="G100" s="154">
        <v>0.03</v>
      </c>
      <c r="H100" s="183">
        <v>0.69767441860465118</v>
      </c>
      <c r="I100" s="153">
        <v>4.2699999999999996</v>
      </c>
      <c r="J100" s="154">
        <v>0</v>
      </c>
      <c r="K100" s="154">
        <v>0</v>
      </c>
      <c r="L100" s="154">
        <v>0</v>
      </c>
      <c r="M100" s="154">
        <v>0.03</v>
      </c>
      <c r="N100" s="46">
        <v>0.69767441860465118</v>
      </c>
      <c r="O100" s="154">
        <v>7.4999999999999997E-3</v>
      </c>
      <c r="P100" s="41" t="s">
        <v>149</v>
      </c>
      <c r="Q100" s="191"/>
      <c r="T100" s="4"/>
    </row>
    <row r="101" spans="1:20" ht="10.7" customHeight="1" x14ac:dyDescent="0.2">
      <c r="A101" s="169"/>
      <c r="B101" s="40" t="s">
        <v>71</v>
      </c>
      <c r="C101" s="151">
        <v>25401.3</v>
      </c>
      <c r="D101" s="152">
        <v>0</v>
      </c>
      <c r="E101" s="152">
        <v>61.700000000000728</v>
      </c>
      <c r="F101" s="153">
        <v>25463</v>
      </c>
      <c r="G101" s="154">
        <v>10266.750000000002</v>
      </c>
      <c r="H101" s="183">
        <v>40.320268625063825</v>
      </c>
      <c r="I101" s="153">
        <v>15196.249999999998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154">
        <v>0</v>
      </c>
      <c r="P101" s="41" t="s">
        <v>149</v>
      </c>
      <c r="Q101" s="191"/>
      <c r="T101" s="4"/>
    </row>
    <row r="102" spans="1:20" s="191" customFormat="1" ht="10.7" customHeight="1" x14ac:dyDescent="0.2">
      <c r="A102" s="168"/>
      <c r="B102" s="40" t="s">
        <v>72</v>
      </c>
      <c r="C102" s="151">
        <v>24831.8</v>
      </c>
      <c r="D102" s="152">
        <v>0</v>
      </c>
      <c r="E102" s="152">
        <v>-198</v>
      </c>
      <c r="F102" s="153">
        <v>24633.8</v>
      </c>
      <c r="G102" s="154">
        <v>14582.009999999998</v>
      </c>
      <c r="H102" s="183">
        <v>59.195130268168121</v>
      </c>
      <c r="I102" s="153">
        <v>10051.790000000001</v>
      </c>
      <c r="J102" s="154">
        <v>0</v>
      </c>
      <c r="K102" s="154">
        <v>0</v>
      </c>
      <c r="L102" s="154">
        <v>0</v>
      </c>
      <c r="M102" s="154">
        <v>1851.9599999999991</v>
      </c>
      <c r="N102" s="46">
        <v>7.4580175420227253</v>
      </c>
      <c r="O102" s="154">
        <v>462.98999999999978</v>
      </c>
      <c r="P102" s="41">
        <v>19.710598501047549</v>
      </c>
      <c r="R102" s="185"/>
      <c r="T102" s="4"/>
    </row>
    <row r="103" spans="1:20" s="191" customFormat="1" ht="10.7" customHeight="1" x14ac:dyDescent="0.2">
      <c r="A103" s="168"/>
      <c r="B103" s="47" t="s">
        <v>73</v>
      </c>
      <c r="C103" s="151">
        <v>144791.5</v>
      </c>
      <c r="D103" s="152">
        <v>0</v>
      </c>
      <c r="E103" s="152">
        <v>1845.1999999999825</v>
      </c>
      <c r="F103" s="153">
        <v>146636.69999999998</v>
      </c>
      <c r="G103" s="154">
        <v>74779.229999880787</v>
      </c>
      <c r="H103" s="183">
        <v>50.996258099016686</v>
      </c>
      <c r="I103" s="153">
        <v>71857.470000119196</v>
      </c>
      <c r="J103" s="154">
        <v>2.0559999961857072</v>
      </c>
      <c r="K103" s="154">
        <v>3.2199999999993101</v>
      </c>
      <c r="L103" s="154">
        <v>6.5340000000001837</v>
      </c>
      <c r="M103" s="154">
        <v>1854.5309999999974</v>
      </c>
      <c r="N103" s="46">
        <v>608.77527448095316</v>
      </c>
      <c r="O103" s="154">
        <v>466.58524999904569</v>
      </c>
      <c r="P103" s="41" t="s">
        <v>149</v>
      </c>
      <c r="R103" s="185"/>
      <c r="T103" s="4"/>
    </row>
    <row r="104" spans="1:20" s="191" customFormat="1" ht="10.7" customHeight="1" x14ac:dyDescent="0.2">
      <c r="A104" s="168"/>
      <c r="B104" s="40"/>
      <c r="C104" s="151"/>
      <c r="D104" s="154"/>
      <c r="E104" s="152"/>
      <c r="F104" s="153"/>
      <c r="G104" s="154"/>
      <c r="H104" s="183"/>
      <c r="I104" s="153"/>
      <c r="J104" s="154"/>
      <c r="K104" s="154"/>
      <c r="L104" s="154"/>
      <c r="M104" s="154"/>
      <c r="N104" s="46"/>
      <c r="O104" s="154"/>
      <c r="P104" s="41"/>
      <c r="R104" s="185"/>
      <c r="T104" s="4"/>
    </row>
    <row r="105" spans="1:20" ht="10.7" customHeight="1" x14ac:dyDescent="0.2">
      <c r="B105" s="40" t="s">
        <v>74</v>
      </c>
      <c r="C105" s="151">
        <v>0.59599999999999997</v>
      </c>
      <c r="D105" s="152">
        <v>0</v>
      </c>
      <c r="E105" s="152">
        <v>0</v>
      </c>
      <c r="F105" s="153">
        <v>0.59599999999999997</v>
      </c>
      <c r="G105" s="154">
        <v>0</v>
      </c>
      <c r="H105" s="183">
        <v>0</v>
      </c>
      <c r="I105" s="153">
        <v>0.59599999999999997</v>
      </c>
      <c r="J105" s="154">
        <v>0</v>
      </c>
      <c r="K105" s="154">
        <v>0</v>
      </c>
      <c r="L105" s="154">
        <v>0</v>
      </c>
      <c r="M105" s="154">
        <v>0</v>
      </c>
      <c r="N105" s="46">
        <v>0</v>
      </c>
      <c r="O105" s="154">
        <v>0</v>
      </c>
      <c r="P105" s="41" t="s">
        <v>149</v>
      </c>
      <c r="Q105" s="191"/>
      <c r="T105" s="4"/>
    </row>
    <row r="106" spans="1:20" ht="10.7" customHeight="1" x14ac:dyDescent="0.2">
      <c r="B106" s="40" t="s">
        <v>75</v>
      </c>
      <c r="C106" s="151">
        <v>282.00200000000001</v>
      </c>
      <c r="D106" s="152">
        <v>199.99999999999994</v>
      </c>
      <c r="E106" s="152">
        <v>234.99999999999994</v>
      </c>
      <c r="F106" s="153">
        <v>517.00199999999995</v>
      </c>
      <c r="G106" s="154">
        <v>0.53</v>
      </c>
      <c r="H106" s="183">
        <v>0.10251411019686578</v>
      </c>
      <c r="I106" s="153">
        <v>516.47199999999998</v>
      </c>
      <c r="J106" s="154">
        <v>8.0000000000000016E-2</v>
      </c>
      <c r="K106" s="154">
        <v>0.10999999999999999</v>
      </c>
      <c r="L106" s="154">
        <v>8.0000000000000016E-2</v>
      </c>
      <c r="M106" s="154">
        <v>0</v>
      </c>
      <c r="N106" s="46">
        <v>0</v>
      </c>
      <c r="O106" s="154">
        <v>6.7500000000000004E-2</v>
      </c>
      <c r="P106" s="41" t="s">
        <v>149</v>
      </c>
      <c r="Q106" s="191"/>
      <c r="T106" s="4"/>
    </row>
    <row r="107" spans="1:20" ht="10.7" customHeight="1" x14ac:dyDescent="0.2">
      <c r="B107" s="40" t="s">
        <v>157</v>
      </c>
      <c r="C107" s="151">
        <v>5.4349999999999996</v>
      </c>
      <c r="D107" s="152">
        <v>0</v>
      </c>
      <c r="E107" s="152">
        <v>170</v>
      </c>
      <c r="F107" s="153">
        <v>175.435</v>
      </c>
      <c r="G107" s="154">
        <v>7.2607269845902933E-2</v>
      </c>
      <c r="H107" s="183">
        <v>4.1386992245505703E-2</v>
      </c>
      <c r="I107" s="153">
        <v>175.36239273015411</v>
      </c>
      <c r="J107" s="154">
        <v>2.8399999618530292E-2</v>
      </c>
      <c r="K107" s="154">
        <v>0</v>
      </c>
      <c r="L107" s="154">
        <v>0</v>
      </c>
      <c r="M107" s="154">
        <v>0</v>
      </c>
      <c r="N107" s="46">
        <v>0</v>
      </c>
      <c r="O107" s="154">
        <v>7.0999999046325729E-3</v>
      </c>
      <c r="P107" s="41" t="s">
        <v>150</v>
      </c>
      <c r="Q107" s="191"/>
      <c r="T107" s="4"/>
    </row>
    <row r="108" spans="1:20" s="60" customFormat="1" ht="10.7" customHeight="1" x14ac:dyDescent="0.2">
      <c r="A108" s="168"/>
      <c r="B108" s="40" t="s">
        <v>76</v>
      </c>
      <c r="C108" s="151">
        <v>16.213999999999999</v>
      </c>
      <c r="D108" s="152">
        <v>0</v>
      </c>
      <c r="E108" s="152">
        <v>-13.2</v>
      </c>
      <c r="F108" s="153">
        <v>3.0139999999999993</v>
      </c>
      <c r="G108" s="154">
        <v>0.31825000026822092</v>
      </c>
      <c r="H108" s="183">
        <v>10.559057739489747</v>
      </c>
      <c r="I108" s="153">
        <v>2.6957499997317784</v>
      </c>
      <c r="J108" s="154">
        <v>1.0850000381469771E-2</v>
      </c>
      <c r="K108" s="154">
        <v>0</v>
      </c>
      <c r="L108" s="154">
        <v>0</v>
      </c>
      <c r="M108" s="154">
        <v>1.1000000238418628E-3</v>
      </c>
      <c r="N108" s="46">
        <v>6.7842606626487166E-3</v>
      </c>
      <c r="O108" s="154">
        <v>2.9875001013279084E-3</v>
      </c>
      <c r="P108" s="41" t="s">
        <v>149</v>
      </c>
      <c r="Q108" s="191"/>
      <c r="R108" s="185"/>
      <c r="T108" s="4"/>
    </row>
    <row r="109" spans="1:20" s="60" customFormat="1" ht="10.7" customHeight="1" x14ac:dyDescent="0.2">
      <c r="A109" s="170"/>
      <c r="B109" s="40" t="s">
        <v>77</v>
      </c>
      <c r="C109" s="151">
        <v>1156.5840000000001</v>
      </c>
      <c r="D109" s="152">
        <v>0</v>
      </c>
      <c r="E109" s="152">
        <v>410</v>
      </c>
      <c r="F109" s="153">
        <v>1566.5840000000001</v>
      </c>
      <c r="G109" s="154">
        <v>1700.4790000076293</v>
      </c>
      <c r="H109" s="183">
        <v>108.54694034967989</v>
      </c>
      <c r="I109" s="153">
        <v>-133.89500000762928</v>
      </c>
      <c r="J109" s="154">
        <v>0.32000000381481186</v>
      </c>
      <c r="K109" s="154">
        <v>0</v>
      </c>
      <c r="L109" s="154">
        <v>7.5000000000045475E-2</v>
      </c>
      <c r="M109" s="154">
        <v>330.47900000000004</v>
      </c>
      <c r="N109" s="46">
        <v>28.573713625642412</v>
      </c>
      <c r="O109" s="154">
        <v>82.718500000953725</v>
      </c>
      <c r="P109" s="41">
        <v>0</v>
      </c>
      <c r="Q109" s="191"/>
      <c r="R109" s="185"/>
      <c r="T109" s="4"/>
    </row>
    <row r="110" spans="1:20" ht="10.7" customHeight="1" x14ac:dyDescent="0.2">
      <c r="B110" s="40" t="s">
        <v>78</v>
      </c>
      <c r="C110" s="151">
        <v>15649.616</v>
      </c>
      <c r="D110" s="152">
        <v>0</v>
      </c>
      <c r="E110" s="152">
        <v>87.5</v>
      </c>
      <c r="F110" s="153">
        <v>15737.116</v>
      </c>
      <c r="G110" s="154">
        <v>10957.989000003934</v>
      </c>
      <c r="H110" s="183">
        <v>69.631494106060686</v>
      </c>
      <c r="I110" s="153">
        <v>4779.1269999960659</v>
      </c>
      <c r="J110" s="154">
        <v>9.0949470177292824E-13</v>
      </c>
      <c r="K110" s="154">
        <v>0</v>
      </c>
      <c r="L110" s="154">
        <v>0</v>
      </c>
      <c r="M110" s="154">
        <v>1369.3850000000011</v>
      </c>
      <c r="N110" s="46">
        <v>8.7502786010851707</v>
      </c>
      <c r="O110" s="154">
        <v>342.34625000000051</v>
      </c>
      <c r="P110" s="41">
        <v>11.959922154824417</v>
      </c>
      <c r="Q110" s="191"/>
      <c r="T110" s="4"/>
    </row>
    <row r="111" spans="1:20" ht="10.7" customHeight="1" x14ac:dyDescent="0.2">
      <c r="B111" s="40" t="s">
        <v>79</v>
      </c>
      <c r="C111" s="151">
        <v>18.181000000000001</v>
      </c>
      <c r="D111" s="152">
        <v>0</v>
      </c>
      <c r="E111" s="152">
        <v>-0.10000000000000142</v>
      </c>
      <c r="F111" s="153">
        <v>18.081</v>
      </c>
      <c r="G111" s="154">
        <v>12.213241949550802</v>
      </c>
      <c r="H111" s="183">
        <v>67.547380949896592</v>
      </c>
      <c r="I111" s="153">
        <v>5.8677580504491971</v>
      </c>
      <c r="J111" s="154">
        <v>1.7153323627999484E-2</v>
      </c>
      <c r="K111" s="154">
        <v>0.98165112777054264</v>
      </c>
      <c r="L111" s="154">
        <v>6.5300000280144488E-2</v>
      </c>
      <c r="M111" s="154">
        <v>0.98485997563600769</v>
      </c>
      <c r="N111" s="46">
        <v>5.416973629811384</v>
      </c>
      <c r="O111" s="154">
        <v>0.51224110682867363</v>
      </c>
      <c r="P111" s="41">
        <v>9.4550706146505199</v>
      </c>
      <c r="Q111" s="191"/>
      <c r="T111" s="4"/>
    </row>
    <row r="112" spans="1:20" s="191" customFormat="1" ht="10.7" customHeight="1" x14ac:dyDescent="0.2">
      <c r="A112" s="168"/>
      <c r="B112" s="40" t="s">
        <v>80</v>
      </c>
      <c r="C112" s="151">
        <v>17.082999999999998</v>
      </c>
      <c r="D112" s="152">
        <v>0</v>
      </c>
      <c r="E112" s="152">
        <v>0</v>
      </c>
      <c r="F112" s="153">
        <v>17.082999999999998</v>
      </c>
      <c r="G112" s="154">
        <v>2.7025510209128245</v>
      </c>
      <c r="H112" s="183">
        <v>15.820119539383155</v>
      </c>
      <c r="I112" s="153">
        <v>14.380448979087173</v>
      </c>
      <c r="J112" s="154">
        <v>7.1999999284733107E-3</v>
      </c>
      <c r="K112" s="154">
        <v>7.8284279406068968E-3</v>
      </c>
      <c r="L112" s="154">
        <v>2.3000000119210995E-3</v>
      </c>
      <c r="M112" s="154">
        <v>5.2499999523162977E-2</v>
      </c>
      <c r="N112" s="46">
        <v>0.30732306692713796</v>
      </c>
      <c r="O112" s="154">
        <v>1.7457106851041071E-2</v>
      </c>
      <c r="P112" s="41" t="s">
        <v>149</v>
      </c>
      <c r="R112" s="185"/>
      <c r="T112" s="4"/>
    </row>
    <row r="113" spans="1:20" s="191" customFormat="1" ht="10.7" customHeight="1" x14ac:dyDescent="0.2">
      <c r="A113" s="168"/>
      <c r="B113" s="40" t="s">
        <v>81</v>
      </c>
      <c r="C113" s="151">
        <v>0.2</v>
      </c>
      <c r="D113" s="152">
        <v>0</v>
      </c>
      <c r="E113" s="152">
        <v>14.6</v>
      </c>
      <c r="F113" s="153">
        <v>14.799999999999999</v>
      </c>
      <c r="G113" s="154">
        <v>19.031000035285945</v>
      </c>
      <c r="H113" s="183">
        <v>128.58783807625639</v>
      </c>
      <c r="I113" s="153">
        <v>-4.2310000352859465</v>
      </c>
      <c r="J113" s="154">
        <v>3.5527136788005009E-15</v>
      </c>
      <c r="K113" s="154">
        <v>0</v>
      </c>
      <c r="L113" s="154">
        <v>0</v>
      </c>
      <c r="M113" s="154">
        <v>0</v>
      </c>
      <c r="N113" s="46">
        <v>0</v>
      </c>
      <c r="O113" s="154">
        <v>8.8817841970012523E-16</v>
      </c>
      <c r="P113" s="41">
        <v>0</v>
      </c>
      <c r="R113" s="185"/>
      <c r="T113" s="4"/>
    </row>
    <row r="114" spans="1:20" s="191" customFormat="1" ht="10.7" customHeight="1" x14ac:dyDescent="0.2">
      <c r="A114" s="168"/>
      <c r="B114" s="184" t="s">
        <v>82</v>
      </c>
      <c r="C114" s="151">
        <v>0.7</v>
      </c>
      <c r="D114" s="152">
        <v>75</v>
      </c>
      <c r="E114" s="152">
        <v>727.3</v>
      </c>
      <c r="F114" s="153">
        <v>728</v>
      </c>
      <c r="G114" s="154">
        <v>43.616000060081497</v>
      </c>
      <c r="H114" s="183">
        <v>5.9912087994617442</v>
      </c>
      <c r="I114" s="153">
        <v>684.38399993991845</v>
      </c>
      <c r="J114" s="154">
        <v>7.1054273576010019E-15</v>
      </c>
      <c r="K114" s="154">
        <v>0</v>
      </c>
      <c r="L114" s="154">
        <v>0</v>
      </c>
      <c r="M114" s="154">
        <v>0</v>
      </c>
      <c r="N114" s="46">
        <v>0</v>
      </c>
      <c r="O114" s="154">
        <v>1.7763568394002505E-15</v>
      </c>
      <c r="P114" s="41" t="s">
        <v>149</v>
      </c>
      <c r="R114" s="185"/>
      <c r="T114" s="4"/>
    </row>
    <row r="115" spans="1:20" s="191" customFormat="1" ht="10.7" customHeight="1" x14ac:dyDescent="0.2">
      <c r="A115" s="168"/>
      <c r="B115" s="184" t="s">
        <v>83</v>
      </c>
      <c r="C115" s="151">
        <v>5.1369999999999996</v>
      </c>
      <c r="D115" s="152">
        <v>0</v>
      </c>
      <c r="E115" s="152">
        <v>0</v>
      </c>
      <c r="F115" s="153">
        <v>5.1369999999999996</v>
      </c>
      <c r="G115" s="154">
        <v>0</v>
      </c>
      <c r="H115" s="183">
        <v>0</v>
      </c>
      <c r="I115" s="153">
        <v>5.1369999999999996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149</v>
      </c>
      <c r="R115" s="185"/>
      <c r="T115" s="4"/>
    </row>
    <row r="116" spans="1:20" s="191" customFormat="1" ht="10.7" customHeight="1" x14ac:dyDescent="0.2">
      <c r="A116" s="169"/>
      <c r="B116" s="205" t="s">
        <v>84</v>
      </c>
      <c r="C116" s="151">
        <v>26447.481</v>
      </c>
      <c r="D116" s="152">
        <v>0</v>
      </c>
      <c r="E116" s="152">
        <v>251.40000000000146</v>
      </c>
      <c r="F116" s="153">
        <v>26698.881000000001</v>
      </c>
      <c r="G116" s="154">
        <v>9238.9458000036029</v>
      </c>
      <c r="H116" s="183">
        <v>34.604243526174756</v>
      </c>
      <c r="I116" s="153">
        <v>17459.935199996398</v>
      </c>
      <c r="J116" s="154">
        <v>0</v>
      </c>
      <c r="K116" s="154">
        <v>0</v>
      </c>
      <c r="L116" s="154">
        <v>2.4839999999994689</v>
      </c>
      <c r="M116" s="154">
        <v>0.1750000000001819</v>
      </c>
      <c r="N116" s="46">
        <v>6.6168872566798296E-4</v>
      </c>
      <c r="O116" s="154">
        <v>0.66474999999991269</v>
      </c>
      <c r="P116" s="41" t="s">
        <v>149</v>
      </c>
      <c r="R116" s="185"/>
      <c r="T116" s="4"/>
    </row>
    <row r="117" spans="1:20" s="191" customFormat="1" ht="10.7" customHeight="1" x14ac:dyDescent="0.2">
      <c r="A117" s="168"/>
      <c r="B117" s="40" t="s">
        <v>85</v>
      </c>
      <c r="C117" s="151">
        <v>23874.654999999999</v>
      </c>
      <c r="D117" s="152">
        <v>0</v>
      </c>
      <c r="E117" s="152">
        <v>-2014.0999999999985</v>
      </c>
      <c r="F117" s="153">
        <v>21860.555</v>
      </c>
      <c r="G117" s="154">
        <v>12042.091998276795</v>
      </c>
      <c r="H117" s="183">
        <v>55.085939027059439</v>
      </c>
      <c r="I117" s="153">
        <v>9818.4630017232048</v>
      </c>
      <c r="J117" s="154">
        <v>-5.4569682106375694E-12</v>
      </c>
      <c r="K117" s="154">
        <v>33.788000000000466</v>
      </c>
      <c r="L117" s="154">
        <v>0</v>
      </c>
      <c r="M117" s="154">
        <v>125.02999902343799</v>
      </c>
      <c r="N117" s="46">
        <v>0.52369342729115032</v>
      </c>
      <c r="O117" s="154">
        <v>39.704499755858251</v>
      </c>
      <c r="P117" s="41" t="s">
        <v>149</v>
      </c>
      <c r="R117" s="185"/>
      <c r="T117" s="4"/>
    </row>
    <row r="118" spans="1:20" s="191" customFormat="1" ht="10.7" customHeight="1" x14ac:dyDescent="0.2">
      <c r="A118" s="168"/>
      <c r="B118" s="196" t="s">
        <v>86</v>
      </c>
      <c r="C118" s="151">
        <v>212265.38399999999</v>
      </c>
      <c r="D118" s="154">
        <v>274.99999999999994</v>
      </c>
      <c r="E118" s="152">
        <v>1713.5999999999767</v>
      </c>
      <c r="F118" s="153">
        <v>213978.98399999997</v>
      </c>
      <c r="G118" s="154">
        <v>108797.21944850869</v>
      </c>
      <c r="H118" s="183">
        <v>50.844815418185512</v>
      </c>
      <c r="I118" s="153">
        <v>105181.76455149127</v>
      </c>
      <c r="J118" s="154">
        <v>2.5196033235524551</v>
      </c>
      <c r="K118" s="154">
        <v>38.107479555710924</v>
      </c>
      <c r="L118" s="154">
        <v>9.2406000002917636</v>
      </c>
      <c r="M118" s="154">
        <v>3680.6384589986201</v>
      </c>
      <c r="N118" s="46">
        <v>1.7339796012140256</v>
      </c>
      <c r="O118" s="154">
        <v>932.6265354695438</v>
      </c>
      <c r="P118" s="41" t="s">
        <v>149</v>
      </c>
      <c r="R118" s="185"/>
      <c r="T118" s="4"/>
    </row>
    <row r="119" spans="1:20" s="191" customFormat="1" ht="10.7" customHeight="1" x14ac:dyDescent="0.2">
      <c r="A119" s="168"/>
      <c r="B119" s="205"/>
      <c r="C119" s="151"/>
      <c r="D119" s="154"/>
      <c r="E119" s="152"/>
      <c r="F119" s="153"/>
      <c r="G119" s="154"/>
      <c r="H119" s="183"/>
      <c r="I119" s="153"/>
      <c r="J119" s="154"/>
      <c r="K119" s="154"/>
      <c r="L119" s="154"/>
      <c r="M119" s="154"/>
      <c r="N119" s="46"/>
      <c r="O119" s="154"/>
      <c r="P119" s="41"/>
      <c r="R119" s="185"/>
      <c r="T119" s="4"/>
    </row>
    <row r="120" spans="1:20" s="191" customFormat="1" ht="10.7" customHeight="1" x14ac:dyDescent="0.2">
      <c r="A120" s="168"/>
      <c r="B120" s="57" t="s">
        <v>87</v>
      </c>
      <c r="C120" s="151">
        <v>452.197</v>
      </c>
      <c r="D120" s="152">
        <v>-90</v>
      </c>
      <c r="E120" s="152">
        <v>-290</v>
      </c>
      <c r="F120" s="153">
        <v>162.197</v>
      </c>
      <c r="G120" s="154">
        <v>0.1</v>
      </c>
      <c r="H120" s="183">
        <v>6.1653421456623732E-2</v>
      </c>
      <c r="I120" s="153">
        <v>162.09700000000001</v>
      </c>
      <c r="J120" s="154">
        <v>0</v>
      </c>
      <c r="K120" s="154">
        <v>0</v>
      </c>
      <c r="L120" s="154">
        <v>0</v>
      </c>
      <c r="M120" s="154">
        <v>0</v>
      </c>
      <c r="N120" s="46">
        <v>0</v>
      </c>
      <c r="O120" s="154">
        <v>0</v>
      </c>
      <c r="P120" s="41" t="s">
        <v>149</v>
      </c>
      <c r="R120" s="185"/>
      <c r="T120" s="4"/>
    </row>
    <row r="121" spans="1:20" s="191" customFormat="1" ht="10.7" customHeight="1" x14ac:dyDescent="0.2">
      <c r="A121" s="168"/>
      <c r="B121" s="49" t="s">
        <v>88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3">
        <v>0</v>
      </c>
      <c r="I121" s="153" t="s">
        <v>64</v>
      </c>
      <c r="J121" s="154" t="s">
        <v>93</v>
      </c>
      <c r="K121" s="154" t="s">
        <v>93</v>
      </c>
      <c r="L121" s="154" t="s">
        <v>93</v>
      </c>
      <c r="M121" s="154" t="s">
        <v>93</v>
      </c>
      <c r="N121" s="46">
        <v>0</v>
      </c>
      <c r="O121" s="154">
        <v>0</v>
      </c>
      <c r="P121" s="41">
        <v>0</v>
      </c>
      <c r="R121" s="185"/>
      <c r="T121" s="4"/>
    </row>
    <row r="122" spans="1:20" s="191" customFormat="1" ht="10.7" customHeight="1" x14ac:dyDescent="0.2">
      <c r="A122" s="168"/>
      <c r="B122" s="49" t="s">
        <v>89</v>
      </c>
      <c r="C122" s="151">
        <v>1460.462</v>
      </c>
      <c r="D122" s="152">
        <v>590</v>
      </c>
      <c r="E122" s="152">
        <v>-929.9</v>
      </c>
      <c r="F122" s="153">
        <v>530.56200000000001</v>
      </c>
      <c r="G122" s="154">
        <v>364.74003709779663</v>
      </c>
      <c r="H122" s="183">
        <v>68.745978245293969</v>
      </c>
      <c r="I122" s="153">
        <v>165.82196290220338</v>
      </c>
      <c r="J122" s="154">
        <v>4.2618800024166559</v>
      </c>
      <c r="K122" s="154">
        <v>3.0930299980490652</v>
      </c>
      <c r="L122" s="154">
        <v>2.3244050021022469</v>
      </c>
      <c r="M122" s="154">
        <v>3.3364699912964966</v>
      </c>
      <c r="N122" s="46">
        <v>0.22845305056184251</v>
      </c>
      <c r="O122" s="154">
        <v>3.2539462484661161</v>
      </c>
      <c r="P122" s="41">
        <v>48.960264933807835</v>
      </c>
      <c r="R122" s="185"/>
      <c r="T122" s="4"/>
    </row>
    <row r="123" spans="1:20" s="191" customFormat="1" ht="10.7" customHeight="1" x14ac:dyDescent="0.2">
      <c r="A123" s="168"/>
      <c r="B123" s="205" t="s">
        <v>94</v>
      </c>
      <c r="C123" s="151">
        <v>1750.7</v>
      </c>
      <c r="D123" s="152">
        <v>-620</v>
      </c>
      <c r="E123" s="152">
        <v>-952</v>
      </c>
      <c r="F123" s="153">
        <v>798.7</v>
      </c>
      <c r="G123" s="154">
        <v>241.79135201802862</v>
      </c>
      <c r="H123" s="183">
        <v>30.273112810570755</v>
      </c>
      <c r="I123" s="153">
        <v>556.9086479819714</v>
      </c>
      <c r="J123" s="154">
        <v>3.0160299995316109</v>
      </c>
      <c r="K123" s="154">
        <v>5.6253500066399624</v>
      </c>
      <c r="L123" s="154">
        <v>10.617599994309273</v>
      </c>
      <c r="M123" s="154">
        <v>16.446150014251913</v>
      </c>
      <c r="N123" s="46">
        <v>0.93940423911874749</v>
      </c>
      <c r="O123" s="154">
        <v>8.9262825036831899</v>
      </c>
      <c r="P123" s="41" t="s">
        <v>149</v>
      </c>
      <c r="R123" s="185"/>
      <c r="T123" s="4"/>
    </row>
    <row r="124" spans="1:20" s="191" customFormat="1" ht="10.7" customHeight="1" x14ac:dyDescent="0.2">
      <c r="A124" s="168"/>
      <c r="B124" s="40" t="s">
        <v>90</v>
      </c>
      <c r="C124" s="151">
        <v>0</v>
      </c>
      <c r="D124" s="154"/>
      <c r="E124" s="152"/>
      <c r="F124" s="153">
        <v>0</v>
      </c>
      <c r="G124" s="154"/>
      <c r="H124" s="183"/>
      <c r="I124" s="153">
        <v>0</v>
      </c>
      <c r="J124" s="154"/>
      <c r="K124" s="154"/>
      <c r="L124" s="154"/>
      <c r="M124" s="154"/>
      <c r="N124" s="46"/>
      <c r="O124" s="154"/>
      <c r="P124" s="41"/>
      <c r="R124" s="185"/>
      <c r="T124" s="4"/>
    </row>
    <row r="125" spans="1:20" s="191" customFormat="1" ht="10.7" customHeight="1" x14ac:dyDescent="0.2">
      <c r="A125" s="168"/>
      <c r="B125" s="187" t="s">
        <v>91</v>
      </c>
      <c r="C125" s="224">
        <v>215928.74299999999</v>
      </c>
      <c r="D125" s="155">
        <v>154.99999999999994</v>
      </c>
      <c r="E125" s="155">
        <v>-458.30000000002337</v>
      </c>
      <c r="F125" s="156">
        <v>215470.44299999997</v>
      </c>
      <c r="G125" s="155">
        <v>109403.85083762452</v>
      </c>
      <c r="H125" s="188">
        <v>50.774412171986178</v>
      </c>
      <c r="I125" s="156">
        <v>106066.59216237545</v>
      </c>
      <c r="J125" s="155">
        <v>9.7975133255007218</v>
      </c>
      <c r="K125" s="155">
        <v>46.825859560399948</v>
      </c>
      <c r="L125" s="155">
        <v>22.182604996703283</v>
      </c>
      <c r="M125" s="155">
        <v>3700.4210790041684</v>
      </c>
      <c r="N125" s="58">
        <v>1.7137232531401196</v>
      </c>
      <c r="O125" s="155">
        <v>944.80676422169313</v>
      </c>
      <c r="P125" s="54" t="s">
        <v>149</v>
      </c>
      <c r="R125" s="189"/>
      <c r="T125" s="4"/>
    </row>
    <row r="126" spans="1:20" s="191" customFormat="1" ht="10.7" customHeight="1" x14ac:dyDescent="0.2">
      <c r="A126" s="168"/>
      <c r="F126" s="193"/>
      <c r="I126" s="193"/>
      <c r="N126" s="194"/>
      <c r="P126" s="194"/>
      <c r="R126" s="185"/>
    </row>
    <row r="127" spans="1:20" s="191" customFormat="1" ht="10.7" customHeight="1" x14ac:dyDescent="0.2">
      <c r="A127" s="168"/>
      <c r="F127" s="192"/>
      <c r="I127" s="193"/>
      <c r="N127" s="194"/>
      <c r="P127" s="194"/>
      <c r="R127" s="185"/>
    </row>
    <row r="128" spans="1:20" s="191" customFormat="1" ht="10.7" customHeight="1" x14ac:dyDescent="0.2">
      <c r="A128" s="168"/>
      <c r="B128" s="14"/>
      <c r="C128" s="15" t="s">
        <v>147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5"/>
    </row>
    <row r="129" spans="1:18" s="191" customFormat="1" ht="10.7" customHeight="1" x14ac:dyDescent="0.2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5"/>
    </row>
    <row r="130" spans="1:18" s="191" customFormat="1" ht="10.7" customHeight="1" x14ac:dyDescent="0.2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44468</v>
      </c>
      <c r="K130" s="33">
        <v>44475</v>
      </c>
      <c r="L130" s="33">
        <v>44482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5"/>
    </row>
    <row r="131" spans="1:18" s="191" customFormat="1" ht="10.7" customHeight="1" x14ac:dyDescent="0.2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5"/>
    </row>
    <row r="132" spans="1:18" s="191" customFormat="1" ht="10.7" customHeight="1" x14ac:dyDescent="0.2">
      <c r="A132" s="168"/>
      <c r="B132" s="40"/>
      <c r="C132" s="231" t="s">
        <v>145</v>
      </c>
      <c r="D132" s="236"/>
      <c r="E132" s="236"/>
      <c r="F132" s="236"/>
      <c r="G132" s="236"/>
      <c r="H132" s="236"/>
      <c r="I132" s="236"/>
      <c r="J132" s="236"/>
      <c r="K132" s="236"/>
      <c r="L132" s="236"/>
      <c r="M132" s="236"/>
      <c r="N132" s="236"/>
      <c r="O132" s="236"/>
      <c r="P132" s="41" t="s">
        <v>4</v>
      </c>
      <c r="R132" s="185"/>
    </row>
    <row r="133" spans="1:18" s="191" customFormat="1" ht="10.7" customHeight="1" x14ac:dyDescent="0.2">
      <c r="A133" s="169"/>
      <c r="B133" s="40" t="s">
        <v>62</v>
      </c>
      <c r="C133" s="151">
        <v>48607.1</v>
      </c>
      <c r="D133" s="152">
        <v>0</v>
      </c>
      <c r="E133" s="152">
        <v>0</v>
      </c>
      <c r="F133" s="153">
        <v>48607.1</v>
      </c>
      <c r="G133" s="154">
        <v>1640.0500000000002</v>
      </c>
      <c r="H133" s="183">
        <v>3.374095553941709</v>
      </c>
      <c r="I133" s="153">
        <v>46967.049999999996</v>
      </c>
      <c r="J133" s="154">
        <v>0.45000000000004547</v>
      </c>
      <c r="K133" s="154">
        <v>0.12999999999988177</v>
      </c>
      <c r="L133" s="154">
        <v>0.28999999999996362</v>
      </c>
      <c r="M133" s="154">
        <v>0.26000000000021828</v>
      </c>
      <c r="N133" s="46">
        <v>5.3490127985462673E-4</v>
      </c>
      <c r="O133" s="154">
        <v>0.28250000000002728</v>
      </c>
      <c r="P133" s="41" t="s">
        <v>149</v>
      </c>
      <c r="R133" s="185"/>
    </row>
    <row r="134" spans="1:18" s="191" customFormat="1" ht="10.7" customHeight="1" x14ac:dyDescent="0.2">
      <c r="A134" s="168"/>
      <c r="B134" s="40" t="s">
        <v>63</v>
      </c>
      <c r="C134" s="151">
        <v>42</v>
      </c>
      <c r="D134" s="152">
        <v>0</v>
      </c>
      <c r="E134" s="152">
        <v>0</v>
      </c>
      <c r="F134" s="153">
        <v>42</v>
      </c>
      <c r="G134" s="154">
        <v>2.41</v>
      </c>
      <c r="H134" s="183">
        <v>5.7380952380952381</v>
      </c>
      <c r="I134" s="153">
        <v>39.590000000000003</v>
      </c>
      <c r="J134" s="154">
        <v>0.29000000000000004</v>
      </c>
      <c r="K134" s="154">
        <v>0.10000000000000009</v>
      </c>
      <c r="L134" s="154">
        <v>1.17</v>
      </c>
      <c r="M134" s="154">
        <v>0.12000000000000011</v>
      </c>
      <c r="N134" s="46">
        <v>0</v>
      </c>
      <c r="O134" s="154">
        <v>0.42000000000000004</v>
      </c>
      <c r="P134" s="41" t="s">
        <v>150</v>
      </c>
      <c r="R134" s="185"/>
    </row>
    <row r="135" spans="1:18" s="191" customFormat="1" ht="10.7" customHeight="1" x14ac:dyDescent="0.2">
      <c r="A135" s="168"/>
      <c r="B135" s="40" t="s">
        <v>65</v>
      </c>
      <c r="C135" s="151">
        <v>0</v>
      </c>
      <c r="D135" s="152">
        <v>0</v>
      </c>
      <c r="E135" s="152">
        <v>0</v>
      </c>
      <c r="F135" s="153">
        <v>0</v>
      </c>
      <c r="G135" s="154">
        <v>0.67999999999999994</v>
      </c>
      <c r="H135" s="183" t="s">
        <v>151</v>
      </c>
      <c r="I135" s="153">
        <v>-0.67999999999999994</v>
      </c>
      <c r="J135" s="154">
        <v>0.01</v>
      </c>
      <c r="K135" s="154">
        <v>0.31</v>
      </c>
      <c r="L135" s="154">
        <v>0</v>
      </c>
      <c r="M135" s="154">
        <v>0.35999999999999993</v>
      </c>
      <c r="N135" s="46" t="s">
        <v>64</v>
      </c>
      <c r="O135" s="154">
        <v>0.16999999999999998</v>
      </c>
      <c r="P135" s="41" t="s">
        <v>150</v>
      </c>
      <c r="R135" s="185"/>
    </row>
    <row r="136" spans="1:18" s="191" customFormat="1" ht="10.7" customHeight="1" x14ac:dyDescent="0.2">
      <c r="A136" s="168"/>
      <c r="B136" s="40" t="s">
        <v>66</v>
      </c>
      <c r="C136" s="151">
        <v>45888.800000000003</v>
      </c>
      <c r="D136" s="152">
        <v>0</v>
      </c>
      <c r="E136" s="152">
        <v>0</v>
      </c>
      <c r="F136" s="153">
        <v>45888.800000000003</v>
      </c>
      <c r="G136" s="154">
        <v>13317.550000000001</v>
      </c>
      <c r="H136" s="183">
        <v>29.021351615208939</v>
      </c>
      <c r="I136" s="153">
        <v>32571.25</v>
      </c>
      <c r="J136" s="154">
        <v>0.8500000000003638</v>
      </c>
      <c r="K136" s="154">
        <v>0</v>
      </c>
      <c r="L136" s="154">
        <v>2.6200000000008004</v>
      </c>
      <c r="M136" s="154">
        <v>0</v>
      </c>
      <c r="N136" s="46">
        <v>0</v>
      </c>
      <c r="O136" s="154">
        <v>0.86750000000029104</v>
      </c>
      <c r="P136" s="41" t="s">
        <v>149</v>
      </c>
      <c r="R136" s="185"/>
    </row>
    <row r="137" spans="1:18" s="191" customFormat="1" ht="10.7" customHeight="1" x14ac:dyDescent="0.2">
      <c r="A137" s="168"/>
      <c r="B137" s="40" t="s">
        <v>67</v>
      </c>
      <c r="C137" s="151">
        <v>0.3</v>
      </c>
      <c r="D137" s="152">
        <v>0</v>
      </c>
      <c r="E137" s="152">
        <v>0</v>
      </c>
      <c r="F137" s="153">
        <v>0.3</v>
      </c>
      <c r="G137" s="154">
        <v>0.04</v>
      </c>
      <c r="H137" s="183">
        <v>13.333333333333334</v>
      </c>
      <c r="I137" s="153">
        <v>0.26</v>
      </c>
      <c r="J137" s="154">
        <v>0</v>
      </c>
      <c r="K137" s="154">
        <v>0</v>
      </c>
      <c r="L137" s="154">
        <v>0</v>
      </c>
      <c r="M137" s="154">
        <v>0</v>
      </c>
      <c r="N137" s="46">
        <v>0</v>
      </c>
      <c r="O137" s="154">
        <v>0</v>
      </c>
      <c r="P137" s="41" t="s">
        <v>150</v>
      </c>
      <c r="R137" s="185"/>
    </row>
    <row r="138" spans="1:18" s="191" customFormat="1" ht="10.7" customHeight="1" x14ac:dyDescent="0.2">
      <c r="A138" s="168"/>
      <c r="B138" s="40" t="s">
        <v>68</v>
      </c>
      <c r="C138" s="151">
        <v>15.7</v>
      </c>
      <c r="D138" s="152">
        <v>0</v>
      </c>
      <c r="E138" s="152">
        <v>0</v>
      </c>
      <c r="F138" s="153">
        <v>15.7</v>
      </c>
      <c r="G138" s="154">
        <v>0.02</v>
      </c>
      <c r="H138" s="183">
        <v>0.12738853503184713</v>
      </c>
      <c r="I138" s="153">
        <v>15.68</v>
      </c>
      <c r="J138" s="154">
        <v>0</v>
      </c>
      <c r="K138" s="154">
        <v>0.02</v>
      </c>
      <c r="L138" s="154">
        <v>0</v>
      </c>
      <c r="M138" s="154">
        <v>0</v>
      </c>
      <c r="N138" s="46">
        <v>0</v>
      </c>
      <c r="O138" s="154">
        <v>5.0000000000000001E-3</v>
      </c>
      <c r="P138" s="41" t="s">
        <v>150</v>
      </c>
      <c r="R138" s="185"/>
    </row>
    <row r="139" spans="1:18" s="191" customFormat="1" ht="11.25" customHeight="1" x14ac:dyDescent="0.2">
      <c r="A139" s="168"/>
      <c r="B139" s="40" t="s">
        <v>69</v>
      </c>
      <c r="C139" s="151">
        <v>0.2</v>
      </c>
      <c r="D139" s="152">
        <v>0</v>
      </c>
      <c r="E139" s="152">
        <v>0</v>
      </c>
      <c r="F139" s="153">
        <v>0.2</v>
      </c>
      <c r="G139" s="154">
        <v>0.15</v>
      </c>
      <c r="H139" s="183">
        <v>75</v>
      </c>
      <c r="I139" s="153">
        <v>5.0000000000000017E-2</v>
      </c>
      <c r="J139" s="154">
        <v>0</v>
      </c>
      <c r="K139" s="154">
        <v>0</v>
      </c>
      <c r="L139" s="154">
        <v>0.15</v>
      </c>
      <c r="M139" s="154">
        <v>0</v>
      </c>
      <c r="N139" s="46">
        <v>0</v>
      </c>
      <c r="O139" s="154">
        <v>3.7499999999999999E-2</v>
      </c>
      <c r="P139" s="41" t="s">
        <v>150</v>
      </c>
      <c r="R139" s="185"/>
    </row>
    <row r="140" spans="1:18" s="191" customFormat="1" ht="10.7" customHeight="1" x14ac:dyDescent="0.2">
      <c r="A140" s="168"/>
      <c r="B140" s="40" t="s">
        <v>70</v>
      </c>
      <c r="C140" s="151">
        <v>4.3</v>
      </c>
      <c r="D140" s="152">
        <v>0</v>
      </c>
      <c r="E140" s="152">
        <v>0</v>
      </c>
      <c r="F140" s="153">
        <v>4.3</v>
      </c>
      <c r="G140" s="154">
        <v>0.03</v>
      </c>
      <c r="H140" s="183">
        <v>0.69767441860465118</v>
      </c>
      <c r="I140" s="153">
        <v>4.2699999999999996</v>
      </c>
      <c r="J140" s="154">
        <v>0</v>
      </c>
      <c r="K140" s="154">
        <v>0</v>
      </c>
      <c r="L140" s="154">
        <v>0</v>
      </c>
      <c r="M140" s="154">
        <v>0.03</v>
      </c>
      <c r="N140" s="46">
        <v>0.69767441860465118</v>
      </c>
      <c r="O140" s="154">
        <v>7.4999999999999997E-3</v>
      </c>
      <c r="P140" s="41" t="s">
        <v>150</v>
      </c>
      <c r="R140" s="185"/>
    </row>
    <row r="141" spans="1:18" s="191" customFormat="1" ht="10.7" customHeight="1" x14ac:dyDescent="0.2">
      <c r="A141" s="168"/>
      <c r="B141" s="40" t="s">
        <v>71</v>
      </c>
      <c r="C141" s="151">
        <v>25401.3</v>
      </c>
      <c r="D141" s="152">
        <v>0</v>
      </c>
      <c r="E141" s="152">
        <v>0</v>
      </c>
      <c r="F141" s="153">
        <v>25401.3</v>
      </c>
      <c r="G141" s="154">
        <v>678.37</v>
      </c>
      <c r="H141" s="183">
        <v>2.6706113466633599</v>
      </c>
      <c r="I141" s="153">
        <v>24722.93</v>
      </c>
      <c r="J141" s="154">
        <v>0</v>
      </c>
      <c r="K141" s="154">
        <v>0</v>
      </c>
      <c r="L141" s="154">
        <v>0</v>
      </c>
      <c r="M141" s="154">
        <v>0</v>
      </c>
      <c r="N141" s="46">
        <v>0</v>
      </c>
      <c r="O141" s="154">
        <v>0</v>
      </c>
      <c r="P141" s="41" t="s">
        <v>149</v>
      </c>
      <c r="R141" s="185"/>
    </row>
    <row r="142" spans="1:18" s="191" customFormat="1" ht="10.7" customHeight="1" x14ac:dyDescent="0.2">
      <c r="A142" s="168"/>
      <c r="B142" s="40" t="s">
        <v>72</v>
      </c>
      <c r="C142" s="151">
        <v>24831.8</v>
      </c>
      <c r="D142" s="152">
        <v>0</v>
      </c>
      <c r="E142" s="152">
        <v>-215.29999999999927</v>
      </c>
      <c r="F142" s="153">
        <v>24616.5</v>
      </c>
      <c r="G142" s="154">
        <v>3305.9399999999996</v>
      </c>
      <c r="H142" s="183">
        <v>13.429772713423921</v>
      </c>
      <c r="I142" s="153">
        <v>21310.560000000001</v>
      </c>
      <c r="J142" s="154">
        <v>0</v>
      </c>
      <c r="K142" s="154">
        <v>0</v>
      </c>
      <c r="L142" s="154">
        <v>0</v>
      </c>
      <c r="M142" s="154">
        <v>1851.9599999999996</v>
      </c>
      <c r="N142" s="46">
        <v>7.458017542022727</v>
      </c>
      <c r="O142" s="154">
        <v>462.9899999999999</v>
      </c>
      <c r="P142" s="41">
        <v>44.028121557701041</v>
      </c>
      <c r="R142" s="185"/>
    </row>
    <row r="143" spans="1:18" s="191" customFormat="1" ht="10.7" customHeight="1" x14ac:dyDescent="0.2">
      <c r="A143" s="168"/>
      <c r="B143" s="47" t="s">
        <v>73</v>
      </c>
      <c r="C143" s="151">
        <v>144791.5</v>
      </c>
      <c r="D143" s="152">
        <v>0</v>
      </c>
      <c r="E143" s="152">
        <v>-215.29999999998836</v>
      </c>
      <c r="F143" s="153">
        <v>144576.20000000001</v>
      </c>
      <c r="G143" s="154">
        <v>18945.240000000005</v>
      </c>
      <c r="H143" s="183">
        <v>13.103982536544745</v>
      </c>
      <c r="I143" s="153">
        <v>125630.96</v>
      </c>
      <c r="J143" s="154">
        <v>1.6000000000004093</v>
      </c>
      <c r="K143" s="154">
        <v>0.55999999999988193</v>
      </c>
      <c r="L143" s="154">
        <v>4.2300000000007643</v>
      </c>
      <c r="M143" s="154">
        <v>1852.7299999999998</v>
      </c>
      <c r="N143" s="46">
        <v>8.156226861907232</v>
      </c>
      <c r="O143" s="154">
        <v>464.7800000000002</v>
      </c>
      <c r="P143" s="41" t="s">
        <v>149</v>
      </c>
      <c r="R143" s="185"/>
    </row>
    <row r="144" spans="1:18" s="191" customFormat="1" ht="10.7" customHeight="1" x14ac:dyDescent="0.2">
      <c r="A144" s="168"/>
      <c r="B144" s="40"/>
      <c r="C144" s="151"/>
      <c r="D144" s="154"/>
      <c r="E144" s="152"/>
      <c r="F144" s="153"/>
      <c r="G144" s="154"/>
      <c r="H144" s="183"/>
      <c r="I144" s="153"/>
      <c r="J144" s="154"/>
      <c r="K144" s="154"/>
      <c r="L144" s="154"/>
      <c r="M144" s="154"/>
      <c r="N144" s="46"/>
      <c r="O144" s="154"/>
      <c r="P144" s="41"/>
      <c r="R144" s="185"/>
    </row>
    <row r="145" spans="1:18" s="191" customFormat="1" ht="10.7" customHeight="1" x14ac:dyDescent="0.2">
      <c r="A145" s="168"/>
      <c r="B145" s="40" t="s">
        <v>74</v>
      </c>
      <c r="C145" s="151">
        <v>0.59599999999999997</v>
      </c>
      <c r="D145" s="152">
        <v>0</v>
      </c>
      <c r="E145" s="152">
        <v>0</v>
      </c>
      <c r="F145" s="153">
        <v>0.59599999999999997</v>
      </c>
      <c r="G145" s="154">
        <v>0</v>
      </c>
      <c r="H145" s="183">
        <v>0</v>
      </c>
      <c r="I145" s="153">
        <v>0.59599999999999997</v>
      </c>
      <c r="J145" s="154">
        <v>0</v>
      </c>
      <c r="K145" s="154">
        <v>0</v>
      </c>
      <c r="L145" s="154">
        <v>0</v>
      </c>
      <c r="M145" s="154">
        <v>0</v>
      </c>
      <c r="N145" s="46">
        <v>0</v>
      </c>
      <c r="O145" s="154">
        <v>0</v>
      </c>
      <c r="P145" s="41" t="s">
        <v>150</v>
      </c>
      <c r="R145" s="185"/>
    </row>
    <row r="146" spans="1:18" s="191" customFormat="1" ht="10.7" customHeight="1" x14ac:dyDescent="0.2">
      <c r="A146" s="168"/>
      <c r="B146" s="40" t="s">
        <v>75</v>
      </c>
      <c r="C146" s="151">
        <v>282.00200000000001</v>
      </c>
      <c r="D146" s="152">
        <v>0</v>
      </c>
      <c r="E146" s="152">
        <v>-20</v>
      </c>
      <c r="F146" s="153">
        <v>262.00200000000001</v>
      </c>
      <c r="G146" s="154">
        <v>0.53</v>
      </c>
      <c r="H146" s="183">
        <v>0.20228853214860953</v>
      </c>
      <c r="I146" s="153">
        <v>261.47200000000004</v>
      </c>
      <c r="J146" s="154">
        <v>8.0000000000000016E-2</v>
      </c>
      <c r="K146" s="154">
        <v>0.10999999999999999</v>
      </c>
      <c r="L146" s="154">
        <v>8.0000000000000016E-2</v>
      </c>
      <c r="M146" s="154">
        <v>0</v>
      </c>
      <c r="N146" s="46">
        <v>0</v>
      </c>
      <c r="O146" s="154">
        <v>6.7500000000000004E-2</v>
      </c>
      <c r="P146" s="41" t="s">
        <v>149</v>
      </c>
      <c r="R146" s="185"/>
    </row>
    <row r="147" spans="1:18" s="191" customFormat="1" ht="10.7" customHeight="1" x14ac:dyDescent="0.2">
      <c r="A147" s="168"/>
      <c r="B147" s="40" t="s">
        <v>157</v>
      </c>
      <c r="C147" s="151">
        <v>5.4349999999999996</v>
      </c>
      <c r="D147" s="152">
        <v>0</v>
      </c>
      <c r="E147" s="152">
        <v>0</v>
      </c>
      <c r="F147" s="153">
        <v>5.4349999999999996</v>
      </c>
      <c r="G147" s="154">
        <v>0</v>
      </c>
      <c r="H147" s="183">
        <v>0</v>
      </c>
      <c r="I147" s="153">
        <v>5.4349999999999996</v>
      </c>
      <c r="J147" s="154">
        <v>0</v>
      </c>
      <c r="K147" s="154">
        <v>0</v>
      </c>
      <c r="L147" s="154">
        <v>0</v>
      </c>
      <c r="M147" s="154">
        <v>0</v>
      </c>
      <c r="N147" s="46">
        <v>0</v>
      </c>
      <c r="O147" s="154">
        <v>0</v>
      </c>
      <c r="P147" s="41" t="s">
        <v>150</v>
      </c>
      <c r="R147" s="185"/>
    </row>
    <row r="148" spans="1:18" s="191" customFormat="1" ht="10.7" customHeight="1" x14ac:dyDescent="0.2">
      <c r="A148" s="168"/>
      <c r="B148" s="40" t="s">
        <v>76</v>
      </c>
      <c r="C148" s="151">
        <v>16.213999999999999</v>
      </c>
      <c r="D148" s="152">
        <v>0</v>
      </c>
      <c r="E148" s="152">
        <v>0</v>
      </c>
      <c r="F148" s="153">
        <v>16.213999999999999</v>
      </c>
      <c r="G148" s="154">
        <v>0</v>
      </c>
      <c r="H148" s="183">
        <v>0</v>
      </c>
      <c r="I148" s="153">
        <v>16.213999999999999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149</v>
      </c>
      <c r="R148" s="185"/>
    </row>
    <row r="149" spans="1:18" s="191" customFormat="1" ht="10.7" customHeight="1" x14ac:dyDescent="0.2">
      <c r="A149" s="168"/>
      <c r="B149" s="40" t="s">
        <v>77</v>
      </c>
      <c r="C149" s="151">
        <v>1156.5840000000001</v>
      </c>
      <c r="D149" s="152">
        <v>0</v>
      </c>
      <c r="E149" s="152">
        <v>0</v>
      </c>
      <c r="F149" s="153">
        <v>1156.5840000000001</v>
      </c>
      <c r="G149" s="154">
        <v>329.69300000000004</v>
      </c>
      <c r="H149" s="183">
        <v>28.505754878158442</v>
      </c>
      <c r="I149" s="153">
        <v>826.89100000000008</v>
      </c>
      <c r="J149" s="154">
        <v>0</v>
      </c>
      <c r="K149" s="154">
        <v>0</v>
      </c>
      <c r="L149" s="154">
        <v>0</v>
      </c>
      <c r="M149" s="154">
        <v>329.09300000000002</v>
      </c>
      <c r="N149" s="46">
        <v>28.453877971682122</v>
      </c>
      <c r="O149" s="154">
        <v>82.273250000000004</v>
      </c>
      <c r="P149" s="41">
        <v>8.0505449827252491</v>
      </c>
      <c r="R149" s="185"/>
    </row>
    <row r="150" spans="1:18" s="191" customFormat="1" ht="10.7" customHeight="1" x14ac:dyDescent="0.2">
      <c r="A150" s="168"/>
      <c r="B150" s="40" t="s">
        <v>78</v>
      </c>
      <c r="C150" s="151">
        <v>15649.616</v>
      </c>
      <c r="D150" s="152">
        <v>0</v>
      </c>
      <c r="E150" s="152">
        <v>46.100000000000364</v>
      </c>
      <c r="F150" s="153">
        <v>15695.716</v>
      </c>
      <c r="G150" s="154">
        <v>4158.7880000000005</v>
      </c>
      <c r="H150" s="183">
        <v>26.49632549416669</v>
      </c>
      <c r="I150" s="153">
        <v>11536.928</v>
      </c>
      <c r="J150" s="154">
        <v>0</v>
      </c>
      <c r="K150" s="154">
        <v>0</v>
      </c>
      <c r="L150" s="154">
        <v>0</v>
      </c>
      <c r="M150" s="154">
        <v>1369.3850000000007</v>
      </c>
      <c r="N150" s="46">
        <v>8.7502786010851672</v>
      </c>
      <c r="O150" s="154">
        <v>342.34625000000017</v>
      </c>
      <c r="P150" s="41">
        <v>31.699589231662372</v>
      </c>
      <c r="R150" s="185"/>
    </row>
    <row r="151" spans="1:18" s="191" customFormat="1" ht="10.7" customHeight="1" x14ac:dyDescent="0.2">
      <c r="A151" s="168"/>
      <c r="B151" s="40" t="s">
        <v>79</v>
      </c>
      <c r="C151" s="151">
        <v>18.181000000000001</v>
      </c>
      <c r="D151" s="152">
        <v>0</v>
      </c>
      <c r="E151" s="152">
        <v>0</v>
      </c>
      <c r="F151" s="153">
        <v>18.181000000000001</v>
      </c>
      <c r="G151" s="154">
        <v>1.1800000190734865</v>
      </c>
      <c r="H151" s="183">
        <v>6.4902921680517371</v>
      </c>
      <c r="I151" s="153">
        <v>17.000999980926515</v>
      </c>
      <c r="J151" s="154">
        <v>0</v>
      </c>
      <c r="K151" s="154">
        <v>0.94000001144409207</v>
      </c>
      <c r="L151" s="154">
        <v>0</v>
      </c>
      <c r="M151" s="154">
        <v>0</v>
      </c>
      <c r="N151" s="46">
        <v>0</v>
      </c>
      <c r="O151" s="154">
        <v>0.23500000286102302</v>
      </c>
      <c r="P151" s="41" t="s">
        <v>149</v>
      </c>
      <c r="R151" s="185"/>
    </row>
    <row r="152" spans="1:18" s="191" customFormat="1" ht="10.7" customHeight="1" x14ac:dyDescent="0.2">
      <c r="A152" s="168"/>
      <c r="B152" s="40" t="s">
        <v>80</v>
      </c>
      <c r="C152" s="151">
        <v>17.082999999999998</v>
      </c>
      <c r="D152" s="152">
        <v>0</v>
      </c>
      <c r="E152" s="152">
        <v>0</v>
      </c>
      <c r="F152" s="153">
        <v>17.082999999999998</v>
      </c>
      <c r="G152" s="154">
        <v>0</v>
      </c>
      <c r="H152" s="183">
        <v>0</v>
      </c>
      <c r="I152" s="153">
        <v>17.082999999999998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149</v>
      </c>
      <c r="R152" s="185"/>
    </row>
    <row r="153" spans="1:18" s="191" customFormat="1" ht="10.7" customHeight="1" x14ac:dyDescent="0.2">
      <c r="A153" s="168"/>
      <c r="B153" s="40" t="s">
        <v>81</v>
      </c>
      <c r="C153" s="151">
        <v>0.2</v>
      </c>
      <c r="D153" s="152">
        <v>0</v>
      </c>
      <c r="E153" s="152">
        <v>0</v>
      </c>
      <c r="F153" s="153">
        <v>0.2</v>
      </c>
      <c r="G153" s="154">
        <v>0</v>
      </c>
      <c r="H153" s="183">
        <v>0</v>
      </c>
      <c r="I153" s="153">
        <v>0.2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 t="s">
        <v>149</v>
      </c>
      <c r="R153" s="185"/>
    </row>
    <row r="154" spans="1:18" s="191" customFormat="1" ht="10.7" customHeight="1" x14ac:dyDescent="0.2">
      <c r="A154" s="168"/>
      <c r="B154" s="184" t="s">
        <v>82</v>
      </c>
      <c r="C154" s="151">
        <v>0.7</v>
      </c>
      <c r="D154" s="152">
        <v>299.99999999999989</v>
      </c>
      <c r="E154" s="152">
        <v>479.19999999999993</v>
      </c>
      <c r="F154" s="153">
        <v>479.89999999999992</v>
      </c>
      <c r="G154" s="154">
        <v>0</v>
      </c>
      <c r="H154" s="183">
        <v>0</v>
      </c>
      <c r="I154" s="153">
        <v>479.89999999999992</v>
      </c>
      <c r="J154" s="154">
        <v>0</v>
      </c>
      <c r="K154" s="154">
        <v>0</v>
      </c>
      <c r="L154" s="154">
        <v>0</v>
      </c>
      <c r="M154" s="154">
        <v>0</v>
      </c>
      <c r="N154" s="46">
        <v>0</v>
      </c>
      <c r="O154" s="154">
        <v>0</v>
      </c>
      <c r="P154" s="41" t="s">
        <v>149</v>
      </c>
      <c r="R154" s="185"/>
    </row>
    <row r="155" spans="1:18" s="191" customFormat="1" ht="10.7" customHeight="1" x14ac:dyDescent="0.2">
      <c r="A155" s="168"/>
      <c r="B155" s="184" t="s">
        <v>83</v>
      </c>
      <c r="C155" s="151">
        <v>5.1369999999999996</v>
      </c>
      <c r="D155" s="152">
        <v>0</v>
      </c>
      <c r="E155" s="152">
        <v>0</v>
      </c>
      <c r="F155" s="153">
        <v>5.1369999999999996</v>
      </c>
      <c r="G155" s="154">
        <v>0</v>
      </c>
      <c r="H155" s="183">
        <v>0</v>
      </c>
      <c r="I155" s="153">
        <v>5.1369999999999996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150</v>
      </c>
      <c r="R155" s="185"/>
    </row>
    <row r="156" spans="1:18" s="191" customFormat="1" ht="10.7" customHeight="1" x14ac:dyDescent="0.2">
      <c r="A156" s="168"/>
      <c r="B156" s="205" t="s">
        <v>84</v>
      </c>
      <c r="C156" s="151">
        <v>26447.481</v>
      </c>
      <c r="D156" s="152">
        <v>0</v>
      </c>
      <c r="E156" s="152">
        <v>10</v>
      </c>
      <c r="F156" s="153">
        <v>26457.481</v>
      </c>
      <c r="G156" s="154">
        <v>2243.5299999999997</v>
      </c>
      <c r="H156" s="183">
        <v>8.4797566329160343</v>
      </c>
      <c r="I156" s="153">
        <v>24213.951000000001</v>
      </c>
      <c r="J156" s="154">
        <v>0</v>
      </c>
      <c r="K156" s="154">
        <v>0</v>
      </c>
      <c r="L156" s="154">
        <v>0</v>
      </c>
      <c r="M156" s="154">
        <v>0</v>
      </c>
      <c r="N156" s="46">
        <v>0</v>
      </c>
      <c r="O156" s="154">
        <v>0</v>
      </c>
      <c r="P156" s="41" t="s">
        <v>149</v>
      </c>
      <c r="R156" s="185"/>
    </row>
    <row r="157" spans="1:18" s="191" customFormat="1" ht="10.7" customHeight="1" x14ac:dyDescent="0.2">
      <c r="A157" s="168"/>
      <c r="B157" s="40" t="s">
        <v>85</v>
      </c>
      <c r="C157" s="151">
        <v>23874.654999999999</v>
      </c>
      <c r="D157" s="152">
        <v>-120</v>
      </c>
      <c r="E157" s="152">
        <v>-356</v>
      </c>
      <c r="F157" s="153">
        <v>23518.654999999999</v>
      </c>
      <c r="G157" s="154">
        <v>251.75700170898438</v>
      </c>
      <c r="H157" s="183">
        <v>1.0704566298922469</v>
      </c>
      <c r="I157" s="153">
        <v>23266.897998291013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154">
        <v>0</v>
      </c>
      <c r="P157" s="41" t="s">
        <v>149</v>
      </c>
      <c r="R157" s="185"/>
    </row>
    <row r="158" spans="1:18" s="191" customFormat="1" ht="10.7" customHeight="1" x14ac:dyDescent="0.2">
      <c r="A158" s="168"/>
      <c r="B158" s="196" t="s">
        <v>86</v>
      </c>
      <c r="C158" s="151">
        <v>212265.38399999999</v>
      </c>
      <c r="D158" s="154">
        <v>179.99999999999989</v>
      </c>
      <c r="E158" s="152">
        <v>-55.999999999970896</v>
      </c>
      <c r="F158" s="153">
        <v>212209.38400000002</v>
      </c>
      <c r="G158" s="154">
        <v>25930.718001728063</v>
      </c>
      <c r="H158" s="183">
        <v>12.219402136207162</v>
      </c>
      <c r="I158" s="153">
        <v>186278.66599827196</v>
      </c>
      <c r="J158" s="154">
        <v>1.6800000000004094</v>
      </c>
      <c r="K158" s="154">
        <v>1.6100000114439741</v>
      </c>
      <c r="L158" s="154">
        <v>4.3100000000007643</v>
      </c>
      <c r="M158" s="154">
        <v>3551.2080000000005</v>
      </c>
      <c r="N158" s="46">
        <v>1.6730038280758961</v>
      </c>
      <c r="O158" s="154">
        <v>889.70200000286138</v>
      </c>
      <c r="P158" s="41" t="s">
        <v>149</v>
      </c>
      <c r="R158" s="185"/>
    </row>
    <row r="159" spans="1:18" s="191" customFormat="1" ht="10.7" customHeight="1" x14ac:dyDescent="0.2">
      <c r="A159" s="168"/>
      <c r="B159" s="205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154"/>
      <c r="P159" s="41"/>
      <c r="R159" s="185"/>
    </row>
    <row r="160" spans="1:18" ht="10.7" customHeight="1" x14ac:dyDescent="0.2">
      <c r="B160" s="57" t="s">
        <v>87</v>
      </c>
      <c r="C160" s="151">
        <v>452.197</v>
      </c>
      <c r="D160" s="152">
        <v>-90</v>
      </c>
      <c r="E160" s="152">
        <v>-90</v>
      </c>
      <c r="F160" s="153">
        <v>362.197</v>
      </c>
      <c r="G160" s="154">
        <v>0.1</v>
      </c>
      <c r="H160" s="183">
        <v>2.7609284450174906E-2</v>
      </c>
      <c r="I160" s="153">
        <v>362.09699999999998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150</v>
      </c>
      <c r="Q160" s="191"/>
    </row>
    <row r="161" spans="1:254" ht="10.7" customHeight="1" x14ac:dyDescent="0.2">
      <c r="B161" s="49" t="s">
        <v>88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3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150</v>
      </c>
      <c r="Q161" s="191"/>
    </row>
    <row r="162" spans="1:254" ht="10.7" customHeight="1" x14ac:dyDescent="0.2">
      <c r="B162" s="49" t="s">
        <v>89</v>
      </c>
      <c r="C162" s="151">
        <v>1460.462</v>
      </c>
      <c r="D162" s="152">
        <v>90</v>
      </c>
      <c r="E162" s="152">
        <v>326</v>
      </c>
      <c r="F162" s="153">
        <v>1786.462</v>
      </c>
      <c r="G162" s="154">
        <v>600</v>
      </c>
      <c r="H162" s="183">
        <v>33.585936896502695</v>
      </c>
      <c r="I162" s="153">
        <v>1186.462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 t="s">
        <v>149</v>
      </c>
      <c r="Q162" s="191"/>
    </row>
    <row r="163" spans="1:254" s="191" customFormat="1" ht="10.7" customHeight="1" x14ac:dyDescent="0.2">
      <c r="A163" s="168"/>
      <c r="B163" s="40" t="s">
        <v>94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3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5"/>
    </row>
    <row r="164" spans="1:254" ht="10.7" customHeight="1" x14ac:dyDescent="0.2">
      <c r="B164" s="40" t="s">
        <v>90</v>
      </c>
      <c r="C164" s="151">
        <v>0</v>
      </c>
      <c r="D164" s="152"/>
      <c r="E164" s="152"/>
      <c r="F164" s="153">
        <v>0</v>
      </c>
      <c r="G164" s="154"/>
      <c r="H164" s="183"/>
      <c r="I164" s="153">
        <v>0</v>
      </c>
      <c r="J164" s="154"/>
      <c r="K164" s="154"/>
      <c r="L164" s="154"/>
      <c r="M164" s="154"/>
      <c r="N164" s="46"/>
      <c r="O164" s="154"/>
      <c r="P164" s="41"/>
      <c r="Q164" s="191"/>
    </row>
    <row r="165" spans="1:254" ht="10.7" customHeight="1" x14ac:dyDescent="0.2">
      <c r="B165" s="197" t="s">
        <v>91</v>
      </c>
      <c r="C165" s="157">
        <v>214178.04300000001</v>
      </c>
      <c r="D165" s="155">
        <v>179.99999999999989</v>
      </c>
      <c r="E165" s="155">
        <v>180.0000000000291</v>
      </c>
      <c r="F165" s="156">
        <v>214358.04300000003</v>
      </c>
      <c r="G165" s="155">
        <v>26530.818001728061</v>
      </c>
      <c r="H165" s="188">
        <v>12.376870786102511</v>
      </c>
      <c r="I165" s="156">
        <v>187827.22499827197</v>
      </c>
      <c r="J165" s="155">
        <v>1.6800000000004094</v>
      </c>
      <c r="K165" s="155">
        <v>1.6100000114439741</v>
      </c>
      <c r="L165" s="155">
        <v>4.3099999999976717</v>
      </c>
      <c r="M165" s="155">
        <v>3551.2080000000005</v>
      </c>
      <c r="N165" s="58">
        <v>1.6580635205449143</v>
      </c>
      <c r="O165" s="155">
        <v>889.7020000028607</v>
      </c>
      <c r="P165" s="54" t="s">
        <v>149</v>
      </c>
      <c r="Q165" s="191"/>
    </row>
    <row r="166" spans="1:254" ht="10.7" customHeight="1" x14ac:dyDescent="0.2">
      <c r="B166" s="198" t="s">
        <v>167</v>
      </c>
      <c r="C166" s="198"/>
      <c r="D166" s="198"/>
      <c r="E166" s="198"/>
      <c r="F166" s="199"/>
      <c r="G166" s="198"/>
      <c r="H166" s="198"/>
      <c r="I166" s="200"/>
      <c r="J166" s="198"/>
      <c r="K166" s="198"/>
      <c r="L166" s="198"/>
      <c r="M166" s="198"/>
      <c r="N166" s="201"/>
      <c r="O166" s="198"/>
      <c r="P166" s="201"/>
      <c r="Q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8"/>
      <c r="CH166" s="198"/>
      <c r="CI166" s="198"/>
      <c r="CJ166" s="198"/>
      <c r="CK166" s="198"/>
      <c r="CL166" s="198"/>
      <c r="CM166" s="198"/>
      <c r="CN166" s="198"/>
      <c r="CO166" s="198"/>
      <c r="CP166" s="198"/>
      <c r="CQ166" s="198"/>
      <c r="CR166" s="198"/>
      <c r="CS166" s="198"/>
      <c r="CT166" s="198"/>
      <c r="CU166" s="198"/>
      <c r="CV166" s="198"/>
      <c r="CW166" s="198"/>
      <c r="CX166" s="198"/>
      <c r="CY166" s="198"/>
      <c r="CZ166" s="198"/>
      <c r="DA166" s="198"/>
      <c r="DB166" s="198"/>
      <c r="DC166" s="198"/>
      <c r="DD166" s="198"/>
      <c r="DE166" s="198"/>
      <c r="DF166" s="198"/>
      <c r="DG166" s="198"/>
      <c r="DH166" s="198"/>
      <c r="DI166" s="198"/>
      <c r="DJ166" s="198"/>
      <c r="DK166" s="198"/>
      <c r="DL166" s="198"/>
      <c r="DM166" s="198"/>
      <c r="DN166" s="198"/>
      <c r="DO166" s="198"/>
      <c r="DP166" s="198"/>
      <c r="DQ166" s="198"/>
      <c r="DR166" s="198"/>
      <c r="DS166" s="198"/>
      <c r="DT166" s="198"/>
      <c r="DU166" s="198"/>
      <c r="DV166" s="198"/>
      <c r="DW166" s="198"/>
      <c r="DX166" s="198"/>
      <c r="DY166" s="198"/>
      <c r="DZ166" s="198"/>
      <c r="EA166" s="198"/>
      <c r="EB166" s="198"/>
      <c r="EC166" s="198"/>
      <c r="ED166" s="198"/>
      <c r="EE166" s="198"/>
      <c r="EF166" s="198"/>
      <c r="EG166" s="198"/>
      <c r="EH166" s="198"/>
      <c r="EI166" s="198"/>
      <c r="EJ166" s="198"/>
      <c r="EK166" s="198"/>
      <c r="EL166" s="198"/>
      <c r="EM166" s="198"/>
      <c r="EN166" s="198"/>
      <c r="EO166" s="198"/>
      <c r="EP166" s="198"/>
      <c r="EQ166" s="198"/>
      <c r="ER166" s="198"/>
      <c r="ES166" s="198"/>
      <c r="ET166" s="198"/>
      <c r="EU166" s="198"/>
      <c r="EV166" s="198"/>
      <c r="EW166" s="198"/>
      <c r="EX166" s="198"/>
      <c r="EY166" s="198"/>
      <c r="EZ166" s="198"/>
      <c r="FA166" s="198"/>
      <c r="FB166" s="198"/>
      <c r="FC166" s="198"/>
      <c r="FD166" s="198"/>
      <c r="FE166" s="198"/>
      <c r="FF166" s="198"/>
      <c r="FG166" s="198"/>
      <c r="FH166" s="198"/>
      <c r="FI166" s="198"/>
      <c r="FJ166" s="198"/>
      <c r="FK166" s="198"/>
      <c r="FL166" s="198"/>
      <c r="FM166" s="198"/>
      <c r="FN166" s="198"/>
      <c r="FO166" s="198"/>
      <c r="FP166" s="198"/>
      <c r="FQ166" s="198"/>
      <c r="FR166" s="198"/>
      <c r="FS166" s="198"/>
      <c r="FT166" s="198"/>
      <c r="FU166" s="198"/>
      <c r="FV166" s="198"/>
      <c r="FW166" s="198"/>
      <c r="FX166" s="198"/>
      <c r="FY166" s="198"/>
      <c r="FZ166" s="198"/>
      <c r="GA166" s="198"/>
      <c r="GB166" s="198"/>
      <c r="GC166" s="198"/>
      <c r="GD166" s="198"/>
      <c r="GE166" s="198"/>
      <c r="GF166" s="198"/>
      <c r="GG166" s="198"/>
      <c r="GH166" s="198"/>
      <c r="GI166" s="198"/>
      <c r="GJ166" s="198"/>
      <c r="GK166" s="198"/>
      <c r="GL166" s="198"/>
      <c r="GM166" s="198"/>
      <c r="GN166" s="198"/>
      <c r="GO166" s="198"/>
      <c r="GP166" s="198"/>
      <c r="GQ166" s="198"/>
      <c r="GR166" s="198"/>
      <c r="GS166" s="198"/>
      <c r="GT166" s="198"/>
      <c r="GU166" s="198"/>
      <c r="GV166" s="198"/>
      <c r="GW166" s="198"/>
      <c r="GX166" s="198"/>
      <c r="GY166" s="198"/>
      <c r="GZ166" s="198"/>
      <c r="HA166" s="198"/>
      <c r="HB166" s="198"/>
      <c r="HC166" s="198"/>
      <c r="HD166" s="198"/>
      <c r="HE166" s="198"/>
      <c r="HF166" s="198"/>
      <c r="HG166" s="198"/>
      <c r="HH166" s="198"/>
      <c r="HI166" s="198"/>
      <c r="HJ166" s="198"/>
      <c r="HK166" s="198"/>
      <c r="HL166" s="198"/>
      <c r="HM166" s="198"/>
      <c r="HN166" s="198"/>
      <c r="HO166" s="198"/>
      <c r="HP166" s="198"/>
      <c r="HQ166" s="198"/>
      <c r="HR166" s="198"/>
      <c r="HS166" s="198"/>
      <c r="HT166" s="198"/>
      <c r="HU166" s="198"/>
      <c r="HV166" s="198"/>
      <c r="HW166" s="198"/>
      <c r="HX166" s="198"/>
      <c r="HY166" s="198"/>
      <c r="HZ166" s="198"/>
      <c r="IA166" s="198"/>
      <c r="IB166" s="198"/>
      <c r="IC166" s="198"/>
      <c r="ID166" s="198"/>
      <c r="IE166" s="198"/>
      <c r="IF166" s="198"/>
      <c r="IG166" s="198"/>
      <c r="IH166" s="198"/>
      <c r="II166" s="198"/>
      <c r="IJ166" s="198"/>
      <c r="IK166" s="198"/>
      <c r="IL166" s="198"/>
      <c r="IM166" s="198"/>
      <c r="IN166" s="198"/>
      <c r="IO166" s="198"/>
      <c r="IP166" s="198"/>
      <c r="IQ166" s="198"/>
      <c r="IR166" s="198"/>
      <c r="IS166" s="198"/>
      <c r="IT166" s="198"/>
    </row>
    <row r="167" spans="1:254" ht="10.7" customHeight="1" x14ac:dyDescent="0.2">
      <c r="B167" s="198" t="s">
        <v>92</v>
      </c>
      <c r="C167" s="202"/>
      <c r="D167" s="202"/>
      <c r="E167" s="202"/>
      <c r="F167" s="203"/>
      <c r="G167" s="202"/>
      <c r="H167" s="202"/>
      <c r="I167" s="204"/>
      <c r="J167" s="202"/>
      <c r="K167" s="202"/>
      <c r="L167" s="202"/>
      <c r="M167" s="202"/>
      <c r="N167" s="194"/>
      <c r="O167" s="202"/>
      <c r="P167" s="194"/>
      <c r="Q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  <c r="BI167" s="202"/>
      <c r="BJ167" s="202"/>
      <c r="BK167" s="202"/>
      <c r="BL167" s="202"/>
      <c r="BM167" s="202"/>
      <c r="BN167" s="202"/>
      <c r="BO167" s="202"/>
      <c r="BP167" s="202"/>
      <c r="BQ167" s="202"/>
      <c r="BR167" s="202"/>
      <c r="BS167" s="202"/>
      <c r="BT167" s="202"/>
      <c r="BU167" s="202"/>
      <c r="BV167" s="202"/>
      <c r="BW167" s="202"/>
      <c r="BX167" s="202"/>
      <c r="BY167" s="202"/>
      <c r="BZ167" s="202"/>
      <c r="CA167" s="202"/>
      <c r="CB167" s="202"/>
      <c r="CC167" s="202"/>
      <c r="CD167" s="202"/>
      <c r="CE167" s="202"/>
      <c r="CF167" s="202"/>
      <c r="CG167" s="202"/>
      <c r="CH167" s="202"/>
      <c r="CI167" s="202"/>
      <c r="CJ167" s="202"/>
      <c r="CK167" s="202"/>
      <c r="CL167" s="202"/>
      <c r="CM167" s="202"/>
      <c r="CN167" s="202"/>
      <c r="CO167" s="202"/>
      <c r="CP167" s="202"/>
      <c r="CQ167" s="202"/>
      <c r="CR167" s="202"/>
      <c r="CS167" s="202"/>
      <c r="CT167" s="202"/>
      <c r="CU167" s="202"/>
      <c r="CV167" s="202"/>
      <c r="CW167" s="202"/>
      <c r="CX167" s="202"/>
      <c r="CY167" s="202"/>
      <c r="CZ167" s="202"/>
      <c r="DA167" s="202"/>
      <c r="DB167" s="202"/>
      <c r="DC167" s="202"/>
      <c r="DD167" s="202"/>
      <c r="DE167" s="202"/>
      <c r="DF167" s="202"/>
      <c r="DG167" s="202"/>
      <c r="DH167" s="202"/>
      <c r="DI167" s="202"/>
      <c r="DJ167" s="202"/>
      <c r="DK167" s="202"/>
      <c r="DL167" s="202"/>
      <c r="DM167" s="202"/>
      <c r="DN167" s="202"/>
      <c r="DO167" s="202"/>
      <c r="DP167" s="202"/>
      <c r="DQ167" s="202"/>
      <c r="DR167" s="202"/>
      <c r="DS167" s="202"/>
      <c r="DT167" s="202"/>
      <c r="DU167" s="202"/>
      <c r="DV167" s="202"/>
      <c r="DW167" s="202"/>
      <c r="DX167" s="202"/>
      <c r="DY167" s="202"/>
      <c r="DZ167" s="202"/>
      <c r="EA167" s="202"/>
      <c r="EB167" s="202"/>
      <c r="EC167" s="202"/>
      <c r="ED167" s="202"/>
      <c r="EE167" s="202"/>
      <c r="EF167" s="202"/>
      <c r="EG167" s="202"/>
      <c r="EH167" s="202"/>
      <c r="EI167" s="202"/>
      <c r="EJ167" s="202"/>
      <c r="EK167" s="202"/>
      <c r="EL167" s="202"/>
      <c r="EM167" s="202"/>
      <c r="EN167" s="202"/>
      <c r="EO167" s="202"/>
      <c r="EP167" s="202"/>
      <c r="EQ167" s="202"/>
      <c r="ER167" s="202"/>
      <c r="ES167" s="202"/>
      <c r="ET167" s="202"/>
      <c r="EU167" s="202"/>
      <c r="EV167" s="202"/>
      <c r="EW167" s="202"/>
      <c r="EX167" s="202"/>
      <c r="EY167" s="202"/>
      <c r="EZ167" s="202"/>
      <c r="FA167" s="202"/>
      <c r="FB167" s="202"/>
      <c r="FC167" s="202"/>
      <c r="FD167" s="202"/>
      <c r="FE167" s="202"/>
      <c r="FF167" s="202"/>
      <c r="FG167" s="202"/>
      <c r="FH167" s="202"/>
      <c r="FI167" s="202"/>
      <c r="FJ167" s="202"/>
      <c r="FK167" s="202"/>
      <c r="FL167" s="202"/>
      <c r="FM167" s="202"/>
      <c r="FN167" s="202"/>
      <c r="FO167" s="202"/>
      <c r="FP167" s="202"/>
      <c r="FQ167" s="202"/>
      <c r="FR167" s="202"/>
      <c r="FS167" s="202"/>
      <c r="FT167" s="202"/>
      <c r="FU167" s="202"/>
      <c r="FV167" s="202"/>
      <c r="FW167" s="202"/>
      <c r="FX167" s="202"/>
      <c r="FY167" s="202"/>
      <c r="FZ167" s="202"/>
      <c r="GA167" s="202"/>
      <c r="GB167" s="202"/>
      <c r="GC167" s="202"/>
      <c r="GD167" s="202"/>
      <c r="GE167" s="202"/>
      <c r="GF167" s="202"/>
      <c r="GG167" s="202"/>
      <c r="GH167" s="202"/>
      <c r="GI167" s="202"/>
      <c r="GJ167" s="202"/>
      <c r="GK167" s="202"/>
      <c r="GL167" s="202"/>
      <c r="GM167" s="202"/>
      <c r="GN167" s="202"/>
      <c r="GO167" s="202"/>
      <c r="GP167" s="202"/>
      <c r="GQ167" s="202"/>
      <c r="GR167" s="202"/>
      <c r="GS167" s="202"/>
      <c r="GT167" s="202"/>
      <c r="GU167" s="202"/>
      <c r="GV167" s="202"/>
      <c r="GW167" s="202"/>
      <c r="GX167" s="202"/>
      <c r="GY167" s="202"/>
      <c r="GZ167" s="202"/>
      <c r="HA167" s="202"/>
      <c r="HB167" s="202"/>
      <c r="HC167" s="202"/>
      <c r="HD167" s="202"/>
      <c r="HE167" s="202"/>
      <c r="HF167" s="202"/>
      <c r="HG167" s="202"/>
      <c r="HH167" s="202"/>
      <c r="HI167" s="202"/>
      <c r="HJ167" s="202"/>
      <c r="HK167" s="202"/>
      <c r="HL167" s="202"/>
      <c r="HM167" s="202"/>
      <c r="HN167" s="202"/>
      <c r="HO167" s="202"/>
      <c r="HP167" s="202"/>
      <c r="HQ167" s="202"/>
      <c r="HR167" s="202"/>
      <c r="HS167" s="202"/>
      <c r="HT167" s="202"/>
      <c r="HU167" s="202"/>
      <c r="HV167" s="202"/>
      <c r="HW167" s="202"/>
      <c r="HX167" s="202"/>
      <c r="HY167" s="202"/>
      <c r="HZ167" s="202"/>
      <c r="IA167" s="202"/>
      <c r="IB167" s="202"/>
      <c r="IC167" s="202"/>
      <c r="ID167" s="202"/>
      <c r="IE167" s="202"/>
      <c r="IF167" s="202"/>
      <c r="IG167" s="202"/>
      <c r="IH167" s="202"/>
      <c r="II167" s="202"/>
      <c r="IJ167" s="202"/>
      <c r="IK167" s="202"/>
      <c r="IL167" s="202"/>
      <c r="IM167" s="202"/>
      <c r="IN167" s="202"/>
      <c r="IO167" s="202"/>
      <c r="IP167" s="202"/>
      <c r="IQ167" s="202"/>
      <c r="IR167" s="202"/>
      <c r="IS167" s="202"/>
      <c r="IT167" s="202"/>
    </row>
    <row r="168" spans="1:254" ht="10.7" customHeight="1" x14ac:dyDescent="0.2">
      <c r="B168" s="198"/>
      <c r="C168" s="191"/>
      <c r="D168" s="191"/>
      <c r="E168" s="191"/>
      <c r="F168" s="192"/>
      <c r="G168" s="191"/>
      <c r="H168" s="191"/>
      <c r="I168" s="193"/>
      <c r="J168" s="191"/>
      <c r="K168" s="191"/>
      <c r="L168" s="191"/>
      <c r="M168" s="191"/>
      <c r="N168" s="194"/>
      <c r="O168" s="191"/>
      <c r="P168" s="194"/>
      <c r="Q168" s="191"/>
    </row>
    <row r="169" spans="1:254" s="61" customFormat="1" ht="10.7" customHeight="1" x14ac:dyDescent="0.2">
      <c r="A169" s="168"/>
      <c r="B169" s="191"/>
      <c r="C169" s="191"/>
      <c r="D169" s="191"/>
      <c r="E169" s="191"/>
      <c r="F169" s="192"/>
      <c r="G169" s="191"/>
      <c r="H169" s="191"/>
      <c r="I169" s="193"/>
      <c r="J169" s="191"/>
      <c r="K169" s="191"/>
      <c r="L169" s="191"/>
      <c r="M169" s="191"/>
      <c r="N169" s="194"/>
      <c r="O169" s="191"/>
      <c r="P169" s="194"/>
      <c r="Q169" s="191"/>
      <c r="R169" s="185"/>
    </row>
    <row r="170" spans="1:254" s="61" customFormat="1" ht="10.7" customHeight="1" x14ac:dyDescent="0.2">
      <c r="A170" s="168"/>
      <c r="B170" s="191"/>
      <c r="C170" s="191"/>
      <c r="D170" s="191"/>
      <c r="E170" s="191"/>
      <c r="F170" s="192"/>
      <c r="G170" s="191"/>
      <c r="H170" s="191"/>
      <c r="I170" s="193"/>
      <c r="J170" s="191"/>
      <c r="K170" s="191"/>
      <c r="L170" s="191"/>
      <c r="M170" s="191"/>
      <c r="N170" s="194"/>
      <c r="O170" s="191"/>
      <c r="P170" s="194"/>
      <c r="Q170" s="191"/>
      <c r="R170" s="185"/>
    </row>
    <row r="171" spans="1:254" s="61" customFormat="1" ht="10.7" customHeight="1" x14ac:dyDescent="0.2">
      <c r="A171" s="168"/>
      <c r="B171" s="14"/>
      <c r="C171" s="15" t="s">
        <v>147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1"/>
      <c r="R171" s="185"/>
    </row>
    <row r="172" spans="1:254" s="61" customFormat="1" ht="10.7" customHeight="1" x14ac:dyDescent="0.2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1"/>
      <c r="R172" s="185"/>
    </row>
    <row r="173" spans="1:254" s="61" customFormat="1" ht="10.7" customHeight="1" x14ac:dyDescent="0.2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44468</v>
      </c>
      <c r="K173" s="33">
        <v>44475</v>
      </c>
      <c r="L173" s="33">
        <v>44482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1"/>
      <c r="R173" s="185"/>
    </row>
    <row r="174" spans="1:254" s="61" customFormat="1" ht="10.7" customHeight="1" x14ac:dyDescent="0.2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1"/>
      <c r="R174" s="185"/>
    </row>
    <row r="175" spans="1:254" s="61" customFormat="1" ht="10.7" customHeight="1" x14ac:dyDescent="0.2">
      <c r="A175" s="168"/>
      <c r="B175" s="40"/>
      <c r="C175" s="233" t="s">
        <v>139</v>
      </c>
      <c r="D175" s="235"/>
      <c r="E175" s="235"/>
      <c r="F175" s="235"/>
      <c r="G175" s="235"/>
      <c r="H175" s="235"/>
      <c r="I175" s="235"/>
      <c r="J175" s="235"/>
      <c r="K175" s="235"/>
      <c r="L175" s="235"/>
      <c r="M175" s="235"/>
      <c r="N175" s="235"/>
      <c r="O175" s="235"/>
      <c r="P175" s="41" t="s">
        <v>4</v>
      </c>
      <c r="Q175" s="191"/>
      <c r="R175" s="185"/>
    </row>
    <row r="176" spans="1:254" s="61" customFormat="1" ht="10.7" customHeight="1" x14ac:dyDescent="0.2">
      <c r="A176" s="169"/>
      <c r="B176" s="40" t="s">
        <v>62</v>
      </c>
      <c r="C176" s="151">
        <v>64.016999999999996</v>
      </c>
      <c r="D176" s="152">
        <v>0</v>
      </c>
      <c r="E176" s="152">
        <v>28.900000000000006</v>
      </c>
      <c r="F176" s="153">
        <v>92.917000000000002</v>
      </c>
      <c r="G176" s="154">
        <v>16.646999999999998</v>
      </c>
      <c r="H176" s="183">
        <v>17.91598953905098</v>
      </c>
      <c r="I176" s="153">
        <v>76.27000000000001</v>
      </c>
      <c r="J176" s="154">
        <v>0</v>
      </c>
      <c r="K176" s="154">
        <v>0</v>
      </c>
      <c r="L176" s="154">
        <v>0</v>
      </c>
      <c r="M176" s="154">
        <v>0</v>
      </c>
      <c r="N176" s="46">
        <v>0</v>
      </c>
      <c r="O176" s="154">
        <v>0</v>
      </c>
      <c r="P176" s="41" t="s">
        <v>149</v>
      </c>
      <c r="Q176" s="191"/>
      <c r="R176" s="185"/>
    </row>
    <row r="177" spans="1:20" s="61" customFormat="1" ht="10.7" customHeight="1" x14ac:dyDescent="0.2">
      <c r="A177" s="168"/>
      <c r="B177" s="40" t="s">
        <v>63</v>
      </c>
      <c r="C177" s="151">
        <v>7.1840000000000002</v>
      </c>
      <c r="D177" s="152">
        <v>0</v>
      </c>
      <c r="E177" s="152">
        <v>16.2</v>
      </c>
      <c r="F177" s="153">
        <v>23.384</v>
      </c>
      <c r="G177" s="154">
        <v>18.520000000000003</v>
      </c>
      <c r="H177" s="183">
        <v>79.199452617174146</v>
      </c>
      <c r="I177" s="153">
        <v>4.8639999999999972</v>
      </c>
      <c r="J177" s="154">
        <v>0</v>
      </c>
      <c r="K177" s="154">
        <v>0</v>
      </c>
      <c r="L177" s="154">
        <v>1.4800000000000004</v>
      </c>
      <c r="M177" s="154">
        <v>0</v>
      </c>
      <c r="N177" s="46">
        <v>0</v>
      </c>
      <c r="O177" s="154">
        <v>0.37000000000000011</v>
      </c>
      <c r="P177" s="41">
        <v>11.145945945945934</v>
      </c>
      <c r="Q177" s="191"/>
      <c r="R177" s="185"/>
    </row>
    <row r="178" spans="1:20" s="61" customFormat="1" ht="10.7" customHeight="1" x14ac:dyDescent="0.2">
      <c r="A178" s="168"/>
      <c r="B178" s="40" t="s">
        <v>65</v>
      </c>
      <c r="C178" s="151">
        <v>2.6709999999999998</v>
      </c>
      <c r="D178" s="152">
        <v>0</v>
      </c>
      <c r="E178" s="152">
        <v>5.0999999999999996</v>
      </c>
      <c r="F178" s="153">
        <v>7.770999999999999</v>
      </c>
      <c r="G178" s="154">
        <v>3.46</v>
      </c>
      <c r="H178" s="183">
        <v>44.524514219534169</v>
      </c>
      <c r="I178" s="153">
        <v>4.3109999999999991</v>
      </c>
      <c r="J178" s="154">
        <v>0</v>
      </c>
      <c r="K178" s="154">
        <v>6.0000000000000053E-2</v>
      </c>
      <c r="L178" s="154">
        <v>0.26</v>
      </c>
      <c r="M178" s="154">
        <v>0</v>
      </c>
      <c r="N178" s="46">
        <v>0</v>
      </c>
      <c r="O178" s="154">
        <v>8.0000000000000016E-2</v>
      </c>
      <c r="P178" s="41" t="s">
        <v>149</v>
      </c>
      <c r="Q178" s="191"/>
      <c r="R178" s="185"/>
    </row>
    <row r="179" spans="1:20" s="61" customFormat="1" ht="10.7" customHeight="1" x14ac:dyDescent="0.2">
      <c r="A179" s="168"/>
      <c r="B179" s="40" t="s">
        <v>66</v>
      </c>
      <c r="C179" s="151">
        <v>42.249000000000002</v>
      </c>
      <c r="D179" s="152">
        <v>0</v>
      </c>
      <c r="E179" s="152">
        <v>-12.8</v>
      </c>
      <c r="F179" s="153">
        <v>29.449000000000002</v>
      </c>
      <c r="G179" s="154">
        <v>19.900000000000002</v>
      </c>
      <c r="H179" s="183">
        <v>67.574450745356387</v>
      </c>
      <c r="I179" s="153">
        <v>9.5489999999999995</v>
      </c>
      <c r="J179" s="154">
        <v>1.4870000076293959</v>
      </c>
      <c r="K179" s="154">
        <v>7.7059999999999995</v>
      </c>
      <c r="L179" s="154">
        <v>0</v>
      </c>
      <c r="M179" s="154">
        <v>0</v>
      </c>
      <c r="N179" s="46">
        <v>0</v>
      </c>
      <c r="O179" s="154">
        <v>2.2982500019073488</v>
      </c>
      <c r="P179" s="41">
        <v>2.1549004642989908</v>
      </c>
      <c r="Q179" s="191"/>
      <c r="R179" s="185"/>
    </row>
    <row r="180" spans="1:20" s="61" customFormat="1" ht="10.7" customHeight="1" x14ac:dyDescent="0.2">
      <c r="A180" s="168"/>
      <c r="B180" s="40" t="s">
        <v>67</v>
      </c>
      <c r="C180" s="151">
        <v>0.68200000000000005</v>
      </c>
      <c r="D180" s="152">
        <v>40.000000000000007</v>
      </c>
      <c r="E180" s="152">
        <v>41.2</v>
      </c>
      <c r="F180" s="153">
        <v>41.882000000000005</v>
      </c>
      <c r="G180" s="154">
        <v>18.638000007629401</v>
      </c>
      <c r="H180" s="183">
        <v>44.501217725107203</v>
      </c>
      <c r="I180" s="153">
        <v>23.243999992370604</v>
      </c>
      <c r="J180" s="154">
        <v>0</v>
      </c>
      <c r="K180" s="154">
        <v>0</v>
      </c>
      <c r="L180" s="154">
        <v>0.48000000000000043</v>
      </c>
      <c r="M180" s="154">
        <v>1.3470000000000049</v>
      </c>
      <c r="N180" s="46">
        <v>197.50733137829982</v>
      </c>
      <c r="O180" s="154">
        <v>0.45675000000000132</v>
      </c>
      <c r="P180" s="41" t="s">
        <v>150</v>
      </c>
      <c r="Q180" s="191"/>
      <c r="R180" s="185"/>
    </row>
    <row r="181" spans="1:20" s="61" customFormat="1" ht="10.7" customHeight="1" x14ac:dyDescent="0.2">
      <c r="A181" s="168"/>
      <c r="B181" s="40" t="s">
        <v>68</v>
      </c>
      <c r="C181" s="151">
        <v>0.11600000000000001</v>
      </c>
      <c r="D181" s="152">
        <v>0</v>
      </c>
      <c r="E181" s="152">
        <v>-0.1</v>
      </c>
      <c r="F181" s="153">
        <v>1.6E-2</v>
      </c>
      <c r="G181" s="154">
        <v>0</v>
      </c>
      <c r="H181" s="183">
        <v>0</v>
      </c>
      <c r="I181" s="153">
        <v>1.6E-2</v>
      </c>
      <c r="J181" s="154">
        <v>0</v>
      </c>
      <c r="K181" s="154">
        <v>0</v>
      </c>
      <c r="L181" s="154">
        <v>0</v>
      </c>
      <c r="M181" s="154">
        <v>0</v>
      </c>
      <c r="N181" s="46">
        <v>0</v>
      </c>
      <c r="O181" s="154">
        <v>0</v>
      </c>
      <c r="P181" s="41" t="s">
        <v>150</v>
      </c>
      <c r="Q181" s="191"/>
      <c r="R181" s="185"/>
    </row>
    <row r="182" spans="1:20" s="61" customFormat="1" ht="10.7" customHeight="1" x14ac:dyDescent="0.2">
      <c r="A182" s="190"/>
      <c r="B182" s="40" t="s">
        <v>69</v>
      </c>
      <c r="C182" s="151">
        <v>1.3</v>
      </c>
      <c r="D182" s="152">
        <v>0</v>
      </c>
      <c r="E182" s="152">
        <v>3.1000000000000005</v>
      </c>
      <c r="F182" s="153">
        <v>4.4000000000000004</v>
      </c>
      <c r="G182" s="154">
        <v>0</v>
      </c>
      <c r="H182" s="183">
        <v>0</v>
      </c>
      <c r="I182" s="153">
        <v>4.4000000000000004</v>
      </c>
      <c r="J182" s="154">
        <v>0</v>
      </c>
      <c r="K182" s="154">
        <v>0</v>
      </c>
      <c r="L182" s="154">
        <v>0</v>
      </c>
      <c r="M182" s="154">
        <v>0</v>
      </c>
      <c r="N182" s="46">
        <v>0</v>
      </c>
      <c r="O182" s="154">
        <v>0</v>
      </c>
      <c r="P182" s="41" t="s">
        <v>150</v>
      </c>
      <c r="Q182" s="191"/>
      <c r="R182" s="185"/>
    </row>
    <row r="183" spans="1:20" s="61" customFormat="1" ht="10.7" customHeight="1" x14ac:dyDescent="0.2">
      <c r="A183" s="168"/>
      <c r="B183" s="40" t="s">
        <v>70</v>
      </c>
      <c r="C183" s="151">
        <v>-7.9</v>
      </c>
      <c r="D183" s="152">
        <v>0</v>
      </c>
      <c r="E183" s="152">
        <v>0.29999999999999982</v>
      </c>
      <c r="F183" s="153">
        <v>-7.6000000000000005</v>
      </c>
      <c r="G183" s="154">
        <v>0</v>
      </c>
      <c r="H183" s="183">
        <v>0</v>
      </c>
      <c r="I183" s="153">
        <v>-7.6000000000000005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150</v>
      </c>
      <c r="Q183" s="191"/>
      <c r="R183" s="185"/>
    </row>
    <row r="184" spans="1:20" s="61" customFormat="1" ht="10.7" customHeight="1" x14ac:dyDescent="0.2">
      <c r="A184" s="168"/>
      <c r="B184" s="40" t="s">
        <v>71</v>
      </c>
      <c r="C184" s="151">
        <v>56.000999999999998</v>
      </c>
      <c r="D184" s="152">
        <v>0</v>
      </c>
      <c r="E184" s="152">
        <v>-32.200000000000003</v>
      </c>
      <c r="F184" s="153">
        <v>23.800999999999995</v>
      </c>
      <c r="G184" s="154">
        <v>0</v>
      </c>
      <c r="H184" s="183">
        <v>0</v>
      </c>
      <c r="I184" s="153">
        <v>23.800999999999995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 t="s">
        <v>149</v>
      </c>
      <c r="Q184" s="191"/>
      <c r="R184" s="185"/>
    </row>
    <row r="185" spans="1:20" s="191" customFormat="1" ht="10.7" customHeight="1" x14ac:dyDescent="0.2">
      <c r="A185" s="168"/>
      <c r="B185" s="40" t="s">
        <v>72</v>
      </c>
      <c r="C185" s="151">
        <v>29.056000000000001</v>
      </c>
      <c r="D185" s="152">
        <v>0</v>
      </c>
      <c r="E185" s="152">
        <v>21.8</v>
      </c>
      <c r="F185" s="153">
        <v>50.856000000000002</v>
      </c>
      <c r="G185" s="154">
        <v>29.810000000000002</v>
      </c>
      <c r="H185" s="183">
        <v>58.616485763725024</v>
      </c>
      <c r="I185" s="153">
        <v>21.045999999999999</v>
      </c>
      <c r="J185" s="154">
        <v>0</v>
      </c>
      <c r="K185" s="154">
        <v>0</v>
      </c>
      <c r="L185" s="154">
        <v>0</v>
      </c>
      <c r="M185" s="154">
        <v>0</v>
      </c>
      <c r="N185" s="46">
        <v>0</v>
      </c>
      <c r="O185" s="154">
        <v>0</v>
      </c>
      <c r="P185" s="41" t="s">
        <v>149</v>
      </c>
      <c r="R185" s="185"/>
      <c r="T185" s="61"/>
    </row>
    <row r="186" spans="1:20" s="191" customFormat="1" ht="10.7" customHeight="1" x14ac:dyDescent="0.2">
      <c r="A186" s="168"/>
      <c r="B186" s="47" t="s">
        <v>73</v>
      </c>
      <c r="C186" s="151">
        <v>195.376</v>
      </c>
      <c r="D186" s="152">
        <v>40.000000000000007</v>
      </c>
      <c r="E186" s="152">
        <v>71.500000000000028</v>
      </c>
      <c r="F186" s="153">
        <v>266.87600000000003</v>
      </c>
      <c r="G186" s="154">
        <v>106.9750000076294</v>
      </c>
      <c r="H186" s="183">
        <v>40.084158938094617</v>
      </c>
      <c r="I186" s="153">
        <v>159.90099999237063</v>
      </c>
      <c r="J186" s="154">
        <v>1.4870000076293959</v>
      </c>
      <c r="K186" s="154">
        <v>7.766</v>
      </c>
      <c r="L186" s="154">
        <v>2.2200000000000006</v>
      </c>
      <c r="M186" s="154">
        <v>1.3470000000000049</v>
      </c>
      <c r="N186" s="46">
        <v>0.68943984931619284</v>
      </c>
      <c r="O186" s="154">
        <v>3.2050000019073503</v>
      </c>
      <c r="P186" s="41">
        <v>47.891107612234258</v>
      </c>
      <c r="R186" s="185"/>
      <c r="T186" s="61"/>
    </row>
    <row r="187" spans="1:20" s="191" customFormat="1" ht="10.7" customHeight="1" x14ac:dyDescent="0.2">
      <c r="A187" s="168"/>
      <c r="B187" s="40"/>
      <c r="C187" s="151"/>
      <c r="D187" s="154"/>
      <c r="E187" s="152"/>
      <c r="F187" s="153"/>
      <c r="G187" s="154"/>
      <c r="H187" s="183"/>
      <c r="I187" s="153"/>
      <c r="J187" s="154"/>
      <c r="K187" s="154"/>
      <c r="L187" s="154"/>
      <c r="M187" s="154"/>
      <c r="N187" s="46"/>
      <c r="O187" s="154"/>
      <c r="P187" s="41"/>
      <c r="R187" s="185"/>
      <c r="T187" s="61"/>
    </row>
    <row r="188" spans="1:20" s="61" customFormat="1" ht="10.7" customHeight="1" x14ac:dyDescent="0.2">
      <c r="A188" s="168"/>
      <c r="B188" s="40" t="s">
        <v>74</v>
      </c>
      <c r="C188" s="151">
        <v>11.368</v>
      </c>
      <c r="D188" s="152">
        <v>0</v>
      </c>
      <c r="E188" s="152">
        <v>-4</v>
      </c>
      <c r="F188" s="153">
        <v>7.3680000000000003</v>
      </c>
      <c r="G188" s="154">
        <v>1.0804999985918404</v>
      </c>
      <c r="H188" s="183">
        <v>14.664766538977204</v>
      </c>
      <c r="I188" s="153">
        <v>6.2875000014081603</v>
      </c>
      <c r="J188" s="154">
        <v>9.0000000000000635E-3</v>
      </c>
      <c r="K188" s="154">
        <v>1.2000000000000011E-2</v>
      </c>
      <c r="L188" s="154">
        <v>4.6000000000000041E-2</v>
      </c>
      <c r="M188" s="154">
        <v>4.7249999999999959E-2</v>
      </c>
      <c r="N188" s="46">
        <v>0.4156403940886696</v>
      </c>
      <c r="O188" s="154">
        <v>2.8562500000000018E-2</v>
      </c>
      <c r="P188" s="41" t="s">
        <v>149</v>
      </c>
      <c r="Q188" s="191"/>
      <c r="R188" s="185"/>
    </row>
    <row r="189" spans="1:20" s="61" customFormat="1" ht="10.7" customHeight="1" x14ac:dyDescent="0.2">
      <c r="A189" s="168"/>
      <c r="B189" s="40" t="s">
        <v>75</v>
      </c>
      <c r="C189" s="151">
        <v>2.036</v>
      </c>
      <c r="D189" s="152">
        <v>0</v>
      </c>
      <c r="E189" s="152">
        <v>13</v>
      </c>
      <c r="F189" s="153">
        <v>15.036</v>
      </c>
      <c r="G189" s="154">
        <v>0.82000000000000006</v>
      </c>
      <c r="H189" s="183">
        <v>5.4535780792764035</v>
      </c>
      <c r="I189" s="153">
        <v>14.215999999999999</v>
      </c>
      <c r="J189" s="154">
        <v>0</v>
      </c>
      <c r="K189" s="154">
        <v>0</v>
      </c>
      <c r="L189" s="154">
        <v>0</v>
      </c>
      <c r="M189" s="154">
        <v>0</v>
      </c>
      <c r="N189" s="46">
        <v>0</v>
      </c>
      <c r="O189" s="154">
        <v>0</v>
      </c>
      <c r="P189" s="41" t="s">
        <v>149</v>
      </c>
      <c r="Q189" s="191"/>
      <c r="R189" s="185"/>
    </row>
    <row r="190" spans="1:20" s="61" customFormat="1" ht="10.7" customHeight="1" x14ac:dyDescent="0.2">
      <c r="A190" s="168"/>
      <c r="B190" s="40" t="s">
        <v>157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3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1"/>
      <c r="R190" s="185"/>
    </row>
    <row r="191" spans="1:20" s="61" customFormat="1" ht="10.7" customHeight="1" x14ac:dyDescent="0.2">
      <c r="A191" s="168"/>
      <c r="B191" s="40" t="s">
        <v>76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3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1"/>
      <c r="R191" s="185"/>
    </row>
    <row r="192" spans="1:20" s="61" customFormat="1" ht="10.7" customHeight="1" x14ac:dyDescent="0.2">
      <c r="A192" s="168"/>
      <c r="B192" s="40" t="s">
        <v>77</v>
      </c>
      <c r="C192" s="151">
        <v>49.235999999999997</v>
      </c>
      <c r="D192" s="152">
        <v>0</v>
      </c>
      <c r="E192" s="152">
        <v>-36</v>
      </c>
      <c r="F192" s="153">
        <v>13.235999999999997</v>
      </c>
      <c r="G192" s="154">
        <v>11.834999977946282</v>
      </c>
      <c r="H192" s="183">
        <v>89.415231021050801</v>
      </c>
      <c r="I192" s="153">
        <v>1.4010000220537151</v>
      </c>
      <c r="J192" s="154">
        <v>1.7763568394002505E-15</v>
      </c>
      <c r="K192" s="154">
        <v>0</v>
      </c>
      <c r="L192" s="154">
        <v>0</v>
      </c>
      <c r="M192" s="154">
        <v>0</v>
      </c>
      <c r="N192" s="46">
        <v>0</v>
      </c>
      <c r="O192" s="154">
        <v>4.4408920985006262E-16</v>
      </c>
      <c r="P192" s="41" t="s">
        <v>149</v>
      </c>
      <c r="Q192" s="191"/>
      <c r="R192" s="185"/>
    </row>
    <row r="193" spans="1:20" s="61" customFormat="1" ht="10.7" customHeight="1" x14ac:dyDescent="0.2">
      <c r="A193" s="168"/>
      <c r="B193" s="40" t="s">
        <v>78</v>
      </c>
      <c r="C193" s="151">
        <v>26.111000000000001</v>
      </c>
      <c r="D193" s="152">
        <v>0</v>
      </c>
      <c r="E193" s="152">
        <v>-20</v>
      </c>
      <c r="F193" s="153">
        <v>6.1110000000000007</v>
      </c>
      <c r="G193" s="154">
        <v>0.01</v>
      </c>
      <c r="H193" s="183">
        <v>0.16363933889707083</v>
      </c>
      <c r="I193" s="153">
        <v>6.1010000000000009</v>
      </c>
      <c r="J193" s="154">
        <v>0</v>
      </c>
      <c r="K193" s="154">
        <v>0</v>
      </c>
      <c r="L193" s="154">
        <v>0</v>
      </c>
      <c r="M193" s="154">
        <v>0</v>
      </c>
      <c r="N193" s="46">
        <v>0</v>
      </c>
      <c r="O193" s="154">
        <v>0</v>
      </c>
      <c r="P193" s="41" t="s">
        <v>149</v>
      </c>
      <c r="Q193" s="191"/>
      <c r="R193" s="185"/>
    </row>
    <row r="194" spans="1:20" s="61" customFormat="1" ht="10.7" customHeight="1" x14ac:dyDescent="0.2">
      <c r="A194" s="168"/>
      <c r="B194" s="40" t="s">
        <v>79</v>
      </c>
      <c r="C194" s="151">
        <v>0.26700000000000002</v>
      </c>
      <c r="D194" s="152">
        <v>0</v>
      </c>
      <c r="E194" s="152">
        <v>10</v>
      </c>
      <c r="F194" s="153">
        <v>10.266999999999999</v>
      </c>
      <c r="G194" s="154">
        <v>10.368499969959261</v>
      </c>
      <c r="H194" s="183">
        <v>100.98860397350016</v>
      </c>
      <c r="I194" s="153">
        <v>-0.1014999699592618</v>
      </c>
      <c r="J194" s="154">
        <v>1.7763568394002505E-15</v>
      </c>
      <c r="K194" s="154">
        <v>0</v>
      </c>
      <c r="L194" s="154">
        <v>0</v>
      </c>
      <c r="M194" s="154">
        <v>0</v>
      </c>
      <c r="N194" s="46">
        <v>0</v>
      </c>
      <c r="O194" s="154">
        <v>4.4408920985006262E-16</v>
      </c>
      <c r="P194" s="41">
        <v>0</v>
      </c>
      <c r="Q194" s="191"/>
      <c r="R194" s="185"/>
    </row>
    <row r="195" spans="1:20" s="61" customFormat="1" ht="10.7" customHeight="1" x14ac:dyDescent="0.2">
      <c r="A195" s="168"/>
      <c r="B195" s="40" t="s">
        <v>80</v>
      </c>
      <c r="C195" s="151">
        <v>0.46200000000000002</v>
      </c>
      <c r="D195" s="152">
        <v>0</v>
      </c>
      <c r="E195" s="152">
        <v>0</v>
      </c>
      <c r="F195" s="153">
        <v>0.46200000000000002</v>
      </c>
      <c r="G195" s="154">
        <v>0</v>
      </c>
      <c r="H195" s="183">
        <v>0</v>
      </c>
      <c r="I195" s="153">
        <v>0.46200000000000002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149</v>
      </c>
      <c r="Q195" s="191"/>
      <c r="R195" s="185"/>
    </row>
    <row r="196" spans="1:20" s="61" customFormat="1" ht="10.7" customHeight="1" x14ac:dyDescent="0.2">
      <c r="A196" s="168"/>
      <c r="B196" s="40" t="s">
        <v>81</v>
      </c>
      <c r="C196" s="151">
        <v>0.71599999999999997</v>
      </c>
      <c r="D196" s="152">
        <v>0</v>
      </c>
      <c r="E196" s="152">
        <v>3.8999999999999995</v>
      </c>
      <c r="F196" s="153">
        <v>4.6159999999999997</v>
      </c>
      <c r="G196" s="154">
        <v>4.4439999732971174</v>
      </c>
      <c r="H196" s="183">
        <v>96.273829577493885</v>
      </c>
      <c r="I196" s="153">
        <v>0.17200002670288228</v>
      </c>
      <c r="J196" s="154">
        <v>0</v>
      </c>
      <c r="K196" s="154">
        <v>4.0000000000000036E-2</v>
      </c>
      <c r="L196" s="154">
        <v>1.0049999732971187</v>
      </c>
      <c r="M196" s="154">
        <v>1.0599999999999996</v>
      </c>
      <c r="N196" s="46">
        <v>148.04469273743013</v>
      </c>
      <c r="O196" s="154">
        <v>0.52624999332427957</v>
      </c>
      <c r="P196" s="41">
        <v>0</v>
      </c>
      <c r="Q196" s="191"/>
      <c r="R196" s="185"/>
    </row>
    <row r="197" spans="1:20" s="61" customFormat="1" ht="10.7" customHeight="1" x14ac:dyDescent="0.2">
      <c r="A197" s="171"/>
      <c r="B197" s="184" t="s">
        <v>82</v>
      </c>
      <c r="C197" s="151">
        <v>1.026</v>
      </c>
      <c r="D197" s="152">
        <v>0</v>
      </c>
      <c r="E197" s="152">
        <v>87.4</v>
      </c>
      <c r="F197" s="153">
        <v>88.426000000000002</v>
      </c>
      <c r="G197" s="154">
        <v>72.606000187173564</v>
      </c>
      <c r="H197" s="183">
        <v>82.109334570345339</v>
      </c>
      <c r="I197" s="153">
        <v>15.819999812826438</v>
      </c>
      <c r="J197" s="154">
        <v>4.0489999923706534</v>
      </c>
      <c r="K197" s="154">
        <v>2.0570000305175853</v>
      </c>
      <c r="L197" s="154">
        <v>3.1279999961853235</v>
      </c>
      <c r="M197" s="154">
        <v>2.3940000000000055</v>
      </c>
      <c r="N197" s="46">
        <v>233.33333333333388</v>
      </c>
      <c r="O197" s="154">
        <v>2.9070000047683919</v>
      </c>
      <c r="P197" s="41">
        <v>3.4420363903944535</v>
      </c>
      <c r="Q197" s="191"/>
      <c r="R197" s="185"/>
    </row>
    <row r="198" spans="1:20" s="61" customFormat="1" ht="10.7" customHeight="1" x14ac:dyDescent="0.2">
      <c r="A198" s="171"/>
      <c r="B198" s="184" t="s">
        <v>83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3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150</v>
      </c>
      <c r="Q198" s="191"/>
      <c r="R198" s="185"/>
    </row>
    <row r="199" spans="1:20" s="61" customFormat="1" ht="10.7" customHeight="1" x14ac:dyDescent="0.2">
      <c r="A199" s="206"/>
      <c r="B199" s="62" t="s">
        <v>84</v>
      </c>
      <c r="C199" s="151">
        <v>109.93600000000001</v>
      </c>
      <c r="D199" s="152">
        <v>0</v>
      </c>
      <c r="E199" s="152">
        <v>-106.30000000000001</v>
      </c>
      <c r="F199" s="153">
        <v>3.6359999999999957</v>
      </c>
      <c r="G199" s="154">
        <v>0</v>
      </c>
      <c r="H199" s="183">
        <v>0</v>
      </c>
      <c r="I199" s="153">
        <v>3.6359999999999957</v>
      </c>
      <c r="J199" s="154">
        <v>0</v>
      </c>
      <c r="K199" s="154">
        <v>0</v>
      </c>
      <c r="L199" s="154">
        <v>0</v>
      </c>
      <c r="M199" s="154">
        <v>0</v>
      </c>
      <c r="N199" s="46">
        <v>0</v>
      </c>
      <c r="O199" s="154">
        <v>0</v>
      </c>
      <c r="P199" s="41" t="s">
        <v>149</v>
      </c>
      <c r="Q199" s="191"/>
      <c r="R199" s="185"/>
    </row>
    <row r="200" spans="1:20" s="61" customFormat="1" ht="10.7" customHeight="1" x14ac:dyDescent="0.2">
      <c r="A200" s="206"/>
      <c r="B200" s="40" t="s">
        <v>85</v>
      </c>
      <c r="C200" s="151">
        <v>154.35300000000001</v>
      </c>
      <c r="D200" s="152">
        <v>0</v>
      </c>
      <c r="E200" s="152">
        <v>273</v>
      </c>
      <c r="F200" s="153">
        <v>427.35300000000001</v>
      </c>
      <c r="G200" s="154">
        <v>370.4575009512306</v>
      </c>
      <c r="H200" s="183">
        <v>86.68653336965707</v>
      </c>
      <c r="I200" s="153">
        <v>56.895499048769409</v>
      </c>
      <c r="J200" s="154">
        <v>1.1999999999986244E-2</v>
      </c>
      <c r="K200" s="154">
        <v>18.568999999999988</v>
      </c>
      <c r="L200" s="154">
        <v>0.44299999999999784</v>
      </c>
      <c r="M200" s="154">
        <v>33.658000488281289</v>
      </c>
      <c r="N200" s="46">
        <v>21.80586090861939</v>
      </c>
      <c r="O200" s="154">
        <v>13.170500122070315</v>
      </c>
      <c r="P200" s="41">
        <v>2.3199194048392613</v>
      </c>
      <c r="Q200" s="191"/>
      <c r="R200" s="185"/>
    </row>
    <row r="201" spans="1:20" s="61" customFormat="1" ht="10.7" customHeight="1" x14ac:dyDescent="0.2">
      <c r="A201" s="171"/>
      <c r="B201" s="196" t="s">
        <v>86</v>
      </c>
      <c r="C201" s="151">
        <v>550.88700000000006</v>
      </c>
      <c r="D201" s="154">
        <v>40.000000000000007</v>
      </c>
      <c r="E201" s="152">
        <v>292.49999999999989</v>
      </c>
      <c r="F201" s="153">
        <v>843.38699999999994</v>
      </c>
      <c r="G201" s="154">
        <v>578.59650106582808</v>
      </c>
      <c r="H201" s="183">
        <v>68.603915055108516</v>
      </c>
      <c r="I201" s="153">
        <v>264.79049893417186</v>
      </c>
      <c r="J201" s="154">
        <v>5.5570000000000395</v>
      </c>
      <c r="K201" s="154">
        <v>28.444000030517572</v>
      </c>
      <c r="L201" s="154">
        <v>6.8419999694824405</v>
      </c>
      <c r="M201" s="154">
        <v>38.506250488281296</v>
      </c>
      <c r="N201" s="46">
        <v>6.9898637085793078</v>
      </c>
      <c r="O201" s="154">
        <v>19.837312622070336</v>
      </c>
      <c r="P201" s="41">
        <v>11.348103343371962</v>
      </c>
      <c r="Q201" s="191"/>
      <c r="R201" s="185"/>
    </row>
    <row r="202" spans="1:20" ht="10.7" customHeight="1" x14ac:dyDescent="0.2">
      <c r="A202" s="171"/>
      <c r="B202" s="40"/>
      <c r="C202" s="151"/>
      <c r="D202" s="10"/>
      <c r="E202" s="152"/>
      <c r="F202" s="158"/>
      <c r="G202" s="10"/>
      <c r="H202" s="183"/>
      <c r="I202" s="153"/>
      <c r="J202" s="10"/>
      <c r="K202" s="10"/>
      <c r="L202" s="10"/>
      <c r="M202" s="10"/>
      <c r="O202" s="10"/>
      <c r="P202" s="41"/>
      <c r="T202" s="61"/>
    </row>
    <row r="203" spans="1:20" s="191" customFormat="1" ht="10.7" customHeight="1" x14ac:dyDescent="0.2">
      <c r="A203" s="172"/>
      <c r="B203" s="57" t="s">
        <v>87</v>
      </c>
      <c r="C203" s="151">
        <v>103.712</v>
      </c>
      <c r="D203" s="152">
        <v>-90</v>
      </c>
      <c r="E203" s="152">
        <v>-90</v>
      </c>
      <c r="F203" s="153">
        <v>13.712000000000007</v>
      </c>
      <c r="G203" s="154">
        <v>0.18</v>
      </c>
      <c r="H203" s="183">
        <v>1.3127187864644101</v>
      </c>
      <c r="I203" s="153">
        <v>13.532000000000007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150</v>
      </c>
      <c r="R203" s="185"/>
      <c r="T203" s="61"/>
    </row>
    <row r="204" spans="1:20" s="191" customFormat="1" ht="10.7" customHeight="1" x14ac:dyDescent="0.2">
      <c r="A204" s="172"/>
      <c r="B204" s="49" t="s">
        <v>88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3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150</v>
      </c>
      <c r="R204" s="185"/>
      <c r="T204" s="61"/>
    </row>
    <row r="205" spans="1:20" s="191" customFormat="1" ht="10.7" customHeight="1" x14ac:dyDescent="0.2">
      <c r="A205" s="173" t="s">
        <v>89</v>
      </c>
      <c r="B205" s="49" t="s">
        <v>95</v>
      </c>
      <c r="C205" s="151">
        <v>1074.6490000000001</v>
      </c>
      <c r="D205" s="152">
        <v>48.900000000000006</v>
      </c>
      <c r="E205" s="152">
        <v>-198.70000000000005</v>
      </c>
      <c r="F205" s="153">
        <v>875.94900000000007</v>
      </c>
      <c r="G205" s="154">
        <v>393.73857000075202</v>
      </c>
      <c r="H205" s="183">
        <v>44.949942291246636</v>
      </c>
      <c r="I205" s="153">
        <v>482.21042999924805</v>
      </c>
      <c r="J205" s="154">
        <v>118.85824999999943</v>
      </c>
      <c r="K205" s="154">
        <v>91.535250000000218</v>
      </c>
      <c r="L205" s="154">
        <v>44.413450000107197</v>
      </c>
      <c r="M205" s="154">
        <v>69.41525000108787</v>
      </c>
      <c r="N205" s="46"/>
      <c r="O205" s="154"/>
      <c r="P205" s="41" t="s">
        <v>149</v>
      </c>
      <c r="R205" s="185"/>
      <c r="T205" s="61"/>
    </row>
    <row r="206" spans="1:20" s="191" customFormat="1" ht="10.7" customHeight="1" x14ac:dyDescent="0.2">
      <c r="A206" s="172"/>
      <c r="B206" s="49"/>
      <c r="C206" s="151"/>
      <c r="D206" s="152"/>
      <c r="E206" s="152"/>
      <c r="F206" s="153"/>
      <c r="G206" s="154"/>
      <c r="H206" s="183"/>
      <c r="I206" s="153"/>
      <c r="J206" s="154"/>
      <c r="K206" s="154"/>
      <c r="L206" s="154"/>
      <c r="M206" s="154"/>
      <c r="N206" s="46"/>
      <c r="O206" s="154"/>
      <c r="P206" s="41"/>
      <c r="R206" s="185"/>
      <c r="T206" s="61"/>
    </row>
    <row r="207" spans="1:20" s="191" customFormat="1" ht="10.7" customHeight="1" x14ac:dyDescent="0.2">
      <c r="A207" s="172"/>
      <c r="B207" s="40" t="s">
        <v>90</v>
      </c>
      <c r="C207" s="151">
        <v>0</v>
      </c>
      <c r="D207" s="152"/>
      <c r="E207" s="152"/>
      <c r="F207" s="153">
        <v>0</v>
      </c>
      <c r="G207" s="154"/>
      <c r="H207" s="183"/>
      <c r="I207" s="153">
        <v>0</v>
      </c>
      <c r="J207" s="154"/>
      <c r="K207" s="154"/>
      <c r="L207" s="154"/>
      <c r="M207" s="154"/>
      <c r="N207" s="46"/>
      <c r="O207" s="154"/>
      <c r="P207" s="41"/>
      <c r="R207" s="185"/>
      <c r="T207" s="61"/>
    </row>
    <row r="208" spans="1:20" s="191" customFormat="1" ht="10.7" customHeight="1" x14ac:dyDescent="0.2">
      <c r="A208" s="174"/>
      <c r="B208" s="197" t="s">
        <v>91</v>
      </c>
      <c r="C208" s="225">
        <v>1729.248</v>
      </c>
      <c r="D208" s="155">
        <v>-1.0999999999999872</v>
      </c>
      <c r="E208" s="155">
        <v>3.7999999999998408</v>
      </c>
      <c r="F208" s="156">
        <v>1734.1480000000001</v>
      </c>
      <c r="G208" s="155">
        <v>972.51507106658005</v>
      </c>
      <c r="H208" s="188">
        <v>56.080280983317451</v>
      </c>
      <c r="I208" s="156">
        <v>761.63292893342009</v>
      </c>
      <c r="J208" s="155">
        <v>124.41524999999947</v>
      </c>
      <c r="K208" s="155">
        <v>119.97925003051779</v>
      </c>
      <c r="L208" s="155">
        <v>51.255449969589634</v>
      </c>
      <c r="M208" s="155">
        <v>107.92150048936917</v>
      </c>
      <c r="N208" s="58">
        <v>6.2409498515753183</v>
      </c>
      <c r="O208" s="155">
        <v>100.89286262236902</v>
      </c>
      <c r="P208" s="54">
        <v>5.5489277351969788</v>
      </c>
      <c r="R208" s="185"/>
      <c r="T208" s="61"/>
    </row>
    <row r="209" spans="1:18" s="191" customFormat="1" ht="10.7" customHeight="1" x14ac:dyDescent="0.2">
      <c r="A209" s="174"/>
      <c r="F209" s="192"/>
      <c r="I209" s="193"/>
      <c r="N209" s="194"/>
      <c r="P209" s="194"/>
      <c r="R209" s="185"/>
    </row>
    <row r="210" spans="1:18" s="191" customFormat="1" ht="10.7" customHeight="1" x14ac:dyDescent="0.2">
      <c r="A210" s="174"/>
      <c r="F210" s="192"/>
      <c r="I210" s="193"/>
      <c r="N210" s="194"/>
      <c r="P210" s="194"/>
      <c r="R210" s="185"/>
    </row>
    <row r="211" spans="1:18" s="191" customFormat="1" ht="10.7" hidden="1" customHeight="1" x14ac:dyDescent="0.2">
      <c r="A211" s="174"/>
      <c r="B211" s="14"/>
      <c r="C211" s="15" t="s">
        <v>147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5"/>
    </row>
    <row r="212" spans="1:18" s="191" customFormat="1" ht="10.7" hidden="1" customHeight="1" x14ac:dyDescent="0.2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5"/>
    </row>
    <row r="213" spans="1:18" s="191" customFormat="1" ht="10.7" hidden="1" customHeight="1" x14ac:dyDescent="0.2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44468</v>
      </c>
      <c r="K213" s="33">
        <v>44475</v>
      </c>
      <c r="L213" s="33">
        <v>44482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5"/>
    </row>
    <row r="214" spans="1:18" s="191" customFormat="1" ht="10.7" hidden="1" customHeight="1" x14ac:dyDescent="0.2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5"/>
    </row>
    <row r="215" spans="1:18" s="191" customFormat="1" ht="10.7" hidden="1" customHeight="1" x14ac:dyDescent="0.2">
      <c r="A215" s="174"/>
      <c r="B215" s="40"/>
      <c r="C215" s="231" t="s">
        <v>140</v>
      </c>
      <c r="D215" s="232"/>
      <c r="E215" s="232"/>
      <c r="F215" s="232"/>
      <c r="G215" s="232"/>
      <c r="H215" s="232"/>
      <c r="I215" s="232"/>
      <c r="J215" s="232"/>
      <c r="K215" s="232"/>
      <c r="L215" s="232"/>
      <c r="M215" s="232"/>
      <c r="N215" s="232"/>
      <c r="O215" s="232"/>
      <c r="P215" s="41" t="s">
        <v>4</v>
      </c>
      <c r="R215" s="185"/>
    </row>
    <row r="216" spans="1:18" s="191" customFormat="1" ht="10.7" hidden="1" customHeight="1" x14ac:dyDescent="0.2">
      <c r="A216" s="174"/>
      <c r="B216" s="40" t="s">
        <v>62</v>
      </c>
      <c r="C216" s="151">
        <v>64.016999999999996</v>
      </c>
      <c r="D216" s="152">
        <v>0</v>
      </c>
      <c r="E216" s="152">
        <v>0</v>
      </c>
      <c r="F216" s="153">
        <v>64.016999999999996</v>
      </c>
      <c r="G216" s="154">
        <v>3.9569999999999999</v>
      </c>
      <c r="H216" s="183">
        <v>6.1811706265523219</v>
      </c>
      <c r="I216" s="153">
        <v>60.059999999999995</v>
      </c>
      <c r="J216" s="154">
        <v>0</v>
      </c>
      <c r="K216" s="154">
        <v>0</v>
      </c>
      <c r="L216" s="154">
        <v>0</v>
      </c>
      <c r="M216" s="154">
        <v>0</v>
      </c>
      <c r="N216" s="46">
        <v>0</v>
      </c>
      <c r="O216" s="154">
        <v>0</v>
      </c>
      <c r="P216" s="41" t="s">
        <v>149</v>
      </c>
      <c r="R216" s="185"/>
    </row>
    <row r="217" spans="1:18" s="191" customFormat="1" ht="10.7" hidden="1" customHeight="1" x14ac:dyDescent="0.2">
      <c r="A217" s="174"/>
      <c r="B217" s="40" t="s">
        <v>63</v>
      </c>
      <c r="C217" s="151">
        <v>7.1840000000000002</v>
      </c>
      <c r="D217" s="152">
        <v>0</v>
      </c>
      <c r="E217" s="152">
        <v>0</v>
      </c>
      <c r="F217" s="153">
        <v>7.1840000000000002</v>
      </c>
      <c r="G217" s="154">
        <v>5.82</v>
      </c>
      <c r="H217" s="183">
        <v>81.013363028953222</v>
      </c>
      <c r="I217" s="153">
        <v>1.3639999999999999</v>
      </c>
      <c r="J217" s="154">
        <v>0</v>
      </c>
      <c r="K217" s="154">
        <v>0</v>
      </c>
      <c r="L217" s="154">
        <v>1.4800000000000004</v>
      </c>
      <c r="M217" s="154">
        <v>0</v>
      </c>
      <c r="N217" s="46">
        <v>0</v>
      </c>
      <c r="O217" s="154">
        <v>0.37000000000000011</v>
      </c>
      <c r="P217" s="41">
        <v>1.6864864864864852</v>
      </c>
      <c r="R217" s="185"/>
    </row>
    <row r="218" spans="1:18" s="191" customFormat="1" ht="10.7" hidden="1" customHeight="1" x14ac:dyDescent="0.2">
      <c r="A218" s="174"/>
      <c r="B218" s="40" t="s">
        <v>65</v>
      </c>
      <c r="C218" s="151">
        <v>2.6709999999999998</v>
      </c>
      <c r="D218" s="152">
        <v>0</v>
      </c>
      <c r="E218" s="152">
        <v>0</v>
      </c>
      <c r="F218" s="153">
        <v>2.6709999999999998</v>
      </c>
      <c r="G218" s="154">
        <v>1.7</v>
      </c>
      <c r="H218" s="183">
        <v>63.646574316735311</v>
      </c>
      <c r="I218" s="153">
        <v>0.97099999999999986</v>
      </c>
      <c r="J218" s="154">
        <v>0</v>
      </c>
      <c r="K218" s="154">
        <v>0</v>
      </c>
      <c r="L218" s="154">
        <v>0</v>
      </c>
      <c r="M218" s="154">
        <v>0</v>
      </c>
      <c r="N218" s="46">
        <v>0</v>
      </c>
      <c r="O218" s="154">
        <v>0</v>
      </c>
      <c r="P218" s="41" t="s">
        <v>149</v>
      </c>
      <c r="R218" s="185"/>
    </row>
    <row r="219" spans="1:18" s="191" customFormat="1" ht="10.7" hidden="1" customHeight="1" x14ac:dyDescent="0.2">
      <c r="A219" s="174"/>
      <c r="B219" s="40" t="s">
        <v>66</v>
      </c>
      <c r="C219" s="151">
        <v>42.249000000000002</v>
      </c>
      <c r="D219" s="152">
        <v>0</v>
      </c>
      <c r="E219" s="152">
        <v>0</v>
      </c>
      <c r="F219" s="153">
        <v>42.249000000000002</v>
      </c>
      <c r="G219" s="154">
        <v>0</v>
      </c>
      <c r="H219" s="183">
        <v>0</v>
      </c>
      <c r="I219" s="153">
        <v>42.249000000000002</v>
      </c>
      <c r="J219" s="154">
        <v>1.4870000076293959</v>
      </c>
      <c r="K219" s="154">
        <v>7.7059999999999995</v>
      </c>
      <c r="L219" s="154">
        <v>0</v>
      </c>
      <c r="M219" s="154">
        <v>0</v>
      </c>
      <c r="N219" s="46">
        <v>0</v>
      </c>
      <c r="O219" s="154">
        <v>2.2982500019073488</v>
      </c>
      <c r="P219" s="41">
        <v>16.383117574213852</v>
      </c>
      <c r="R219" s="185"/>
    </row>
    <row r="220" spans="1:18" s="191" customFormat="1" ht="10.7" hidden="1" customHeight="1" x14ac:dyDescent="0.2">
      <c r="A220" s="174"/>
      <c r="B220" s="40" t="s">
        <v>67</v>
      </c>
      <c r="C220" s="151">
        <v>0.68200000000000005</v>
      </c>
      <c r="D220" s="152">
        <v>0</v>
      </c>
      <c r="E220" s="152">
        <v>0</v>
      </c>
      <c r="F220" s="153">
        <v>0.68200000000000005</v>
      </c>
      <c r="G220" s="154">
        <v>17.2480000076294</v>
      </c>
      <c r="H220" s="183">
        <v>2529.0322591831964</v>
      </c>
      <c r="I220" s="153">
        <v>-16.566000007629402</v>
      </c>
      <c r="J220" s="154">
        <v>0</v>
      </c>
      <c r="K220" s="154">
        <v>0</v>
      </c>
      <c r="L220" s="154">
        <v>0.48000000000000043</v>
      </c>
      <c r="M220" s="154">
        <v>1.3470000000000049</v>
      </c>
      <c r="N220" s="46">
        <v>197.50733137829982</v>
      </c>
      <c r="O220" s="154">
        <v>0.45675000000000132</v>
      </c>
      <c r="P220" s="41" t="s">
        <v>150</v>
      </c>
      <c r="R220" s="185"/>
    </row>
    <row r="221" spans="1:18" s="191" customFormat="1" ht="10.7" hidden="1" customHeight="1" x14ac:dyDescent="0.2">
      <c r="A221" s="174"/>
      <c r="B221" s="40" t="s">
        <v>68</v>
      </c>
      <c r="C221" s="151">
        <v>0.11600000000000001</v>
      </c>
      <c r="D221" s="152">
        <v>0</v>
      </c>
      <c r="E221" s="152">
        <v>0</v>
      </c>
      <c r="F221" s="153">
        <v>0.11600000000000001</v>
      </c>
      <c r="G221" s="154">
        <v>0</v>
      </c>
      <c r="H221" s="183">
        <v>0</v>
      </c>
      <c r="I221" s="153">
        <v>0.11600000000000001</v>
      </c>
      <c r="J221" s="154">
        <v>0</v>
      </c>
      <c r="K221" s="154">
        <v>0</v>
      </c>
      <c r="L221" s="154">
        <v>0</v>
      </c>
      <c r="M221" s="154">
        <v>0</v>
      </c>
      <c r="N221" s="46">
        <v>0</v>
      </c>
      <c r="O221" s="154">
        <v>0</v>
      </c>
      <c r="P221" s="41" t="s">
        <v>150</v>
      </c>
      <c r="R221" s="185"/>
    </row>
    <row r="222" spans="1:18" s="191" customFormat="1" ht="11.25" hidden="1" customHeight="1" x14ac:dyDescent="0.2">
      <c r="A222" s="190"/>
      <c r="B222" s="40" t="s">
        <v>69</v>
      </c>
      <c r="C222" s="151">
        <v>1.3</v>
      </c>
      <c r="D222" s="152">
        <v>0</v>
      </c>
      <c r="E222" s="152">
        <v>0</v>
      </c>
      <c r="F222" s="153">
        <v>1.3</v>
      </c>
      <c r="G222" s="154">
        <v>0</v>
      </c>
      <c r="H222" s="183">
        <v>0</v>
      </c>
      <c r="I222" s="153">
        <v>1.3</v>
      </c>
      <c r="J222" s="154">
        <v>0</v>
      </c>
      <c r="K222" s="154">
        <v>0</v>
      </c>
      <c r="L222" s="154">
        <v>0</v>
      </c>
      <c r="M222" s="154">
        <v>0</v>
      </c>
      <c r="N222" s="46">
        <v>0</v>
      </c>
      <c r="O222" s="154">
        <v>0</v>
      </c>
      <c r="P222" s="41" t="s">
        <v>150</v>
      </c>
      <c r="R222" s="185"/>
    </row>
    <row r="223" spans="1:18" s="191" customFormat="1" ht="12" hidden="1" customHeight="1" x14ac:dyDescent="0.2">
      <c r="A223" s="174"/>
      <c r="B223" s="40" t="s">
        <v>70</v>
      </c>
      <c r="C223" s="151">
        <v>-7.9</v>
      </c>
      <c r="D223" s="152">
        <v>0</v>
      </c>
      <c r="E223" s="152">
        <v>0</v>
      </c>
      <c r="F223" s="153">
        <v>-7.9</v>
      </c>
      <c r="G223" s="154">
        <v>0</v>
      </c>
      <c r="H223" s="183">
        <v>0</v>
      </c>
      <c r="I223" s="153">
        <v>-7.9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150</v>
      </c>
      <c r="R223" s="185"/>
    </row>
    <row r="224" spans="1:18" s="191" customFormat="1" ht="12" hidden="1" customHeight="1" x14ac:dyDescent="0.2">
      <c r="A224" s="174"/>
      <c r="B224" s="40" t="s">
        <v>71</v>
      </c>
      <c r="C224" s="151">
        <v>56.000999999999998</v>
      </c>
      <c r="D224" s="152">
        <v>0</v>
      </c>
      <c r="E224" s="152">
        <v>0</v>
      </c>
      <c r="F224" s="153">
        <v>56.000999999999998</v>
      </c>
      <c r="G224" s="154">
        <v>0</v>
      </c>
      <c r="H224" s="183">
        <v>0</v>
      </c>
      <c r="I224" s="153">
        <v>56.000999999999998</v>
      </c>
      <c r="J224" s="154">
        <v>0</v>
      </c>
      <c r="K224" s="154">
        <v>0</v>
      </c>
      <c r="L224" s="154">
        <v>0</v>
      </c>
      <c r="M224" s="154">
        <v>0</v>
      </c>
      <c r="N224" s="46">
        <v>0</v>
      </c>
      <c r="O224" s="154">
        <v>0</v>
      </c>
      <c r="P224" s="41" t="s">
        <v>149</v>
      </c>
      <c r="R224" s="185"/>
    </row>
    <row r="225" spans="1:18" s="191" customFormat="1" ht="10.7" hidden="1" customHeight="1" x14ac:dyDescent="0.2">
      <c r="A225" s="190"/>
      <c r="B225" s="40" t="s">
        <v>72</v>
      </c>
      <c r="C225" s="151">
        <v>29.056000000000001</v>
      </c>
      <c r="D225" s="152">
        <v>0</v>
      </c>
      <c r="E225" s="152">
        <v>-10</v>
      </c>
      <c r="F225" s="153">
        <v>19.056000000000001</v>
      </c>
      <c r="G225" s="154">
        <v>0.21</v>
      </c>
      <c r="H225" s="183">
        <v>1.1020151133501259</v>
      </c>
      <c r="I225" s="153">
        <v>18.846</v>
      </c>
      <c r="J225" s="154">
        <v>0</v>
      </c>
      <c r="K225" s="154">
        <v>0</v>
      </c>
      <c r="L225" s="154">
        <v>0</v>
      </c>
      <c r="M225" s="154">
        <v>0</v>
      </c>
      <c r="N225" s="46">
        <v>0</v>
      </c>
      <c r="O225" s="154">
        <v>0</v>
      </c>
      <c r="P225" s="41" t="s">
        <v>149</v>
      </c>
      <c r="R225" s="185"/>
    </row>
    <row r="226" spans="1:18" s="191" customFormat="1" ht="10.7" hidden="1" customHeight="1" x14ac:dyDescent="0.2">
      <c r="A226" s="190"/>
      <c r="B226" s="47" t="s">
        <v>73</v>
      </c>
      <c r="C226" s="151">
        <v>195.376</v>
      </c>
      <c r="D226" s="152">
        <v>0</v>
      </c>
      <c r="E226" s="152">
        <v>-10</v>
      </c>
      <c r="F226" s="153">
        <v>185.376</v>
      </c>
      <c r="G226" s="154">
        <v>28.935000007629402</v>
      </c>
      <c r="H226" s="183">
        <v>15.608816679413408</v>
      </c>
      <c r="I226" s="153">
        <v>156.44099999237059</v>
      </c>
      <c r="J226" s="154">
        <v>1.4870000076293959</v>
      </c>
      <c r="K226" s="154">
        <v>7.7059999999999995</v>
      </c>
      <c r="L226" s="154">
        <v>1.9600000000000009</v>
      </c>
      <c r="M226" s="154">
        <v>1.3470000000000049</v>
      </c>
      <c r="N226" s="46">
        <v>197.50733137829982</v>
      </c>
      <c r="O226" s="154">
        <v>3.1250000019073503</v>
      </c>
      <c r="P226" s="41">
        <v>48.061119967003684</v>
      </c>
      <c r="R226" s="185"/>
    </row>
    <row r="227" spans="1:18" s="191" customFormat="1" ht="10.7" hidden="1" customHeight="1" x14ac:dyDescent="0.2">
      <c r="A227" s="190"/>
      <c r="B227" s="40"/>
      <c r="C227" s="151"/>
      <c r="D227" s="154"/>
      <c r="E227" s="152"/>
      <c r="F227" s="153"/>
      <c r="G227" s="154"/>
      <c r="H227" s="183"/>
      <c r="I227" s="153"/>
      <c r="J227" s="154"/>
      <c r="K227" s="154"/>
      <c r="L227" s="154"/>
      <c r="M227" s="154"/>
      <c r="N227" s="46"/>
      <c r="O227" s="154"/>
      <c r="P227" s="41"/>
      <c r="R227" s="185"/>
    </row>
    <row r="228" spans="1:18" s="191" customFormat="1" ht="12" hidden="1" customHeight="1" x14ac:dyDescent="0.2">
      <c r="A228" s="174"/>
      <c r="B228" s="40" t="s">
        <v>74</v>
      </c>
      <c r="C228" s="151">
        <v>11.368</v>
      </c>
      <c r="D228" s="152">
        <v>0</v>
      </c>
      <c r="E228" s="152">
        <v>0</v>
      </c>
      <c r="F228" s="153">
        <v>11.368</v>
      </c>
      <c r="G228" s="154">
        <v>0.50049999859184036</v>
      </c>
      <c r="H228" s="183">
        <v>4.4027093472188632</v>
      </c>
      <c r="I228" s="153">
        <v>10.86750000140816</v>
      </c>
      <c r="J228" s="154">
        <v>9.0000000000000635E-3</v>
      </c>
      <c r="K228" s="154">
        <v>1.2000000000000011E-2</v>
      </c>
      <c r="L228" s="154">
        <v>4.6000000000000041E-2</v>
      </c>
      <c r="M228" s="154">
        <v>4.7249999999999959E-2</v>
      </c>
      <c r="N228" s="46">
        <v>0.4156403940886696</v>
      </c>
      <c r="O228" s="154">
        <v>2.8562500000000018E-2</v>
      </c>
      <c r="P228" s="41" t="s">
        <v>149</v>
      </c>
      <c r="R228" s="185"/>
    </row>
    <row r="229" spans="1:18" s="191" customFormat="1" ht="10.7" hidden="1" customHeight="1" x14ac:dyDescent="0.2">
      <c r="A229" s="190"/>
      <c r="B229" s="40" t="s">
        <v>75</v>
      </c>
      <c r="C229" s="151">
        <v>2.036</v>
      </c>
      <c r="D229" s="152">
        <v>0</v>
      </c>
      <c r="E229" s="152">
        <v>0</v>
      </c>
      <c r="F229" s="153">
        <v>2.036</v>
      </c>
      <c r="G229" s="154">
        <v>0.03</v>
      </c>
      <c r="H229" s="183">
        <v>1.4734774066797642</v>
      </c>
      <c r="I229" s="153">
        <v>2.0060000000000002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149</v>
      </c>
      <c r="R229" s="185"/>
    </row>
    <row r="230" spans="1:18" s="191" customFormat="1" ht="10.7" hidden="1" customHeight="1" x14ac:dyDescent="0.2">
      <c r="A230" s="190"/>
      <c r="B230" s="40" t="s">
        <v>157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3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5"/>
    </row>
    <row r="231" spans="1:18" s="191" customFormat="1" ht="10.7" hidden="1" customHeight="1" x14ac:dyDescent="0.2">
      <c r="A231" s="190"/>
      <c r="B231" s="40" t="s">
        <v>76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3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5"/>
    </row>
    <row r="232" spans="1:18" s="191" customFormat="1" ht="10.7" hidden="1" customHeight="1" x14ac:dyDescent="0.2">
      <c r="A232" s="190"/>
      <c r="B232" s="40" t="s">
        <v>77</v>
      </c>
      <c r="C232" s="151">
        <v>49.235999999999997</v>
      </c>
      <c r="D232" s="152">
        <v>0</v>
      </c>
      <c r="E232" s="152">
        <v>0</v>
      </c>
      <c r="F232" s="153">
        <v>49.235999999999997</v>
      </c>
      <c r="G232" s="154">
        <v>0.97900000095367434</v>
      </c>
      <c r="H232" s="183">
        <v>1.988382486297982</v>
      </c>
      <c r="I232" s="153">
        <v>48.256999999046322</v>
      </c>
      <c r="J232" s="154">
        <v>0</v>
      </c>
      <c r="K232" s="154">
        <v>0</v>
      </c>
      <c r="L232" s="154">
        <v>0</v>
      </c>
      <c r="M232" s="154">
        <v>0</v>
      </c>
      <c r="N232" s="46">
        <v>0</v>
      </c>
      <c r="O232" s="154">
        <v>0</v>
      </c>
      <c r="P232" s="41" t="s">
        <v>149</v>
      </c>
      <c r="R232" s="185"/>
    </row>
    <row r="233" spans="1:18" s="191" customFormat="1" ht="10.7" hidden="1" customHeight="1" x14ac:dyDescent="0.2">
      <c r="A233" s="190"/>
      <c r="B233" s="40" t="s">
        <v>78</v>
      </c>
      <c r="C233" s="151">
        <v>26.111000000000001</v>
      </c>
      <c r="D233" s="152">
        <v>0</v>
      </c>
      <c r="E233" s="152">
        <v>-26.1</v>
      </c>
      <c r="F233" s="153">
        <v>1.0999999999999233E-2</v>
      </c>
      <c r="G233" s="154">
        <v>0.01</v>
      </c>
      <c r="H233" s="183">
        <v>90.909090909097245</v>
      </c>
      <c r="I233" s="153">
        <v>9.9999999999923241E-4</v>
      </c>
      <c r="J233" s="154">
        <v>0</v>
      </c>
      <c r="K233" s="154">
        <v>0</v>
      </c>
      <c r="L233" s="154">
        <v>0</v>
      </c>
      <c r="M233" s="154">
        <v>0</v>
      </c>
      <c r="N233" s="46">
        <v>0</v>
      </c>
      <c r="O233" s="154">
        <v>0</v>
      </c>
      <c r="P233" s="41" t="s">
        <v>149</v>
      </c>
      <c r="R233" s="185"/>
    </row>
    <row r="234" spans="1:18" s="191" customFormat="1" ht="10.7" hidden="1" customHeight="1" x14ac:dyDescent="0.2">
      <c r="A234" s="190"/>
      <c r="B234" s="40" t="s">
        <v>79</v>
      </c>
      <c r="C234" s="151">
        <v>0.26700000000000002</v>
      </c>
      <c r="D234" s="152">
        <v>0</v>
      </c>
      <c r="E234" s="152">
        <v>0</v>
      </c>
      <c r="F234" s="153">
        <v>0.26700000000000002</v>
      </c>
      <c r="G234" s="154">
        <v>2.1864999661445625</v>
      </c>
      <c r="H234" s="183">
        <v>818.91384499796345</v>
      </c>
      <c r="I234" s="153">
        <v>-1.9194999661445626</v>
      </c>
      <c r="J234" s="154">
        <v>0</v>
      </c>
      <c r="K234" s="154">
        <v>0</v>
      </c>
      <c r="L234" s="154">
        <v>0</v>
      </c>
      <c r="M234" s="154">
        <v>0</v>
      </c>
      <c r="N234" s="46">
        <v>0</v>
      </c>
      <c r="O234" s="154">
        <v>0</v>
      </c>
      <c r="P234" s="41">
        <v>0</v>
      </c>
      <c r="R234" s="185"/>
    </row>
    <row r="235" spans="1:18" s="191" customFormat="1" ht="10.7" hidden="1" customHeight="1" x14ac:dyDescent="0.2">
      <c r="A235" s="190"/>
      <c r="B235" s="40" t="s">
        <v>80</v>
      </c>
      <c r="C235" s="151">
        <v>0.46200000000000002</v>
      </c>
      <c r="D235" s="152">
        <v>0</v>
      </c>
      <c r="E235" s="152">
        <v>0</v>
      </c>
      <c r="F235" s="153">
        <v>0.46200000000000002</v>
      </c>
      <c r="G235" s="154">
        <v>0</v>
      </c>
      <c r="H235" s="183">
        <v>0</v>
      </c>
      <c r="I235" s="153">
        <v>0.46200000000000002</v>
      </c>
      <c r="J235" s="154">
        <v>0</v>
      </c>
      <c r="K235" s="154">
        <v>0</v>
      </c>
      <c r="L235" s="154">
        <v>0</v>
      </c>
      <c r="M235" s="154">
        <v>0</v>
      </c>
      <c r="N235" s="46">
        <v>0</v>
      </c>
      <c r="O235" s="154">
        <v>0</v>
      </c>
      <c r="P235" s="41" t="s">
        <v>149</v>
      </c>
      <c r="R235" s="185"/>
    </row>
    <row r="236" spans="1:18" s="191" customFormat="1" ht="10.7" hidden="1" customHeight="1" x14ac:dyDescent="0.2">
      <c r="A236" s="190"/>
      <c r="B236" s="40" t="s">
        <v>81</v>
      </c>
      <c r="C236" s="151">
        <v>0.71599999999999997</v>
      </c>
      <c r="D236" s="152">
        <v>0</v>
      </c>
      <c r="E236" s="152">
        <v>0</v>
      </c>
      <c r="F236" s="153">
        <v>0.71599999999999997</v>
      </c>
      <c r="G236" s="154">
        <v>4.4439999732971174</v>
      </c>
      <c r="H236" s="183">
        <v>620.67038733199956</v>
      </c>
      <c r="I236" s="153">
        <v>-3.7279999732971172</v>
      </c>
      <c r="J236" s="154">
        <v>0</v>
      </c>
      <c r="K236" s="154">
        <v>4.0000000000000036E-2</v>
      </c>
      <c r="L236" s="154">
        <v>1.0049999732971187</v>
      </c>
      <c r="M236" s="154">
        <v>1.0599999999999996</v>
      </c>
      <c r="N236" s="46">
        <v>148.04469273743013</v>
      </c>
      <c r="O236" s="154">
        <v>0.52624999332427957</v>
      </c>
      <c r="P236" s="41">
        <v>0</v>
      </c>
      <c r="R236" s="185"/>
    </row>
    <row r="237" spans="1:18" s="191" customFormat="1" ht="10.7" hidden="1" customHeight="1" x14ac:dyDescent="0.2">
      <c r="A237" s="190"/>
      <c r="B237" s="184" t="s">
        <v>82</v>
      </c>
      <c r="C237" s="151">
        <v>1.026</v>
      </c>
      <c r="D237" s="152">
        <v>0</v>
      </c>
      <c r="E237" s="152">
        <v>46.1</v>
      </c>
      <c r="F237" s="153">
        <v>47.126000000000005</v>
      </c>
      <c r="G237" s="154">
        <v>72.606000187173564</v>
      </c>
      <c r="H237" s="183">
        <v>154.0678185867113</v>
      </c>
      <c r="I237" s="153">
        <v>-25.480000187173559</v>
      </c>
      <c r="J237" s="154">
        <v>4.0489999923706534</v>
      </c>
      <c r="K237" s="154">
        <v>2.0570000305175853</v>
      </c>
      <c r="L237" s="154">
        <v>3.1279999961853235</v>
      </c>
      <c r="M237" s="154">
        <v>2.3940000000000055</v>
      </c>
      <c r="N237" s="46">
        <v>233.33333333333388</v>
      </c>
      <c r="O237" s="154">
        <v>2.9070000047683919</v>
      </c>
      <c r="P237" s="41">
        <v>0</v>
      </c>
      <c r="R237" s="185"/>
    </row>
    <row r="238" spans="1:18" s="191" customFormat="1" ht="10.7" hidden="1" customHeight="1" x14ac:dyDescent="0.2">
      <c r="A238" s="206"/>
      <c r="B238" s="184" t="s">
        <v>83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3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150</v>
      </c>
      <c r="R238" s="185"/>
    </row>
    <row r="239" spans="1:18" s="191" customFormat="1" ht="10.7" hidden="1" customHeight="1" x14ac:dyDescent="0.2">
      <c r="A239" s="206"/>
      <c r="B239" s="205" t="s">
        <v>84</v>
      </c>
      <c r="C239" s="151">
        <v>109.93600000000001</v>
      </c>
      <c r="D239" s="152">
        <v>0</v>
      </c>
      <c r="E239" s="152">
        <v>-109.9</v>
      </c>
      <c r="F239" s="153">
        <v>3.6000000000001364E-2</v>
      </c>
      <c r="G239" s="154">
        <v>0</v>
      </c>
      <c r="H239" s="183">
        <v>0</v>
      </c>
      <c r="I239" s="153">
        <v>3.6000000000001364E-2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 t="s">
        <v>149</v>
      </c>
      <c r="R239" s="185"/>
    </row>
    <row r="240" spans="1:18" s="191" customFormat="1" ht="10.7" hidden="1" customHeight="1" x14ac:dyDescent="0.2">
      <c r="A240" s="206"/>
      <c r="B240" s="40" t="s">
        <v>85</v>
      </c>
      <c r="C240" s="151">
        <v>154.35300000000001</v>
      </c>
      <c r="D240" s="152">
        <v>0</v>
      </c>
      <c r="E240" s="152">
        <v>0</v>
      </c>
      <c r="F240" s="153">
        <v>154.35300000000001</v>
      </c>
      <c r="G240" s="154">
        <v>154.71700062984229</v>
      </c>
      <c r="H240" s="183">
        <v>100.23582348891327</v>
      </c>
      <c r="I240" s="153">
        <v>-0.36400062984228043</v>
      </c>
      <c r="J240" s="154">
        <v>1.1999999999986244E-2</v>
      </c>
      <c r="K240" s="154">
        <v>18.568999999999988</v>
      </c>
      <c r="L240" s="154">
        <v>0.44299999999999784</v>
      </c>
      <c r="M240" s="154">
        <v>33.658000488281289</v>
      </c>
      <c r="N240" s="46">
        <v>21.80586090861939</v>
      </c>
      <c r="O240" s="154">
        <v>13.170500122070315</v>
      </c>
      <c r="P240" s="41">
        <v>0</v>
      </c>
      <c r="R240" s="185"/>
    </row>
    <row r="241" spans="1:254" s="191" customFormat="1" ht="10.7" hidden="1" customHeight="1" x14ac:dyDescent="0.2">
      <c r="A241" s="206"/>
      <c r="B241" s="196" t="s">
        <v>86</v>
      </c>
      <c r="C241" s="151">
        <v>550.88700000000006</v>
      </c>
      <c r="D241" s="154">
        <v>0</v>
      </c>
      <c r="E241" s="152">
        <v>-99.900000000000091</v>
      </c>
      <c r="F241" s="153">
        <v>450.98699999999997</v>
      </c>
      <c r="G241" s="154">
        <v>264.40800076363246</v>
      </c>
      <c r="H241" s="183">
        <v>58.628741130815847</v>
      </c>
      <c r="I241" s="153">
        <v>186.57899923636751</v>
      </c>
      <c r="J241" s="154">
        <v>5.5570000000000359</v>
      </c>
      <c r="K241" s="154">
        <v>28.384000030517573</v>
      </c>
      <c r="L241" s="154">
        <v>6.5819999694824407</v>
      </c>
      <c r="M241" s="154">
        <v>38.506250488281296</v>
      </c>
      <c r="N241" s="46">
        <v>6.9898637085793078</v>
      </c>
      <c r="O241" s="154">
        <v>19.757312622070337</v>
      </c>
      <c r="P241" s="41">
        <v>7.443541376570888</v>
      </c>
      <c r="R241" s="185"/>
    </row>
    <row r="242" spans="1:254" s="191" customFormat="1" ht="10.7" hidden="1" customHeight="1" x14ac:dyDescent="0.2">
      <c r="A242" s="206"/>
      <c r="B242" s="205"/>
      <c r="C242" s="151"/>
      <c r="D242" s="154"/>
      <c r="E242" s="152"/>
      <c r="F242" s="153"/>
      <c r="G242" s="154"/>
      <c r="H242" s="183"/>
      <c r="I242" s="153"/>
      <c r="J242" s="154"/>
      <c r="K242" s="154"/>
      <c r="L242" s="154"/>
      <c r="M242" s="154"/>
      <c r="N242" s="46"/>
      <c r="O242" s="154"/>
      <c r="P242" s="41"/>
      <c r="R242" s="185"/>
    </row>
    <row r="243" spans="1:254" s="191" customFormat="1" ht="10.7" hidden="1" customHeight="1" x14ac:dyDescent="0.2">
      <c r="A243" s="206"/>
      <c r="B243" s="57" t="s">
        <v>87</v>
      </c>
      <c r="C243" s="151">
        <v>103.712</v>
      </c>
      <c r="D243" s="152">
        <v>0</v>
      </c>
      <c r="E243" s="152">
        <v>0</v>
      </c>
      <c r="F243" s="153">
        <v>103.712</v>
      </c>
      <c r="G243" s="154">
        <v>0</v>
      </c>
      <c r="H243" s="183">
        <v>0</v>
      </c>
      <c r="I243" s="153">
        <v>103.712</v>
      </c>
      <c r="J243" s="154">
        <v>0</v>
      </c>
      <c r="K243" s="154">
        <v>0</v>
      </c>
      <c r="L243" s="154">
        <v>0</v>
      </c>
      <c r="M243" s="154">
        <v>0</v>
      </c>
      <c r="N243" s="46">
        <v>0</v>
      </c>
      <c r="O243" s="154">
        <v>0</v>
      </c>
      <c r="P243" s="41" t="s">
        <v>150</v>
      </c>
      <c r="R243" s="185"/>
    </row>
    <row r="244" spans="1:254" s="191" customFormat="1" ht="10.7" hidden="1" customHeight="1" x14ac:dyDescent="0.2">
      <c r="A244" s="206"/>
      <c r="B244" s="49" t="s">
        <v>88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3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150</v>
      </c>
      <c r="R244" s="185"/>
    </row>
    <row r="245" spans="1:254" s="191" customFormat="1" ht="10.7" hidden="1" customHeight="1" x14ac:dyDescent="0.2">
      <c r="A245" s="173" t="s">
        <v>89</v>
      </c>
      <c r="B245" s="49" t="s">
        <v>95</v>
      </c>
      <c r="C245" s="151">
        <v>1074.6490000000001</v>
      </c>
      <c r="D245" s="152">
        <v>0</v>
      </c>
      <c r="E245" s="152">
        <v>99.899999999999864</v>
      </c>
      <c r="F245" s="153">
        <v>1174.549</v>
      </c>
      <c r="G245" s="154">
        <v>63.258570000752783</v>
      </c>
      <c r="H245" s="183">
        <v>5.3857753061603031</v>
      </c>
      <c r="I245" s="153">
        <v>1111.2904299992472</v>
      </c>
      <c r="J245" s="154">
        <v>1.8782499999999898</v>
      </c>
      <c r="K245" s="154">
        <v>4.4052500000000041</v>
      </c>
      <c r="L245" s="154">
        <v>7.2234500001072623</v>
      </c>
      <c r="M245" s="154">
        <v>2.765250001087785</v>
      </c>
      <c r="N245" s="46">
        <v>0.25731657509454575</v>
      </c>
      <c r="O245" s="154">
        <v>4.0680500002987605</v>
      </c>
      <c r="P245" s="41" t="s">
        <v>149</v>
      </c>
      <c r="R245" s="185"/>
    </row>
    <row r="246" spans="1:254" s="191" customFormat="1" ht="10.7" hidden="1" customHeight="1" x14ac:dyDescent="0.2">
      <c r="A246" s="206"/>
      <c r="B246" s="49"/>
      <c r="C246" s="151"/>
      <c r="D246" s="152"/>
      <c r="E246" s="152"/>
      <c r="F246" s="153"/>
      <c r="G246" s="154"/>
      <c r="H246" s="183"/>
      <c r="I246" s="153"/>
      <c r="J246" s="154"/>
      <c r="K246" s="154"/>
      <c r="L246" s="154"/>
      <c r="M246" s="154"/>
      <c r="N246" s="46"/>
      <c r="O246" s="154"/>
      <c r="P246" s="41"/>
      <c r="R246" s="185"/>
    </row>
    <row r="247" spans="1:254" s="191" customFormat="1" ht="10.7" hidden="1" customHeight="1" x14ac:dyDescent="0.2">
      <c r="A247" s="206"/>
      <c r="B247" s="40" t="s">
        <v>90</v>
      </c>
      <c r="C247" s="151">
        <v>0</v>
      </c>
      <c r="D247" s="152"/>
      <c r="E247" s="152"/>
      <c r="F247" s="153">
        <v>0</v>
      </c>
      <c r="G247" s="154"/>
      <c r="H247" s="183"/>
      <c r="I247" s="153">
        <v>0</v>
      </c>
      <c r="J247" s="154"/>
      <c r="K247" s="154"/>
      <c r="L247" s="154"/>
      <c r="M247" s="154"/>
      <c r="N247" s="46"/>
      <c r="O247" s="154"/>
      <c r="P247" s="41"/>
      <c r="R247" s="185"/>
    </row>
    <row r="248" spans="1:254" s="191" customFormat="1" ht="10.7" hidden="1" customHeight="1" x14ac:dyDescent="0.2">
      <c r="A248" s="190"/>
      <c r="B248" s="197" t="s">
        <v>91</v>
      </c>
      <c r="C248" s="157">
        <v>1729.248</v>
      </c>
      <c r="D248" s="155">
        <v>0</v>
      </c>
      <c r="E248" s="155">
        <v>-2.2737367544323206E-13</v>
      </c>
      <c r="F248" s="156">
        <v>1729.248</v>
      </c>
      <c r="G248" s="155">
        <v>327.66657076438526</v>
      </c>
      <c r="H248" s="188">
        <v>18.948500779783192</v>
      </c>
      <c r="I248" s="156">
        <v>1401.5814292356149</v>
      </c>
      <c r="J248" s="155">
        <v>7.4352500000000257</v>
      </c>
      <c r="K248" s="155">
        <v>32.789250030517579</v>
      </c>
      <c r="L248" s="155">
        <v>13.805449969589745</v>
      </c>
      <c r="M248" s="155">
        <v>41.271500489369082</v>
      </c>
      <c r="N248" s="58">
        <v>2.3866733105586406</v>
      </c>
      <c r="O248" s="155">
        <v>23.825362622369106</v>
      </c>
      <c r="P248" s="54" t="s">
        <v>149</v>
      </c>
      <c r="R248" s="185"/>
    </row>
    <row r="249" spans="1:254" ht="10.7" hidden="1" customHeight="1" x14ac:dyDescent="0.2">
      <c r="B249" s="198" t="s">
        <v>167</v>
      </c>
      <c r="C249" s="198"/>
      <c r="D249" s="198"/>
      <c r="E249" s="198"/>
      <c r="F249" s="199"/>
      <c r="G249" s="198"/>
      <c r="H249" s="198"/>
      <c r="I249" s="200"/>
      <c r="J249" s="198"/>
      <c r="K249" s="198"/>
      <c r="L249" s="198"/>
      <c r="M249" s="198"/>
      <c r="N249" s="201"/>
      <c r="O249" s="198"/>
      <c r="P249" s="201"/>
      <c r="Q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/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  <c r="BZ249" s="198"/>
      <c r="CA249" s="198"/>
      <c r="CB249" s="198"/>
      <c r="CC249" s="198"/>
      <c r="CD249" s="198"/>
      <c r="CE249" s="198"/>
      <c r="CF249" s="198"/>
      <c r="CG249" s="198"/>
      <c r="CH249" s="198"/>
      <c r="CI249" s="198"/>
      <c r="CJ249" s="198"/>
      <c r="CK249" s="198"/>
      <c r="CL249" s="198"/>
      <c r="CM249" s="198"/>
      <c r="CN249" s="198"/>
      <c r="CO249" s="198"/>
      <c r="CP249" s="198"/>
      <c r="CQ249" s="198"/>
      <c r="CR249" s="198"/>
      <c r="CS249" s="198"/>
      <c r="CT249" s="198"/>
      <c r="CU249" s="198"/>
      <c r="CV249" s="198"/>
      <c r="CW249" s="198"/>
      <c r="CX249" s="198"/>
      <c r="CY249" s="198"/>
      <c r="CZ249" s="198"/>
      <c r="DA249" s="198"/>
      <c r="DB249" s="198"/>
      <c r="DC249" s="198"/>
      <c r="DD249" s="198"/>
      <c r="DE249" s="198"/>
      <c r="DF249" s="198"/>
      <c r="DG249" s="198"/>
      <c r="DH249" s="198"/>
      <c r="DI249" s="198"/>
      <c r="DJ249" s="198"/>
      <c r="DK249" s="198"/>
      <c r="DL249" s="198"/>
      <c r="DM249" s="198"/>
      <c r="DN249" s="198"/>
      <c r="DO249" s="198"/>
      <c r="DP249" s="198"/>
      <c r="DQ249" s="198"/>
      <c r="DR249" s="198"/>
      <c r="DS249" s="198"/>
      <c r="DT249" s="198"/>
      <c r="DU249" s="198"/>
      <c r="DV249" s="198"/>
      <c r="DW249" s="198"/>
      <c r="DX249" s="198"/>
      <c r="DY249" s="198"/>
      <c r="DZ249" s="198"/>
      <c r="EA249" s="198"/>
      <c r="EB249" s="198"/>
      <c r="EC249" s="198"/>
      <c r="ED249" s="198"/>
      <c r="EE249" s="198"/>
      <c r="EF249" s="198"/>
      <c r="EG249" s="198"/>
      <c r="EH249" s="198"/>
      <c r="EI249" s="198"/>
      <c r="EJ249" s="198"/>
      <c r="EK249" s="198"/>
      <c r="EL249" s="198"/>
      <c r="EM249" s="198"/>
      <c r="EN249" s="198"/>
      <c r="EO249" s="198"/>
      <c r="EP249" s="198"/>
      <c r="EQ249" s="198"/>
      <c r="ER249" s="198"/>
      <c r="ES249" s="198"/>
      <c r="ET249" s="198"/>
      <c r="EU249" s="198"/>
      <c r="EV249" s="198"/>
      <c r="EW249" s="198"/>
      <c r="EX249" s="198"/>
      <c r="EY249" s="198"/>
      <c r="EZ249" s="198"/>
      <c r="FA249" s="198"/>
      <c r="FB249" s="198"/>
      <c r="FC249" s="198"/>
      <c r="FD249" s="198"/>
      <c r="FE249" s="198"/>
      <c r="FF249" s="198"/>
      <c r="FG249" s="198"/>
      <c r="FH249" s="198"/>
      <c r="FI249" s="198"/>
      <c r="FJ249" s="198"/>
      <c r="FK249" s="198"/>
      <c r="FL249" s="198"/>
      <c r="FM249" s="198"/>
      <c r="FN249" s="198"/>
      <c r="FO249" s="198"/>
      <c r="FP249" s="198"/>
      <c r="FQ249" s="198"/>
      <c r="FR249" s="198"/>
      <c r="FS249" s="198"/>
      <c r="FT249" s="198"/>
      <c r="FU249" s="198"/>
      <c r="FV249" s="198"/>
      <c r="FW249" s="198"/>
      <c r="FX249" s="198"/>
      <c r="FY249" s="198"/>
      <c r="FZ249" s="198"/>
      <c r="GA249" s="198"/>
      <c r="GB249" s="198"/>
      <c r="GC249" s="198"/>
      <c r="GD249" s="198"/>
      <c r="GE249" s="198"/>
      <c r="GF249" s="198"/>
      <c r="GG249" s="198"/>
      <c r="GH249" s="198"/>
      <c r="GI249" s="198"/>
      <c r="GJ249" s="198"/>
      <c r="GK249" s="198"/>
      <c r="GL249" s="198"/>
      <c r="GM249" s="198"/>
      <c r="GN249" s="198"/>
      <c r="GO249" s="198"/>
      <c r="GP249" s="198"/>
      <c r="GQ249" s="198"/>
      <c r="GR249" s="198"/>
      <c r="GS249" s="198"/>
      <c r="GT249" s="198"/>
      <c r="GU249" s="198"/>
      <c r="GV249" s="198"/>
      <c r="GW249" s="198"/>
      <c r="GX249" s="198"/>
      <c r="GY249" s="198"/>
      <c r="GZ249" s="198"/>
      <c r="HA249" s="198"/>
      <c r="HB249" s="198"/>
      <c r="HC249" s="198"/>
      <c r="HD249" s="198"/>
      <c r="HE249" s="198"/>
      <c r="HF249" s="198"/>
      <c r="HG249" s="198"/>
      <c r="HH249" s="198"/>
      <c r="HI249" s="198"/>
      <c r="HJ249" s="198"/>
      <c r="HK249" s="198"/>
      <c r="HL249" s="198"/>
      <c r="HM249" s="198"/>
      <c r="HN249" s="198"/>
      <c r="HO249" s="198"/>
      <c r="HP249" s="198"/>
      <c r="HQ249" s="198"/>
      <c r="HR249" s="198"/>
      <c r="HS249" s="198"/>
      <c r="HT249" s="198"/>
      <c r="HU249" s="198"/>
      <c r="HV249" s="198"/>
      <c r="HW249" s="198"/>
      <c r="HX249" s="198"/>
      <c r="HY249" s="198"/>
      <c r="HZ249" s="198"/>
      <c r="IA249" s="198"/>
      <c r="IB249" s="198"/>
      <c r="IC249" s="198"/>
      <c r="ID249" s="198"/>
      <c r="IE249" s="198"/>
      <c r="IF249" s="198"/>
      <c r="IG249" s="198"/>
      <c r="IH249" s="198"/>
      <c r="II249" s="198"/>
      <c r="IJ249" s="198"/>
      <c r="IK249" s="198"/>
      <c r="IL249" s="198"/>
      <c r="IM249" s="198"/>
      <c r="IN249" s="198"/>
      <c r="IO249" s="198"/>
      <c r="IP249" s="198"/>
      <c r="IQ249" s="198"/>
      <c r="IR249" s="198"/>
      <c r="IS249" s="198"/>
      <c r="IT249" s="198"/>
    </row>
    <row r="250" spans="1:254" ht="10.7" hidden="1" customHeight="1" x14ac:dyDescent="0.2">
      <c r="B250" s="198" t="s">
        <v>92</v>
      </c>
      <c r="C250" s="202"/>
      <c r="D250" s="202"/>
      <c r="E250" s="202"/>
      <c r="F250" s="203"/>
      <c r="G250" s="202"/>
      <c r="H250" s="202"/>
      <c r="I250" s="204"/>
      <c r="J250" s="202"/>
      <c r="K250" s="202"/>
      <c r="L250" s="202"/>
      <c r="M250" s="202"/>
      <c r="N250" s="194"/>
      <c r="O250" s="202"/>
      <c r="P250" s="194"/>
      <c r="Q250" s="202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  <c r="BI250" s="202"/>
      <c r="BJ250" s="202"/>
      <c r="BK250" s="202"/>
      <c r="BL250" s="202"/>
      <c r="BM250" s="202"/>
      <c r="BN250" s="202"/>
      <c r="BO250" s="202"/>
      <c r="BP250" s="202"/>
      <c r="BQ250" s="202"/>
      <c r="BR250" s="202"/>
      <c r="BS250" s="202"/>
      <c r="BT250" s="202"/>
      <c r="BU250" s="202"/>
      <c r="BV250" s="202"/>
      <c r="BW250" s="202"/>
      <c r="BX250" s="202"/>
      <c r="BY250" s="202"/>
      <c r="BZ250" s="202"/>
      <c r="CA250" s="202"/>
      <c r="CB250" s="202"/>
      <c r="CC250" s="202"/>
      <c r="CD250" s="202"/>
      <c r="CE250" s="202"/>
      <c r="CF250" s="202"/>
      <c r="CG250" s="202"/>
      <c r="CH250" s="202"/>
      <c r="CI250" s="202"/>
      <c r="CJ250" s="202"/>
      <c r="CK250" s="202"/>
      <c r="CL250" s="202"/>
      <c r="CM250" s="202"/>
      <c r="CN250" s="202"/>
      <c r="CO250" s="202"/>
      <c r="CP250" s="202"/>
      <c r="CQ250" s="202"/>
      <c r="CR250" s="202"/>
      <c r="CS250" s="202"/>
      <c r="CT250" s="202"/>
      <c r="CU250" s="202"/>
      <c r="CV250" s="202"/>
      <c r="CW250" s="202"/>
      <c r="CX250" s="202"/>
      <c r="CY250" s="202"/>
      <c r="CZ250" s="202"/>
      <c r="DA250" s="202"/>
      <c r="DB250" s="202"/>
      <c r="DC250" s="202"/>
      <c r="DD250" s="202"/>
      <c r="DE250" s="202"/>
      <c r="DF250" s="202"/>
      <c r="DG250" s="202"/>
      <c r="DH250" s="202"/>
      <c r="DI250" s="202"/>
      <c r="DJ250" s="202"/>
      <c r="DK250" s="202"/>
      <c r="DL250" s="202"/>
      <c r="DM250" s="202"/>
      <c r="DN250" s="202"/>
      <c r="DO250" s="202"/>
      <c r="DP250" s="202"/>
      <c r="DQ250" s="202"/>
      <c r="DR250" s="202"/>
      <c r="DS250" s="202"/>
      <c r="DT250" s="202"/>
      <c r="DU250" s="202"/>
      <c r="DV250" s="202"/>
      <c r="DW250" s="202"/>
      <c r="DX250" s="202"/>
      <c r="DY250" s="202"/>
      <c r="DZ250" s="202"/>
      <c r="EA250" s="202"/>
      <c r="EB250" s="202"/>
      <c r="EC250" s="202"/>
      <c r="ED250" s="202"/>
      <c r="EE250" s="202"/>
      <c r="EF250" s="202"/>
      <c r="EG250" s="202"/>
      <c r="EH250" s="202"/>
      <c r="EI250" s="202"/>
      <c r="EJ250" s="202"/>
      <c r="EK250" s="202"/>
      <c r="EL250" s="202"/>
      <c r="EM250" s="202"/>
      <c r="EN250" s="202"/>
      <c r="EO250" s="202"/>
      <c r="EP250" s="202"/>
      <c r="EQ250" s="202"/>
      <c r="ER250" s="202"/>
      <c r="ES250" s="202"/>
      <c r="ET250" s="202"/>
      <c r="EU250" s="202"/>
      <c r="EV250" s="202"/>
      <c r="EW250" s="202"/>
      <c r="EX250" s="202"/>
      <c r="EY250" s="202"/>
      <c r="EZ250" s="202"/>
      <c r="FA250" s="202"/>
      <c r="FB250" s="202"/>
      <c r="FC250" s="202"/>
      <c r="FD250" s="202"/>
      <c r="FE250" s="202"/>
      <c r="FF250" s="202"/>
      <c r="FG250" s="202"/>
      <c r="FH250" s="202"/>
      <c r="FI250" s="202"/>
      <c r="FJ250" s="202"/>
      <c r="FK250" s="202"/>
      <c r="FL250" s="202"/>
      <c r="FM250" s="202"/>
      <c r="FN250" s="202"/>
      <c r="FO250" s="202"/>
      <c r="FP250" s="202"/>
      <c r="FQ250" s="202"/>
      <c r="FR250" s="202"/>
      <c r="FS250" s="202"/>
      <c r="FT250" s="202"/>
      <c r="FU250" s="202"/>
      <c r="FV250" s="202"/>
      <c r="FW250" s="202"/>
      <c r="FX250" s="202"/>
      <c r="FY250" s="202"/>
      <c r="FZ250" s="202"/>
      <c r="GA250" s="202"/>
      <c r="GB250" s="202"/>
      <c r="GC250" s="202"/>
      <c r="GD250" s="202"/>
      <c r="GE250" s="202"/>
      <c r="GF250" s="202"/>
      <c r="GG250" s="202"/>
      <c r="GH250" s="202"/>
      <c r="GI250" s="202"/>
      <c r="GJ250" s="202"/>
      <c r="GK250" s="202"/>
      <c r="GL250" s="202"/>
      <c r="GM250" s="202"/>
      <c r="GN250" s="202"/>
      <c r="GO250" s="202"/>
      <c r="GP250" s="202"/>
      <c r="GQ250" s="202"/>
      <c r="GR250" s="202"/>
      <c r="GS250" s="202"/>
      <c r="GT250" s="202"/>
      <c r="GU250" s="202"/>
      <c r="GV250" s="202"/>
      <c r="GW250" s="202"/>
      <c r="GX250" s="202"/>
      <c r="GY250" s="202"/>
      <c r="GZ250" s="202"/>
      <c r="HA250" s="202"/>
      <c r="HB250" s="202"/>
      <c r="HC250" s="202"/>
      <c r="HD250" s="202"/>
      <c r="HE250" s="202"/>
      <c r="HF250" s="202"/>
      <c r="HG250" s="202"/>
      <c r="HH250" s="202"/>
      <c r="HI250" s="202"/>
      <c r="HJ250" s="202"/>
      <c r="HK250" s="202"/>
      <c r="HL250" s="202"/>
      <c r="HM250" s="202"/>
      <c r="HN250" s="202"/>
      <c r="HO250" s="202"/>
      <c r="HP250" s="202"/>
      <c r="HQ250" s="202"/>
      <c r="HR250" s="202"/>
      <c r="HS250" s="202"/>
      <c r="HT250" s="202"/>
      <c r="HU250" s="202"/>
      <c r="HV250" s="202"/>
      <c r="HW250" s="202"/>
      <c r="HX250" s="202"/>
      <c r="HY250" s="202"/>
      <c r="HZ250" s="202"/>
      <c r="IA250" s="202"/>
      <c r="IB250" s="202"/>
      <c r="IC250" s="202"/>
      <c r="ID250" s="202"/>
      <c r="IE250" s="202"/>
      <c r="IF250" s="202"/>
      <c r="IG250" s="202"/>
      <c r="IH250" s="202"/>
      <c r="II250" s="202"/>
      <c r="IJ250" s="202"/>
      <c r="IK250" s="202"/>
      <c r="IL250" s="202"/>
      <c r="IM250" s="202"/>
      <c r="IN250" s="202"/>
      <c r="IO250" s="202"/>
      <c r="IP250" s="202"/>
      <c r="IQ250" s="202"/>
      <c r="IR250" s="202"/>
      <c r="IS250" s="202"/>
      <c r="IT250" s="202"/>
    </row>
    <row r="251" spans="1:254" ht="10.7" hidden="1" customHeight="1" x14ac:dyDescent="0.2">
      <c r="B251" s="198"/>
      <c r="C251" s="191"/>
      <c r="D251" s="191"/>
      <c r="E251" s="191"/>
      <c r="F251" s="192"/>
      <c r="G251" s="191"/>
      <c r="H251" s="191"/>
      <c r="I251" s="193"/>
      <c r="J251" s="191"/>
      <c r="K251" s="191"/>
      <c r="L251" s="191"/>
      <c r="M251" s="191"/>
      <c r="N251" s="194"/>
      <c r="O251" s="191"/>
      <c r="P251" s="194"/>
      <c r="Q251" s="191"/>
    </row>
    <row r="252" spans="1:254" s="191" customFormat="1" ht="10.7" customHeight="1" x14ac:dyDescent="0.2">
      <c r="A252" s="190"/>
      <c r="F252" s="192"/>
      <c r="I252" s="193"/>
      <c r="N252" s="194"/>
      <c r="P252" s="194"/>
      <c r="R252" s="185"/>
    </row>
    <row r="253" spans="1:254" s="191" customFormat="1" ht="10.7" customHeight="1" x14ac:dyDescent="0.2">
      <c r="A253" s="190"/>
      <c r="F253" s="192"/>
      <c r="I253" s="193"/>
      <c r="N253" s="194"/>
      <c r="P253" s="194"/>
      <c r="R253" s="185"/>
    </row>
    <row r="254" spans="1:254" s="191" customFormat="1" ht="10.7" customHeight="1" x14ac:dyDescent="0.2">
      <c r="A254" s="190"/>
      <c r="B254" s="14"/>
      <c r="C254" s="15" t="s">
        <v>147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5"/>
    </row>
    <row r="255" spans="1:254" s="191" customFormat="1" ht="10.7" customHeight="1" x14ac:dyDescent="0.2">
      <c r="A255" s="190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5"/>
    </row>
    <row r="256" spans="1:254" s="191" customFormat="1" ht="10.7" customHeight="1" x14ac:dyDescent="0.2">
      <c r="A256" s="190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44468</v>
      </c>
      <c r="K256" s="33">
        <v>44475</v>
      </c>
      <c r="L256" s="33">
        <v>44482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5"/>
    </row>
    <row r="257" spans="1:18" s="191" customFormat="1" ht="10.7" customHeight="1" x14ac:dyDescent="0.2">
      <c r="A257" s="190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5"/>
    </row>
    <row r="258" spans="1:18" s="191" customFormat="1" ht="10.7" customHeight="1" x14ac:dyDescent="0.2">
      <c r="A258" s="190"/>
      <c r="B258" s="40"/>
      <c r="C258" s="233" t="s">
        <v>119</v>
      </c>
      <c r="D258" s="235"/>
      <c r="E258" s="235"/>
      <c r="F258" s="235"/>
      <c r="G258" s="235"/>
      <c r="H258" s="235"/>
      <c r="I258" s="235"/>
      <c r="J258" s="235"/>
      <c r="K258" s="235"/>
      <c r="L258" s="235"/>
      <c r="M258" s="235"/>
      <c r="N258" s="235"/>
      <c r="O258" s="235"/>
      <c r="P258" s="41" t="s">
        <v>4</v>
      </c>
      <c r="R258" s="185"/>
    </row>
    <row r="259" spans="1:18" s="191" customFormat="1" ht="10.7" customHeight="1" x14ac:dyDescent="0.2">
      <c r="A259" s="190"/>
      <c r="B259" s="40" t="s">
        <v>62</v>
      </c>
      <c r="C259" s="151">
        <v>138.9</v>
      </c>
      <c r="D259" s="152">
        <v>0</v>
      </c>
      <c r="E259" s="152">
        <v>0</v>
      </c>
      <c r="F259" s="153">
        <v>138.9</v>
      </c>
      <c r="G259" s="154">
        <v>0</v>
      </c>
      <c r="H259" s="183">
        <v>0</v>
      </c>
      <c r="I259" s="153">
        <v>138.9</v>
      </c>
      <c r="J259" s="154">
        <v>0</v>
      </c>
      <c r="K259" s="154">
        <v>0</v>
      </c>
      <c r="L259" s="154">
        <v>0</v>
      </c>
      <c r="M259" s="154">
        <v>0</v>
      </c>
      <c r="N259" s="46">
        <v>0</v>
      </c>
      <c r="O259" s="154">
        <v>0</v>
      </c>
      <c r="P259" s="41" t="s">
        <v>149</v>
      </c>
      <c r="R259" s="185"/>
    </row>
    <row r="260" spans="1:18" s="191" customFormat="1" ht="10.7" customHeight="1" x14ac:dyDescent="0.2">
      <c r="A260" s="190"/>
      <c r="B260" s="40" t="s">
        <v>63</v>
      </c>
      <c r="C260" s="151">
        <v>4.5</v>
      </c>
      <c r="D260" s="152">
        <v>0</v>
      </c>
      <c r="E260" s="152">
        <v>0</v>
      </c>
      <c r="F260" s="153">
        <v>4.5</v>
      </c>
      <c r="G260" s="154">
        <v>0</v>
      </c>
      <c r="H260" s="183">
        <v>0</v>
      </c>
      <c r="I260" s="153">
        <v>4.5</v>
      </c>
      <c r="J260" s="154">
        <v>0</v>
      </c>
      <c r="K260" s="154">
        <v>0</v>
      </c>
      <c r="L260" s="154">
        <v>0</v>
      </c>
      <c r="M260" s="154">
        <v>0</v>
      </c>
      <c r="N260" s="46">
        <v>0</v>
      </c>
      <c r="O260" s="154">
        <v>0</v>
      </c>
      <c r="P260" s="41" t="s">
        <v>149</v>
      </c>
      <c r="R260" s="185"/>
    </row>
    <row r="261" spans="1:18" s="191" customFormat="1" ht="10.7" customHeight="1" x14ac:dyDescent="0.2">
      <c r="A261" s="190"/>
      <c r="B261" s="40" t="s">
        <v>65</v>
      </c>
      <c r="C261" s="151">
        <v>0.4</v>
      </c>
      <c r="D261" s="152">
        <v>0</v>
      </c>
      <c r="E261" s="152">
        <v>0</v>
      </c>
      <c r="F261" s="153">
        <v>0.4</v>
      </c>
      <c r="G261" s="154">
        <v>0</v>
      </c>
      <c r="H261" s="183">
        <v>0</v>
      </c>
      <c r="I261" s="153">
        <v>0.4</v>
      </c>
      <c r="J261" s="154">
        <v>0</v>
      </c>
      <c r="K261" s="154">
        <v>0</v>
      </c>
      <c r="L261" s="154">
        <v>0</v>
      </c>
      <c r="M261" s="154">
        <v>0</v>
      </c>
      <c r="N261" s="46">
        <v>0</v>
      </c>
      <c r="O261" s="154">
        <v>0</v>
      </c>
      <c r="P261" s="41" t="s">
        <v>149</v>
      </c>
      <c r="R261" s="185"/>
    </row>
    <row r="262" spans="1:18" s="191" customFormat="1" ht="10.7" customHeight="1" x14ac:dyDescent="0.2">
      <c r="A262" s="190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3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5"/>
    </row>
    <row r="263" spans="1:18" s="191" customFormat="1" ht="10.7" customHeight="1" x14ac:dyDescent="0.2">
      <c r="A263" s="190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3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5"/>
    </row>
    <row r="264" spans="1:18" s="191" customFormat="1" ht="10.7" customHeight="1" x14ac:dyDescent="0.2">
      <c r="A264" s="190"/>
      <c r="B264" s="40" t="s">
        <v>68</v>
      </c>
      <c r="C264" s="151">
        <v>25.8</v>
      </c>
      <c r="D264" s="152">
        <v>0</v>
      </c>
      <c r="E264" s="152">
        <v>0</v>
      </c>
      <c r="F264" s="153">
        <v>25.8</v>
      </c>
      <c r="G264" s="154">
        <v>0</v>
      </c>
      <c r="H264" s="183">
        <v>0</v>
      </c>
      <c r="I264" s="153">
        <v>25.8</v>
      </c>
      <c r="J264" s="154">
        <v>0</v>
      </c>
      <c r="K264" s="154">
        <v>0</v>
      </c>
      <c r="L264" s="154">
        <v>0</v>
      </c>
      <c r="M264" s="154">
        <v>0</v>
      </c>
      <c r="N264" s="46">
        <v>0</v>
      </c>
      <c r="O264" s="154">
        <v>0</v>
      </c>
      <c r="P264" s="41" t="s">
        <v>149</v>
      </c>
      <c r="R264" s="185"/>
    </row>
    <row r="265" spans="1:18" s="191" customFormat="1" ht="10.7" customHeight="1" x14ac:dyDescent="0.2">
      <c r="A265" s="190"/>
      <c r="B265" s="40" t="s">
        <v>69</v>
      </c>
      <c r="C265" s="151">
        <v>0.1</v>
      </c>
      <c r="D265" s="152">
        <v>0</v>
      </c>
      <c r="E265" s="152">
        <v>0</v>
      </c>
      <c r="F265" s="153">
        <v>0.1</v>
      </c>
      <c r="G265" s="154">
        <v>0</v>
      </c>
      <c r="H265" s="183">
        <v>0</v>
      </c>
      <c r="I265" s="153">
        <v>0.1</v>
      </c>
      <c r="J265" s="154">
        <v>0</v>
      </c>
      <c r="K265" s="154">
        <v>0</v>
      </c>
      <c r="L265" s="154">
        <v>0</v>
      </c>
      <c r="M265" s="154">
        <v>0</v>
      </c>
      <c r="N265" s="46">
        <v>0</v>
      </c>
      <c r="O265" s="154">
        <v>0</v>
      </c>
      <c r="P265" s="41" t="s">
        <v>149</v>
      </c>
      <c r="R265" s="185"/>
    </row>
    <row r="266" spans="1:18" s="191" customFormat="1" ht="10.7" customHeight="1" x14ac:dyDescent="0.2">
      <c r="A266" s="190"/>
      <c r="B266" s="40" t="s">
        <v>70</v>
      </c>
      <c r="C266" s="151">
        <v>4</v>
      </c>
      <c r="D266" s="152">
        <v>0</v>
      </c>
      <c r="E266" s="152">
        <v>0</v>
      </c>
      <c r="F266" s="153">
        <v>4</v>
      </c>
      <c r="G266" s="154">
        <v>0</v>
      </c>
      <c r="H266" s="183">
        <v>0</v>
      </c>
      <c r="I266" s="153">
        <v>4</v>
      </c>
      <c r="J266" s="154">
        <v>0</v>
      </c>
      <c r="K266" s="154">
        <v>0</v>
      </c>
      <c r="L266" s="154">
        <v>0</v>
      </c>
      <c r="M266" s="154">
        <v>0</v>
      </c>
      <c r="N266" s="46">
        <v>0</v>
      </c>
      <c r="O266" s="154">
        <v>0</v>
      </c>
      <c r="P266" s="41" t="s">
        <v>149</v>
      </c>
      <c r="R266" s="185"/>
    </row>
    <row r="267" spans="1:18" s="191" customFormat="1" ht="10.7" customHeight="1" x14ac:dyDescent="0.2">
      <c r="A267" s="190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3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5"/>
    </row>
    <row r="268" spans="1:18" s="191" customFormat="1" ht="10.7" customHeight="1" x14ac:dyDescent="0.2">
      <c r="A268" s="190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3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5"/>
    </row>
    <row r="269" spans="1:18" s="191" customFormat="1" ht="10.7" customHeight="1" x14ac:dyDescent="0.2">
      <c r="A269" s="190"/>
      <c r="B269" s="47" t="s">
        <v>73</v>
      </c>
      <c r="C269" s="151">
        <v>173.70000000000002</v>
      </c>
      <c r="D269" s="152">
        <v>0</v>
      </c>
      <c r="E269" s="152">
        <v>0</v>
      </c>
      <c r="F269" s="153">
        <v>173.70000000000002</v>
      </c>
      <c r="G269" s="154">
        <v>0</v>
      </c>
      <c r="H269" s="183">
        <v>0</v>
      </c>
      <c r="I269" s="153">
        <v>173.70000000000002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 t="s">
        <v>149</v>
      </c>
      <c r="R269" s="185"/>
    </row>
    <row r="270" spans="1:18" s="191" customFormat="1" ht="10.7" customHeight="1" x14ac:dyDescent="0.2">
      <c r="A270" s="190"/>
      <c r="B270" s="40"/>
      <c r="C270" s="151"/>
      <c r="D270" s="154"/>
      <c r="E270" s="152"/>
      <c r="F270" s="153"/>
      <c r="G270" s="154"/>
      <c r="H270" s="183"/>
      <c r="I270" s="153"/>
      <c r="J270" s="154"/>
      <c r="K270" s="154"/>
      <c r="L270" s="154"/>
      <c r="M270" s="154"/>
      <c r="N270" s="46"/>
      <c r="O270" s="154"/>
      <c r="P270" s="41"/>
      <c r="R270" s="185"/>
    </row>
    <row r="271" spans="1:18" s="191" customFormat="1" ht="10.7" customHeight="1" x14ac:dyDescent="0.2">
      <c r="A271" s="190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3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5"/>
    </row>
    <row r="272" spans="1:18" s="191" customFormat="1" ht="10.7" customHeight="1" x14ac:dyDescent="0.2">
      <c r="A272" s="190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3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5"/>
    </row>
    <row r="273" spans="1:18" s="191" customFormat="1" ht="10.7" customHeight="1" x14ac:dyDescent="0.2">
      <c r="A273" s="190"/>
      <c r="B273" s="40" t="s">
        <v>157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3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5"/>
    </row>
    <row r="274" spans="1:18" s="191" customFormat="1" ht="10.7" customHeight="1" x14ac:dyDescent="0.2">
      <c r="A274" s="190"/>
      <c r="B274" s="40" t="s">
        <v>76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3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5"/>
    </row>
    <row r="275" spans="1:18" s="191" customFormat="1" ht="10.7" customHeight="1" x14ac:dyDescent="0.2">
      <c r="A275" s="190"/>
      <c r="B275" s="40" t="s">
        <v>77</v>
      </c>
      <c r="C275" s="151">
        <v>113.822</v>
      </c>
      <c r="D275" s="152">
        <v>0</v>
      </c>
      <c r="E275" s="152">
        <v>0</v>
      </c>
      <c r="F275" s="153">
        <v>113.822</v>
      </c>
      <c r="G275" s="154">
        <v>0</v>
      </c>
      <c r="H275" s="183">
        <v>0</v>
      </c>
      <c r="I275" s="153">
        <v>113.822</v>
      </c>
      <c r="J275" s="154">
        <v>0</v>
      </c>
      <c r="K275" s="154">
        <v>0</v>
      </c>
      <c r="L275" s="154">
        <v>0</v>
      </c>
      <c r="M275" s="154">
        <v>0</v>
      </c>
      <c r="N275" s="46">
        <v>0</v>
      </c>
      <c r="O275" s="154">
        <v>0</v>
      </c>
      <c r="P275" s="41" t="s">
        <v>149</v>
      </c>
      <c r="R275" s="185"/>
    </row>
    <row r="276" spans="1:18" s="191" customFormat="1" ht="10.7" customHeight="1" x14ac:dyDescent="0.2">
      <c r="A276" s="190"/>
      <c r="B276" s="40" t="s">
        <v>78</v>
      </c>
      <c r="C276" s="151">
        <v>218.27799999999999</v>
      </c>
      <c r="D276" s="152">
        <v>0</v>
      </c>
      <c r="E276" s="152">
        <v>0</v>
      </c>
      <c r="F276" s="153">
        <v>218.27799999999999</v>
      </c>
      <c r="G276" s="154">
        <v>180.3</v>
      </c>
      <c r="H276" s="183">
        <v>82.601086687618547</v>
      </c>
      <c r="I276" s="153">
        <v>37.97799999999998</v>
      </c>
      <c r="J276" s="154">
        <v>0</v>
      </c>
      <c r="K276" s="154">
        <v>0</v>
      </c>
      <c r="L276" s="154">
        <v>180.3</v>
      </c>
      <c r="M276" s="154">
        <v>0</v>
      </c>
      <c r="N276" s="46">
        <v>0</v>
      </c>
      <c r="O276" s="154">
        <v>45.075000000000003</v>
      </c>
      <c r="P276" s="41">
        <v>0</v>
      </c>
      <c r="R276" s="185"/>
    </row>
    <row r="277" spans="1:18" s="191" customFormat="1" ht="10.7" customHeight="1" x14ac:dyDescent="0.2">
      <c r="A277" s="190"/>
      <c r="B277" s="40" t="s">
        <v>79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3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5"/>
    </row>
    <row r="278" spans="1:18" s="191" customFormat="1" ht="10.7" customHeight="1" x14ac:dyDescent="0.2">
      <c r="A278" s="190"/>
      <c r="B278" s="40" t="s">
        <v>80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3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5"/>
    </row>
    <row r="279" spans="1:18" s="191" customFormat="1" ht="10.7" customHeight="1" x14ac:dyDescent="0.2">
      <c r="A279" s="190"/>
      <c r="B279" s="40" t="s">
        <v>81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3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5"/>
    </row>
    <row r="280" spans="1:18" s="191" customFormat="1" ht="10.7" customHeight="1" x14ac:dyDescent="0.2">
      <c r="A280" s="190"/>
      <c r="B280" s="184" t="s">
        <v>82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3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5"/>
    </row>
    <row r="281" spans="1:18" s="191" customFormat="1" ht="10.7" customHeight="1" x14ac:dyDescent="0.2">
      <c r="A281" s="190"/>
      <c r="B281" s="184" t="s">
        <v>83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3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5"/>
    </row>
    <row r="282" spans="1:18" s="191" customFormat="1" ht="10.7" customHeight="1" x14ac:dyDescent="0.2">
      <c r="A282" s="190"/>
      <c r="B282" s="205" t="s">
        <v>84</v>
      </c>
      <c r="C282" s="151">
        <v>38.588000000000001</v>
      </c>
      <c r="D282" s="152">
        <v>0</v>
      </c>
      <c r="E282" s="152">
        <v>0</v>
      </c>
      <c r="F282" s="153">
        <v>38.588000000000001</v>
      </c>
      <c r="G282" s="154">
        <v>0</v>
      </c>
      <c r="H282" s="183">
        <v>0</v>
      </c>
      <c r="I282" s="153">
        <v>38.588000000000001</v>
      </c>
      <c r="J282" s="154">
        <v>0</v>
      </c>
      <c r="K282" s="154">
        <v>0</v>
      </c>
      <c r="L282" s="154">
        <v>0</v>
      </c>
      <c r="M282" s="154">
        <v>0</v>
      </c>
      <c r="N282" s="46">
        <v>0</v>
      </c>
      <c r="O282" s="154">
        <v>0</v>
      </c>
      <c r="P282" s="41" t="s">
        <v>149</v>
      </c>
      <c r="R282" s="185"/>
    </row>
    <row r="283" spans="1:18" s="191" customFormat="1" ht="10.7" customHeight="1" x14ac:dyDescent="0.2">
      <c r="A283" s="190"/>
      <c r="B283" s="40" t="s">
        <v>85</v>
      </c>
      <c r="C283" s="151">
        <v>38.487000000000002</v>
      </c>
      <c r="D283" s="152">
        <v>0</v>
      </c>
      <c r="E283" s="152">
        <v>0</v>
      </c>
      <c r="F283" s="153">
        <v>38.487000000000002</v>
      </c>
      <c r="G283" s="154">
        <v>0</v>
      </c>
      <c r="H283" s="183">
        <v>0</v>
      </c>
      <c r="I283" s="153">
        <v>38.487000000000002</v>
      </c>
      <c r="J283" s="154">
        <v>0</v>
      </c>
      <c r="K283" s="154">
        <v>0</v>
      </c>
      <c r="L283" s="154">
        <v>0</v>
      </c>
      <c r="M283" s="154">
        <v>0</v>
      </c>
      <c r="N283" s="46">
        <v>0</v>
      </c>
      <c r="O283" s="154">
        <v>0</v>
      </c>
      <c r="P283" s="41" t="s">
        <v>149</v>
      </c>
      <c r="R283" s="185"/>
    </row>
    <row r="284" spans="1:18" s="191" customFormat="1" ht="10.7" customHeight="1" x14ac:dyDescent="0.2">
      <c r="A284" s="190"/>
      <c r="B284" s="196" t="s">
        <v>86</v>
      </c>
      <c r="C284" s="151">
        <v>582.87500000000011</v>
      </c>
      <c r="D284" s="154">
        <v>0</v>
      </c>
      <c r="E284" s="152">
        <v>0</v>
      </c>
      <c r="F284" s="153">
        <v>582.87500000000011</v>
      </c>
      <c r="G284" s="154">
        <v>180.3</v>
      </c>
      <c r="H284" s="183">
        <v>30.932875831010072</v>
      </c>
      <c r="I284" s="153">
        <v>402.5750000000001</v>
      </c>
      <c r="J284" s="154">
        <v>0</v>
      </c>
      <c r="K284" s="154">
        <v>0</v>
      </c>
      <c r="L284" s="154">
        <v>180.3</v>
      </c>
      <c r="M284" s="154">
        <v>0</v>
      </c>
      <c r="N284" s="46">
        <v>0</v>
      </c>
      <c r="O284" s="154">
        <v>45.075000000000003</v>
      </c>
      <c r="P284" s="41">
        <v>6.9312257348863024</v>
      </c>
      <c r="R284" s="185"/>
    </row>
    <row r="285" spans="1:18" s="191" customFormat="1" ht="10.7" customHeight="1" x14ac:dyDescent="0.2">
      <c r="A285" s="190"/>
      <c r="B285" s="205"/>
      <c r="C285" s="151"/>
      <c r="D285" s="154"/>
      <c r="E285" s="152"/>
      <c r="F285" s="153"/>
      <c r="G285" s="154"/>
      <c r="H285" s="183"/>
      <c r="I285" s="153"/>
      <c r="J285" s="154"/>
      <c r="K285" s="154"/>
      <c r="L285" s="154"/>
      <c r="M285" s="154"/>
      <c r="N285" s="46"/>
      <c r="O285" s="154"/>
      <c r="P285" s="41"/>
      <c r="R285" s="185"/>
    </row>
    <row r="286" spans="1:18" s="191" customFormat="1" ht="10.7" customHeight="1" x14ac:dyDescent="0.2">
      <c r="A286" s="190"/>
      <c r="B286" s="57" t="s">
        <v>87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3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5"/>
    </row>
    <row r="287" spans="1:18" s="191" customFormat="1" ht="10.7" customHeight="1" x14ac:dyDescent="0.2">
      <c r="A287" s="190"/>
      <c r="B287" s="49" t="s">
        <v>88</v>
      </c>
      <c r="C287" s="151">
        <v>0.10199999999999999</v>
      </c>
      <c r="D287" s="152" t="s">
        <v>64</v>
      </c>
      <c r="E287" s="152" t="s">
        <v>64</v>
      </c>
      <c r="F287" s="153">
        <v>0.10199999999999999</v>
      </c>
      <c r="G287" s="154" t="s">
        <v>64</v>
      </c>
      <c r="H287" s="183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 t="s">
        <v>149</v>
      </c>
      <c r="R287" s="185"/>
    </row>
    <row r="288" spans="1:18" s="191" customFormat="1" ht="10.7" customHeight="1" x14ac:dyDescent="0.2">
      <c r="A288" s="190"/>
      <c r="B288" s="49" t="s">
        <v>89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3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5"/>
    </row>
    <row r="289" spans="1:18" s="191" customFormat="1" ht="10.7" customHeight="1" x14ac:dyDescent="0.2">
      <c r="A289" s="190"/>
      <c r="B289" s="49"/>
      <c r="C289" s="151"/>
      <c r="D289" s="152"/>
      <c r="E289" s="152"/>
      <c r="F289" s="153"/>
      <c r="G289" s="154"/>
      <c r="H289" s="183"/>
      <c r="I289" s="153"/>
      <c r="J289" s="154"/>
      <c r="K289" s="154"/>
      <c r="L289" s="154"/>
      <c r="M289" s="154"/>
      <c r="N289" s="46"/>
      <c r="O289" s="154"/>
      <c r="P289" s="41"/>
      <c r="R289" s="185"/>
    </row>
    <row r="290" spans="1:18" s="191" customFormat="1" ht="9.75" customHeight="1" x14ac:dyDescent="0.2">
      <c r="A290" s="190"/>
      <c r="B290" s="40" t="s">
        <v>90</v>
      </c>
      <c r="C290" s="151">
        <v>0</v>
      </c>
      <c r="D290" s="152"/>
      <c r="E290" s="152"/>
      <c r="F290" s="153">
        <v>0</v>
      </c>
      <c r="G290" s="154"/>
      <c r="H290" s="183"/>
      <c r="I290" s="153">
        <v>0</v>
      </c>
      <c r="J290" s="154"/>
      <c r="K290" s="154"/>
      <c r="L290" s="154"/>
      <c r="M290" s="154"/>
      <c r="N290" s="46"/>
      <c r="O290" s="154"/>
      <c r="P290" s="41"/>
      <c r="R290" s="185"/>
    </row>
    <row r="291" spans="1:18" s="191" customFormat="1" ht="10.7" customHeight="1" x14ac:dyDescent="0.2">
      <c r="A291" s="190"/>
      <c r="B291" s="187" t="s">
        <v>91</v>
      </c>
      <c r="C291" s="155">
        <v>0</v>
      </c>
      <c r="D291" s="155">
        <v>0</v>
      </c>
      <c r="E291" s="155">
        <v>0</v>
      </c>
      <c r="F291" s="156">
        <v>582.97700000000009</v>
      </c>
      <c r="G291" s="155">
        <v>180.3</v>
      </c>
      <c r="H291" s="188">
        <v>30.927463690677328</v>
      </c>
      <c r="I291" s="156">
        <v>402.67700000000008</v>
      </c>
      <c r="J291" s="155">
        <v>0</v>
      </c>
      <c r="K291" s="155">
        <v>0</v>
      </c>
      <c r="L291" s="155">
        <v>180.3</v>
      </c>
      <c r="M291" s="155">
        <v>0</v>
      </c>
      <c r="N291" s="58" t="s">
        <v>64</v>
      </c>
      <c r="O291" s="155">
        <v>45.075000000000003</v>
      </c>
      <c r="P291" s="54">
        <v>6.9334886300610101</v>
      </c>
      <c r="R291" s="185"/>
    </row>
    <row r="292" spans="1:18" s="191" customFormat="1" ht="10.7" customHeight="1" x14ac:dyDescent="0.2">
      <c r="A292" s="190"/>
      <c r="F292" s="192"/>
      <c r="I292" s="193"/>
      <c r="N292" s="194"/>
      <c r="P292" s="194"/>
      <c r="R292" s="185"/>
    </row>
    <row r="293" spans="1:18" s="191" customFormat="1" ht="10.7" customHeight="1" x14ac:dyDescent="0.2">
      <c r="A293" s="190"/>
      <c r="F293" s="192"/>
      <c r="I293" s="193"/>
      <c r="N293" s="194"/>
      <c r="P293" s="194"/>
      <c r="R293" s="185"/>
    </row>
    <row r="294" spans="1:18" s="191" customFormat="1" ht="10.7" customHeight="1" x14ac:dyDescent="0.2">
      <c r="A294" s="190"/>
      <c r="B294" s="14"/>
      <c r="C294" s="15" t="s">
        <v>147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5"/>
    </row>
    <row r="295" spans="1:18" s="191" customFormat="1" ht="10.7" customHeight="1" x14ac:dyDescent="0.2">
      <c r="A295" s="190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5"/>
    </row>
    <row r="296" spans="1:18" s="191" customFormat="1" ht="10.7" customHeight="1" x14ac:dyDescent="0.2">
      <c r="A296" s="190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44468</v>
      </c>
      <c r="K296" s="33">
        <v>44475</v>
      </c>
      <c r="L296" s="33">
        <v>44482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5"/>
    </row>
    <row r="297" spans="1:18" s="191" customFormat="1" ht="10.7" customHeight="1" x14ac:dyDescent="0.2">
      <c r="A297" s="190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5"/>
    </row>
    <row r="298" spans="1:18" s="191" customFormat="1" ht="10.7" customHeight="1" x14ac:dyDescent="0.2">
      <c r="A298" s="190"/>
      <c r="B298" s="40"/>
      <c r="C298" s="233" t="s">
        <v>120</v>
      </c>
      <c r="D298" s="235"/>
      <c r="E298" s="235"/>
      <c r="F298" s="235"/>
      <c r="G298" s="235"/>
      <c r="H298" s="235"/>
      <c r="I298" s="235"/>
      <c r="J298" s="235"/>
      <c r="K298" s="235"/>
      <c r="L298" s="235"/>
      <c r="M298" s="235"/>
      <c r="N298" s="235"/>
      <c r="O298" s="235"/>
      <c r="P298" s="41" t="s">
        <v>4</v>
      </c>
      <c r="R298" s="185"/>
    </row>
    <row r="299" spans="1:18" s="191" customFormat="1" ht="10.7" customHeight="1" x14ac:dyDescent="0.2">
      <c r="A299" s="190"/>
      <c r="B299" s="40" t="s">
        <v>62</v>
      </c>
      <c r="C299" s="151">
        <v>293.2</v>
      </c>
      <c r="D299" s="152">
        <v>0</v>
      </c>
      <c r="E299" s="152">
        <v>-67</v>
      </c>
      <c r="F299" s="153">
        <v>226.2</v>
      </c>
      <c r="G299" s="154">
        <v>0</v>
      </c>
      <c r="H299" s="183">
        <v>0</v>
      </c>
      <c r="I299" s="153">
        <v>226.2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 t="s">
        <v>149</v>
      </c>
      <c r="R299" s="185"/>
    </row>
    <row r="300" spans="1:18" s="191" customFormat="1" ht="10.7" customHeight="1" x14ac:dyDescent="0.2">
      <c r="A300" s="190"/>
      <c r="B300" s="40" t="s">
        <v>63</v>
      </c>
      <c r="C300" s="151">
        <v>0</v>
      </c>
      <c r="D300" s="152">
        <v>0</v>
      </c>
      <c r="E300" s="152">
        <v>10</v>
      </c>
      <c r="F300" s="153">
        <v>10</v>
      </c>
      <c r="G300" s="154">
        <v>0</v>
      </c>
      <c r="H300" s="183">
        <v>0</v>
      </c>
      <c r="I300" s="153">
        <v>10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150</v>
      </c>
      <c r="R300" s="185"/>
    </row>
    <row r="301" spans="1:18" s="191" customFormat="1" ht="10.7" customHeight="1" x14ac:dyDescent="0.2">
      <c r="A301" s="190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3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150</v>
      </c>
      <c r="R301" s="185"/>
    </row>
    <row r="302" spans="1:18" s="191" customFormat="1" ht="10.7" customHeight="1" x14ac:dyDescent="0.2">
      <c r="A302" s="190"/>
      <c r="B302" s="40" t="s">
        <v>66</v>
      </c>
      <c r="C302" s="151">
        <v>238.2</v>
      </c>
      <c r="D302" s="152">
        <v>0</v>
      </c>
      <c r="E302" s="152">
        <v>-20</v>
      </c>
      <c r="F302" s="153">
        <v>218.2</v>
      </c>
      <c r="G302" s="154">
        <v>0</v>
      </c>
      <c r="H302" s="183">
        <v>0</v>
      </c>
      <c r="I302" s="153">
        <v>218.2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 t="s">
        <v>149</v>
      </c>
      <c r="R302" s="185"/>
    </row>
    <row r="303" spans="1:18" s="191" customFormat="1" ht="10.7" customHeight="1" x14ac:dyDescent="0.2">
      <c r="A303" s="190"/>
      <c r="B303" s="40" t="s">
        <v>67</v>
      </c>
      <c r="C303" s="151">
        <v>42.402999999999999</v>
      </c>
      <c r="D303" s="152">
        <v>10</v>
      </c>
      <c r="E303" s="152">
        <v>10</v>
      </c>
      <c r="F303" s="153">
        <v>52.402999999999999</v>
      </c>
      <c r="G303" s="154">
        <v>9.5040000133514422</v>
      </c>
      <c r="H303" s="183">
        <v>18.136366264052519</v>
      </c>
      <c r="I303" s="153">
        <v>42.898999986648555</v>
      </c>
      <c r="J303" s="154">
        <v>8.0000000000001847E-2</v>
      </c>
      <c r="K303" s="154">
        <v>0</v>
      </c>
      <c r="L303" s="154">
        <v>0</v>
      </c>
      <c r="M303" s="154">
        <v>0</v>
      </c>
      <c r="N303" s="46">
        <v>0</v>
      </c>
      <c r="O303" s="154">
        <v>2.0000000000000462E-2</v>
      </c>
      <c r="P303" s="41" t="s">
        <v>150</v>
      </c>
      <c r="R303" s="185"/>
    </row>
    <row r="304" spans="1:18" s="191" customFormat="1" ht="10.7" customHeight="1" x14ac:dyDescent="0.2">
      <c r="A304" s="190"/>
      <c r="B304" s="40" t="s">
        <v>68</v>
      </c>
      <c r="C304" s="151">
        <v>0</v>
      </c>
      <c r="D304" s="152">
        <v>0</v>
      </c>
      <c r="E304" s="152">
        <v>0</v>
      </c>
      <c r="F304" s="153">
        <v>0</v>
      </c>
      <c r="G304" s="154">
        <v>0</v>
      </c>
      <c r="H304" s="183">
        <v>0</v>
      </c>
      <c r="I304" s="153">
        <v>0</v>
      </c>
      <c r="J304" s="154">
        <v>0</v>
      </c>
      <c r="K304" s="154">
        <v>0</v>
      </c>
      <c r="L304" s="154">
        <v>0</v>
      </c>
      <c r="M304" s="154">
        <v>0</v>
      </c>
      <c r="N304" s="46" t="s">
        <v>64</v>
      </c>
      <c r="O304" s="154">
        <v>0</v>
      </c>
      <c r="P304" s="41" t="s">
        <v>150</v>
      </c>
      <c r="R304" s="185"/>
    </row>
    <row r="305" spans="1:18" s="191" customFormat="1" ht="10.7" customHeight="1" x14ac:dyDescent="0.2">
      <c r="A305" s="190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83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150</v>
      </c>
      <c r="R305" s="185"/>
    </row>
    <row r="306" spans="1:18" s="191" customFormat="1" ht="10.7" customHeight="1" x14ac:dyDescent="0.2">
      <c r="A306" s="190"/>
      <c r="B306" s="40" t="s">
        <v>70</v>
      </c>
      <c r="C306" s="151">
        <v>0.1</v>
      </c>
      <c r="D306" s="152">
        <v>0</v>
      </c>
      <c r="E306" s="152">
        <v>0</v>
      </c>
      <c r="F306" s="153">
        <v>0.1</v>
      </c>
      <c r="G306" s="154">
        <v>0</v>
      </c>
      <c r="H306" s="183">
        <v>0</v>
      </c>
      <c r="I306" s="153">
        <v>0.1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150</v>
      </c>
      <c r="R306" s="185"/>
    </row>
    <row r="307" spans="1:18" s="191" customFormat="1" ht="10.7" customHeight="1" x14ac:dyDescent="0.2">
      <c r="A307" s="190"/>
      <c r="B307" s="40" t="s">
        <v>71</v>
      </c>
      <c r="C307" s="151">
        <v>75.5</v>
      </c>
      <c r="D307" s="152">
        <v>0</v>
      </c>
      <c r="E307" s="152">
        <v>-75</v>
      </c>
      <c r="F307" s="153">
        <v>0.5</v>
      </c>
      <c r="G307" s="154">
        <v>0</v>
      </c>
      <c r="H307" s="183">
        <v>0</v>
      </c>
      <c r="I307" s="153">
        <v>0.5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 t="s">
        <v>149</v>
      </c>
      <c r="R307" s="185"/>
    </row>
    <row r="308" spans="1:18" s="191" customFormat="1" ht="10.7" customHeight="1" x14ac:dyDescent="0.2">
      <c r="A308" s="190"/>
      <c r="B308" s="40" t="s">
        <v>72</v>
      </c>
      <c r="C308" s="151">
        <v>49.4</v>
      </c>
      <c r="D308" s="152">
        <v>0</v>
      </c>
      <c r="E308" s="152">
        <v>-47</v>
      </c>
      <c r="F308" s="153">
        <v>2.3999999999999986</v>
      </c>
      <c r="G308" s="154">
        <v>0</v>
      </c>
      <c r="H308" s="183">
        <v>0</v>
      </c>
      <c r="I308" s="153">
        <v>2.3999999999999986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149</v>
      </c>
      <c r="R308" s="185"/>
    </row>
    <row r="309" spans="1:18" s="191" customFormat="1" ht="10.7" customHeight="1" x14ac:dyDescent="0.2">
      <c r="A309" s="190"/>
      <c r="B309" s="47" t="s">
        <v>73</v>
      </c>
      <c r="C309" s="151">
        <v>698.803</v>
      </c>
      <c r="D309" s="152">
        <v>10</v>
      </c>
      <c r="E309" s="152">
        <v>-189</v>
      </c>
      <c r="F309" s="153">
        <v>509.803</v>
      </c>
      <c r="G309" s="154">
        <v>9.5040000133514422</v>
      </c>
      <c r="H309" s="183">
        <v>1.8642495264546193</v>
      </c>
      <c r="I309" s="153">
        <v>500.29899998664854</v>
      </c>
      <c r="J309" s="154">
        <v>8.0000000000001847E-2</v>
      </c>
      <c r="K309" s="154">
        <v>0</v>
      </c>
      <c r="L309" s="154">
        <v>0</v>
      </c>
      <c r="M309" s="154">
        <v>0</v>
      </c>
      <c r="N309" s="46">
        <v>0</v>
      </c>
      <c r="O309" s="154">
        <v>2.0000000000000462E-2</v>
      </c>
      <c r="P309" s="41" t="s">
        <v>149</v>
      </c>
      <c r="R309" s="185"/>
    </row>
    <row r="310" spans="1:18" s="191" customFormat="1" ht="10.7" customHeight="1" x14ac:dyDescent="0.2">
      <c r="A310" s="190"/>
      <c r="B310" s="40"/>
      <c r="C310" s="151"/>
      <c r="D310" s="154"/>
      <c r="E310" s="152"/>
      <c r="F310" s="153"/>
      <c r="G310" s="154"/>
      <c r="H310" s="183"/>
      <c r="I310" s="153"/>
      <c r="J310" s="154"/>
      <c r="K310" s="154"/>
      <c r="L310" s="154"/>
      <c r="M310" s="154"/>
      <c r="N310" s="46"/>
      <c r="O310" s="154"/>
      <c r="P310" s="41"/>
      <c r="R310" s="185"/>
    </row>
    <row r="311" spans="1:18" s="191" customFormat="1" ht="10.7" customHeight="1" x14ac:dyDescent="0.2">
      <c r="A311" s="190"/>
      <c r="B311" s="40" t="s">
        <v>74</v>
      </c>
      <c r="C311" s="151">
        <v>2.6419999999999999</v>
      </c>
      <c r="D311" s="152">
        <v>0</v>
      </c>
      <c r="E311" s="152">
        <v>0</v>
      </c>
      <c r="F311" s="153">
        <v>2.6419999999999999</v>
      </c>
      <c r="G311" s="154">
        <v>0</v>
      </c>
      <c r="H311" s="183">
        <v>0</v>
      </c>
      <c r="I311" s="153">
        <v>2.6419999999999999</v>
      </c>
      <c r="J311" s="154">
        <v>0</v>
      </c>
      <c r="K311" s="154">
        <v>0</v>
      </c>
      <c r="L311" s="154">
        <v>0</v>
      </c>
      <c r="M311" s="154">
        <v>0</v>
      </c>
      <c r="N311" s="46">
        <v>0</v>
      </c>
      <c r="O311" s="154">
        <v>0</v>
      </c>
      <c r="P311" s="41" t="s">
        <v>149</v>
      </c>
      <c r="R311" s="185"/>
    </row>
    <row r="312" spans="1:18" s="191" customFormat="1" ht="10.7" customHeight="1" x14ac:dyDescent="0.2">
      <c r="A312" s="190"/>
      <c r="B312" s="40" t="s">
        <v>75</v>
      </c>
      <c r="C312" s="151">
        <v>4.7729999999999997</v>
      </c>
      <c r="D312" s="152">
        <v>0</v>
      </c>
      <c r="E312" s="152">
        <v>0</v>
      </c>
      <c r="F312" s="153">
        <v>4.7729999999999997</v>
      </c>
      <c r="G312" s="154">
        <v>0</v>
      </c>
      <c r="H312" s="183">
        <v>0</v>
      </c>
      <c r="I312" s="153">
        <v>4.7729999999999997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149</v>
      </c>
      <c r="R312" s="185"/>
    </row>
    <row r="313" spans="1:18" s="191" customFormat="1" ht="10.7" customHeight="1" x14ac:dyDescent="0.2">
      <c r="A313" s="190"/>
      <c r="B313" s="40" t="s">
        <v>157</v>
      </c>
      <c r="C313" s="151">
        <v>0.434</v>
      </c>
      <c r="D313" s="152">
        <v>0</v>
      </c>
      <c r="E313" s="152">
        <v>0</v>
      </c>
      <c r="F313" s="153">
        <v>0.434</v>
      </c>
      <c r="G313" s="154">
        <v>0</v>
      </c>
      <c r="H313" s="183">
        <v>0</v>
      </c>
      <c r="I313" s="153">
        <v>0.434</v>
      </c>
      <c r="J313" s="154">
        <v>0</v>
      </c>
      <c r="K313" s="154">
        <v>0</v>
      </c>
      <c r="L313" s="154">
        <v>0</v>
      </c>
      <c r="M313" s="154">
        <v>0</v>
      </c>
      <c r="N313" s="46">
        <v>0</v>
      </c>
      <c r="O313" s="154">
        <v>0</v>
      </c>
      <c r="P313" s="41" t="s">
        <v>150</v>
      </c>
      <c r="R313" s="185"/>
    </row>
    <row r="314" spans="1:18" s="191" customFormat="1" ht="10.7" customHeight="1" x14ac:dyDescent="0.2">
      <c r="A314" s="190"/>
      <c r="B314" s="40" t="s">
        <v>76</v>
      </c>
      <c r="C314" s="151">
        <v>2.206</v>
      </c>
      <c r="D314" s="152">
        <v>0</v>
      </c>
      <c r="E314" s="152">
        <v>0</v>
      </c>
      <c r="F314" s="153">
        <v>2.206</v>
      </c>
      <c r="G314" s="154">
        <v>0.06</v>
      </c>
      <c r="H314" s="183">
        <v>2.7198549410698099</v>
      </c>
      <c r="I314" s="153">
        <v>2.1459999999999999</v>
      </c>
      <c r="J314" s="154">
        <v>0</v>
      </c>
      <c r="K314" s="154">
        <v>0</v>
      </c>
      <c r="L314" s="154">
        <v>0</v>
      </c>
      <c r="M314" s="154">
        <v>0</v>
      </c>
      <c r="N314" s="46">
        <v>0</v>
      </c>
      <c r="O314" s="154">
        <v>0</v>
      </c>
      <c r="P314" s="41" t="s">
        <v>149</v>
      </c>
      <c r="R314" s="185"/>
    </row>
    <row r="315" spans="1:18" s="191" customFormat="1" ht="10.7" customHeight="1" x14ac:dyDescent="0.2">
      <c r="A315" s="190"/>
      <c r="B315" s="40" t="s">
        <v>77</v>
      </c>
      <c r="C315" s="151">
        <v>19.631</v>
      </c>
      <c r="D315" s="152">
        <v>0</v>
      </c>
      <c r="E315" s="152">
        <v>-11.1</v>
      </c>
      <c r="F315" s="153">
        <v>8.5310000000000006</v>
      </c>
      <c r="G315" s="154">
        <v>0</v>
      </c>
      <c r="H315" s="183">
        <v>0</v>
      </c>
      <c r="I315" s="153">
        <v>8.5310000000000006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149</v>
      </c>
      <c r="R315" s="185"/>
    </row>
    <row r="316" spans="1:18" s="191" customFormat="1" ht="10.7" customHeight="1" x14ac:dyDescent="0.2">
      <c r="A316" s="190"/>
      <c r="B316" s="40" t="s">
        <v>78</v>
      </c>
      <c r="C316" s="151">
        <v>482.06900000000002</v>
      </c>
      <c r="D316" s="152">
        <v>0</v>
      </c>
      <c r="E316" s="152">
        <v>-478</v>
      </c>
      <c r="F316" s="153">
        <v>4.0690000000000168</v>
      </c>
      <c r="G316" s="154">
        <v>0</v>
      </c>
      <c r="H316" s="183">
        <v>0</v>
      </c>
      <c r="I316" s="153">
        <v>4.0690000000000168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149</v>
      </c>
      <c r="R316" s="185"/>
    </row>
    <row r="317" spans="1:18" s="191" customFormat="1" ht="10.7" customHeight="1" x14ac:dyDescent="0.2">
      <c r="A317" s="190"/>
      <c r="B317" s="40" t="s">
        <v>79</v>
      </c>
      <c r="C317" s="151">
        <v>3.0379999999999998</v>
      </c>
      <c r="D317" s="152">
        <v>0</v>
      </c>
      <c r="E317" s="152">
        <v>0</v>
      </c>
      <c r="F317" s="153">
        <v>3.0379999999999998</v>
      </c>
      <c r="G317" s="154">
        <v>0</v>
      </c>
      <c r="H317" s="183">
        <v>0</v>
      </c>
      <c r="I317" s="153">
        <v>3.0379999999999998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149</v>
      </c>
      <c r="R317" s="185"/>
    </row>
    <row r="318" spans="1:18" s="191" customFormat="1" ht="10.7" customHeight="1" x14ac:dyDescent="0.2">
      <c r="A318" s="190"/>
      <c r="B318" s="40" t="s">
        <v>80</v>
      </c>
      <c r="C318" s="151">
        <v>2.9020000000000001</v>
      </c>
      <c r="D318" s="152">
        <v>0</v>
      </c>
      <c r="E318" s="152">
        <v>0</v>
      </c>
      <c r="F318" s="153">
        <v>2.9020000000000001</v>
      </c>
      <c r="G318" s="154">
        <v>0.30259999994188541</v>
      </c>
      <c r="H318" s="183">
        <v>10.427291521084955</v>
      </c>
      <c r="I318" s="153">
        <v>2.5994000000581146</v>
      </c>
      <c r="J318" s="154">
        <v>7.6999998092651123E-3</v>
      </c>
      <c r="K318" s="154">
        <v>1.0199999809265115E-2</v>
      </c>
      <c r="L318" s="154">
        <v>0</v>
      </c>
      <c r="M318" s="154">
        <v>2.5000000000000022E-3</v>
      </c>
      <c r="N318" s="46">
        <v>8.6147484493452872E-2</v>
      </c>
      <c r="O318" s="154">
        <v>5.0999999046325573E-3</v>
      </c>
      <c r="P318" s="41" t="s">
        <v>149</v>
      </c>
      <c r="R318" s="185"/>
    </row>
    <row r="319" spans="1:18" s="191" customFormat="1" ht="10.7" customHeight="1" x14ac:dyDescent="0.2">
      <c r="A319" s="190"/>
      <c r="B319" s="40" t="s">
        <v>81</v>
      </c>
      <c r="C319" s="151">
        <v>4.0679999999999996</v>
      </c>
      <c r="D319" s="152">
        <v>0</v>
      </c>
      <c r="E319" s="152">
        <v>20</v>
      </c>
      <c r="F319" s="153">
        <v>24.067999999999998</v>
      </c>
      <c r="G319" s="154">
        <v>14.294000005722038</v>
      </c>
      <c r="H319" s="183">
        <v>59.390061516212569</v>
      </c>
      <c r="I319" s="153">
        <v>9.7739999942779594</v>
      </c>
      <c r="J319" s="154">
        <v>0</v>
      </c>
      <c r="K319" s="154">
        <v>0</v>
      </c>
      <c r="L319" s="154">
        <v>0.11999999999999922</v>
      </c>
      <c r="M319" s="154">
        <v>0.25999999999999979</v>
      </c>
      <c r="N319" s="46">
        <v>6.3913470993116963</v>
      </c>
      <c r="O319" s="154">
        <v>9.4999999999999751E-2</v>
      </c>
      <c r="P319" s="41" t="s">
        <v>149</v>
      </c>
      <c r="R319" s="185"/>
    </row>
    <row r="320" spans="1:18" s="191" customFormat="1" ht="10.7" customHeight="1" x14ac:dyDescent="0.2">
      <c r="A320" s="190"/>
      <c r="B320" s="184" t="s">
        <v>82</v>
      </c>
      <c r="C320" s="151">
        <v>7.7590000000000003</v>
      </c>
      <c r="D320" s="152">
        <v>0</v>
      </c>
      <c r="E320" s="152">
        <v>68</v>
      </c>
      <c r="F320" s="153">
        <v>75.759</v>
      </c>
      <c r="G320" s="154">
        <v>57.99705902087689</v>
      </c>
      <c r="H320" s="183">
        <v>76.554678679598311</v>
      </c>
      <c r="I320" s="153">
        <v>17.761940979123111</v>
      </c>
      <c r="J320" s="154">
        <v>0.34799999761580125</v>
      </c>
      <c r="K320" s="154">
        <v>0.33199999833107086</v>
      </c>
      <c r="L320" s="154">
        <v>1.5450999927520783</v>
      </c>
      <c r="M320" s="154">
        <v>0.26600000000000534</v>
      </c>
      <c r="N320" s="46">
        <v>3.428276839799012</v>
      </c>
      <c r="O320" s="154">
        <v>0.62277499717473894</v>
      </c>
      <c r="P320" s="41">
        <v>26.520639170970835</v>
      </c>
      <c r="R320" s="185"/>
    </row>
    <row r="321" spans="1:254" s="191" customFormat="1" ht="10.7" customHeight="1" x14ac:dyDescent="0.2">
      <c r="A321" s="190"/>
      <c r="B321" s="184" t="s">
        <v>83</v>
      </c>
      <c r="C321" s="151">
        <v>1.4019999999999999</v>
      </c>
      <c r="D321" s="152">
        <v>0</v>
      </c>
      <c r="E321" s="152">
        <v>0</v>
      </c>
      <c r="F321" s="153">
        <v>1.4019999999999999</v>
      </c>
      <c r="G321" s="154">
        <v>0</v>
      </c>
      <c r="H321" s="183">
        <v>0</v>
      </c>
      <c r="I321" s="153">
        <v>1.4019999999999999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150</v>
      </c>
      <c r="R321" s="185"/>
    </row>
    <row r="322" spans="1:254" s="191" customFormat="1" ht="10.7" customHeight="1" x14ac:dyDescent="0.2">
      <c r="A322" s="190"/>
      <c r="B322" s="205" t="s">
        <v>84</v>
      </c>
      <c r="C322" s="151">
        <v>459.37</v>
      </c>
      <c r="D322" s="152">
        <v>0</v>
      </c>
      <c r="E322" s="152">
        <v>-150</v>
      </c>
      <c r="F322" s="153">
        <v>309.37</v>
      </c>
      <c r="G322" s="154">
        <v>0</v>
      </c>
      <c r="H322" s="183">
        <v>0</v>
      </c>
      <c r="I322" s="153">
        <v>309.37</v>
      </c>
      <c r="J322" s="154">
        <v>0</v>
      </c>
      <c r="K322" s="154">
        <v>0</v>
      </c>
      <c r="L322" s="154">
        <v>0</v>
      </c>
      <c r="M322" s="154">
        <v>0</v>
      </c>
      <c r="N322" s="46">
        <v>0</v>
      </c>
      <c r="O322" s="154">
        <v>0</v>
      </c>
      <c r="P322" s="41" t="s">
        <v>149</v>
      </c>
      <c r="R322" s="185"/>
    </row>
    <row r="323" spans="1:254" s="191" customFormat="1" ht="10.7" customHeight="1" x14ac:dyDescent="0.2">
      <c r="A323" s="190"/>
      <c r="B323" s="40" t="s">
        <v>85</v>
      </c>
      <c r="C323" s="151">
        <v>1423.174</v>
      </c>
      <c r="D323" s="152">
        <v>0</v>
      </c>
      <c r="E323" s="152">
        <v>2420.1</v>
      </c>
      <c r="F323" s="153">
        <v>3843.2739999999999</v>
      </c>
      <c r="G323" s="154">
        <v>3875.1758943758582</v>
      </c>
      <c r="H323" s="183">
        <v>100.83007077756774</v>
      </c>
      <c r="I323" s="153">
        <v>-31.901894375858319</v>
      </c>
      <c r="J323" s="154">
        <v>0</v>
      </c>
      <c r="K323" s="154">
        <v>0.12200000000007094</v>
      </c>
      <c r="L323" s="154">
        <v>9.3999999999823558E-2</v>
      </c>
      <c r="M323" s="154">
        <v>2457.0500000038128</v>
      </c>
      <c r="N323" s="46">
        <v>172.64579032527385</v>
      </c>
      <c r="O323" s="154">
        <v>614.31650000095317</v>
      </c>
      <c r="P323" s="41">
        <v>0</v>
      </c>
      <c r="R323" s="185"/>
    </row>
    <row r="324" spans="1:254" s="191" customFormat="1" ht="10.7" customHeight="1" x14ac:dyDescent="0.2">
      <c r="A324" s="190"/>
      <c r="B324" s="196" t="s">
        <v>86</v>
      </c>
      <c r="C324" s="151">
        <v>3112.2709999999997</v>
      </c>
      <c r="D324" s="154">
        <v>10</v>
      </c>
      <c r="E324" s="152">
        <v>1680</v>
      </c>
      <c r="F324" s="153">
        <v>4792.2709999999997</v>
      </c>
      <c r="G324" s="154">
        <v>3957.3335534157504</v>
      </c>
      <c r="H324" s="183">
        <v>82.577415872678131</v>
      </c>
      <c r="I324" s="153">
        <v>834.9374465842493</v>
      </c>
      <c r="J324" s="154">
        <v>0.43569999742506821</v>
      </c>
      <c r="K324" s="154">
        <v>0.46419999814040691</v>
      </c>
      <c r="L324" s="154">
        <v>1.7590999927519011</v>
      </c>
      <c r="M324" s="154">
        <v>2457.5785000038127</v>
      </c>
      <c r="N324" s="46">
        <v>78.964155113864209</v>
      </c>
      <c r="O324" s="154">
        <v>615.05937499803247</v>
      </c>
      <c r="P324" s="41">
        <v>0</v>
      </c>
      <c r="R324" s="185"/>
    </row>
    <row r="325" spans="1:254" s="191" customFormat="1" ht="10.7" customHeight="1" x14ac:dyDescent="0.2">
      <c r="A325" s="190"/>
      <c r="B325" s="40"/>
      <c r="C325" s="151"/>
      <c r="D325" s="154"/>
      <c r="E325" s="152"/>
      <c r="F325" s="153"/>
      <c r="G325" s="154"/>
      <c r="H325" s="183"/>
      <c r="I325" s="153"/>
      <c r="J325" s="154"/>
      <c r="K325" s="154"/>
      <c r="L325" s="154"/>
      <c r="M325" s="154"/>
      <c r="N325" s="46"/>
      <c r="O325" s="154"/>
      <c r="P325" s="41"/>
      <c r="R325" s="185"/>
    </row>
    <row r="326" spans="1:254" s="191" customFormat="1" ht="10.7" customHeight="1" x14ac:dyDescent="0.2">
      <c r="A326" s="190"/>
      <c r="B326" s="57" t="s">
        <v>87</v>
      </c>
      <c r="C326" s="151">
        <v>356.81299999999999</v>
      </c>
      <c r="D326" s="152">
        <v>0</v>
      </c>
      <c r="E326" s="152">
        <v>0</v>
      </c>
      <c r="F326" s="153">
        <v>356.81299999999999</v>
      </c>
      <c r="G326" s="154">
        <v>0</v>
      </c>
      <c r="H326" s="183">
        <v>0</v>
      </c>
      <c r="I326" s="153">
        <v>356.81299999999999</v>
      </c>
      <c r="J326" s="154">
        <v>0</v>
      </c>
      <c r="K326" s="154">
        <v>0</v>
      </c>
      <c r="L326" s="154">
        <v>0</v>
      </c>
      <c r="M326" s="154">
        <v>0</v>
      </c>
      <c r="N326" s="46">
        <v>0</v>
      </c>
      <c r="O326" s="154">
        <v>0</v>
      </c>
      <c r="P326" s="41" t="s">
        <v>150</v>
      </c>
      <c r="R326" s="185"/>
    </row>
    <row r="327" spans="1:254" s="191" customFormat="1" ht="10.7" customHeight="1" x14ac:dyDescent="0.2">
      <c r="A327" s="190"/>
      <c r="B327" s="49" t="s">
        <v>88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3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150</v>
      </c>
      <c r="R327" s="185"/>
    </row>
    <row r="328" spans="1:254" s="191" customFormat="1" ht="10.7" customHeight="1" x14ac:dyDescent="0.2">
      <c r="A328" s="190"/>
      <c r="B328" s="49" t="s">
        <v>89</v>
      </c>
      <c r="C328" s="151">
        <v>1027.2850000000001</v>
      </c>
      <c r="D328" s="152">
        <v>-10</v>
      </c>
      <c r="E328" s="152">
        <v>-1010</v>
      </c>
      <c r="F328" s="153">
        <v>17.285000000000082</v>
      </c>
      <c r="G328" s="154">
        <v>0.92950000108033359</v>
      </c>
      <c r="H328" s="183">
        <v>5.3774949440574442</v>
      </c>
      <c r="I328" s="153">
        <v>16.355499998919747</v>
      </c>
      <c r="J328" s="154">
        <v>0.17499999999999927</v>
      </c>
      <c r="K328" s="154">
        <v>4.6449999988079083E-2</v>
      </c>
      <c r="L328" s="154">
        <v>1.8450000002980249E-2</v>
      </c>
      <c r="M328" s="154">
        <v>2.4900000005960266E-2</v>
      </c>
      <c r="N328" s="46">
        <v>2.423864848212547E-3</v>
      </c>
      <c r="O328" s="154">
        <v>6.6199999999254716E-2</v>
      </c>
      <c r="P328" s="41" t="s">
        <v>150</v>
      </c>
      <c r="R328" s="185"/>
    </row>
    <row r="329" spans="1:254" s="191" customFormat="1" ht="10.7" customHeight="1" x14ac:dyDescent="0.2">
      <c r="A329" s="190"/>
      <c r="B329" s="49"/>
      <c r="C329" s="151"/>
      <c r="D329" s="152"/>
      <c r="E329" s="152"/>
      <c r="F329" s="153"/>
      <c r="G329" s="154"/>
      <c r="H329" s="183"/>
      <c r="I329" s="153"/>
      <c r="J329" s="154"/>
      <c r="K329" s="154"/>
      <c r="L329" s="154"/>
      <c r="M329" s="154"/>
      <c r="N329" s="46"/>
      <c r="O329" s="154"/>
      <c r="P329" s="41"/>
      <c r="R329" s="185"/>
    </row>
    <row r="330" spans="1:254" s="191" customFormat="1" ht="10.7" customHeight="1" x14ac:dyDescent="0.2">
      <c r="A330" s="190"/>
      <c r="B330" s="40" t="s">
        <v>90</v>
      </c>
      <c r="C330" s="151">
        <v>0</v>
      </c>
      <c r="D330" s="152"/>
      <c r="E330" s="152"/>
      <c r="F330" s="153">
        <v>0</v>
      </c>
      <c r="G330" s="154"/>
      <c r="H330" s="183"/>
      <c r="I330" s="153">
        <v>0</v>
      </c>
      <c r="J330" s="154"/>
      <c r="K330" s="154"/>
      <c r="L330" s="154"/>
      <c r="M330" s="154"/>
      <c r="N330" s="46"/>
      <c r="O330" s="154"/>
      <c r="P330" s="41"/>
      <c r="R330" s="185"/>
    </row>
    <row r="331" spans="1:254" s="191" customFormat="1" ht="10.7" customHeight="1" x14ac:dyDescent="0.2">
      <c r="A331" s="190"/>
      <c r="B331" s="197" t="s">
        <v>91</v>
      </c>
      <c r="C331" s="226">
        <v>4496.3689999999997</v>
      </c>
      <c r="D331" s="155">
        <v>0</v>
      </c>
      <c r="E331" s="155">
        <v>670</v>
      </c>
      <c r="F331" s="156">
        <v>5166.3689999999997</v>
      </c>
      <c r="G331" s="155">
        <v>3958.2630534168306</v>
      </c>
      <c r="H331" s="188">
        <v>76.615957037076342</v>
      </c>
      <c r="I331" s="156">
        <v>1208.105946583169</v>
      </c>
      <c r="J331" s="155">
        <v>0.61069999742426262</v>
      </c>
      <c r="K331" s="155">
        <v>0.51064999812865608</v>
      </c>
      <c r="L331" s="155">
        <v>1.7775499927549845</v>
      </c>
      <c r="M331" s="155">
        <v>2457.6034000038185</v>
      </c>
      <c r="N331" s="58">
        <v>54.657511427639029</v>
      </c>
      <c r="O331" s="155">
        <v>615.12557499803165</v>
      </c>
      <c r="P331" s="54">
        <v>0</v>
      </c>
      <c r="R331" s="185"/>
    </row>
    <row r="332" spans="1:254" ht="10.7" customHeight="1" x14ac:dyDescent="0.2">
      <c r="B332" s="198" t="s">
        <v>167</v>
      </c>
      <c r="C332" s="198"/>
      <c r="D332" s="198"/>
      <c r="E332" s="198"/>
      <c r="F332" s="199"/>
      <c r="G332" s="198"/>
      <c r="H332" s="198"/>
      <c r="I332" s="200"/>
      <c r="J332" s="198"/>
      <c r="K332" s="198"/>
      <c r="L332" s="198"/>
      <c r="M332" s="198"/>
      <c r="N332" s="201"/>
      <c r="O332" s="198"/>
      <c r="P332" s="201"/>
      <c r="Q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  <c r="CG332" s="198"/>
      <c r="CH332" s="198"/>
      <c r="CI332" s="198"/>
      <c r="CJ332" s="198"/>
      <c r="CK332" s="198"/>
      <c r="CL332" s="198"/>
      <c r="CM332" s="198"/>
      <c r="CN332" s="198"/>
      <c r="CO332" s="198"/>
      <c r="CP332" s="198"/>
      <c r="CQ332" s="198"/>
      <c r="CR332" s="198"/>
      <c r="CS332" s="198"/>
      <c r="CT332" s="198"/>
      <c r="CU332" s="198"/>
      <c r="CV332" s="198"/>
      <c r="CW332" s="198"/>
      <c r="CX332" s="198"/>
      <c r="CY332" s="198"/>
      <c r="CZ332" s="198"/>
      <c r="DA332" s="198"/>
      <c r="DB332" s="198"/>
      <c r="DC332" s="198"/>
      <c r="DD332" s="198"/>
      <c r="DE332" s="198"/>
      <c r="DF332" s="198"/>
      <c r="DG332" s="198"/>
      <c r="DH332" s="198"/>
      <c r="DI332" s="198"/>
      <c r="DJ332" s="198"/>
      <c r="DK332" s="198"/>
      <c r="DL332" s="198"/>
      <c r="DM332" s="198"/>
      <c r="DN332" s="198"/>
      <c r="DO332" s="198"/>
      <c r="DP332" s="198"/>
      <c r="DQ332" s="198"/>
      <c r="DR332" s="198"/>
      <c r="DS332" s="198"/>
      <c r="DT332" s="198"/>
      <c r="DU332" s="198"/>
      <c r="DV332" s="198"/>
      <c r="DW332" s="198"/>
      <c r="DX332" s="198"/>
      <c r="DY332" s="198"/>
      <c r="DZ332" s="198"/>
      <c r="EA332" s="198"/>
      <c r="EB332" s="198"/>
      <c r="EC332" s="198"/>
      <c r="ED332" s="198"/>
      <c r="EE332" s="198"/>
      <c r="EF332" s="198"/>
      <c r="EG332" s="198"/>
      <c r="EH332" s="198"/>
      <c r="EI332" s="198"/>
      <c r="EJ332" s="198"/>
      <c r="EK332" s="198"/>
      <c r="EL332" s="198"/>
      <c r="EM332" s="198"/>
      <c r="EN332" s="198"/>
      <c r="EO332" s="198"/>
      <c r="EP332" s="198"/>
      <c r="EQ332" s="198"/>
      <c r="ER332" s="198"/>
      <c r="ES332" s="198"/>
      <c r="ET332" s="198"/>
      <c r="EU332" s="198"/>
      <c r="EV332" s="198"/>
      <c r="EW332" s="198"/>
      <c r="EX332" s="198"/>
      <c r="EY332" s="198"/>
      <c r="EZ332" s="198"/>
      <c r="FA332" s="198"/>
      <c r="FB332" s="198"/>
      <c r="FC332" s="198"/>
      <c r="FD332" s="198"/>
      <c r="FE332" s="198"/>
      <c r="FF332" s="198"/>
      <c r="FG332" s="198"/>
      <c r="FH332" s="198"/>
      <c r="FI332" s="198"/>
      <c r="FJ332" s="198"/>
      <c r="FK332" s="198"/>
      <c r="FL332" s="198"/>
      <c r="FM332" s="198"/>
      <c r="FN332" s="198"/>
      <c r="FO332" s="198"/>
      <c r="FP332" s="198"/>
      <c r="FQ332" s="198"/>
      <c r="FR332" s="198"/>
      <c r="FS332" s="198"/>
      <c r="FT332" s="198"/>
      <c r="FU332" s="198"/>
      <c r="FV332" s="198"/>
      <c r="FW332" s="198"/>
      <c r="FX332" s="198"/>
      <c r="FY332" s="198"/>
      <c r="FZ332" s="198"/>
      <c r="GA332" s="198"/>
      <c r="GB332" s="198"/>
      <c r="GC332" s="198"/>
      <c r="GD332" s="198"/>
      <c r="GE332" s="198"/>
      <c r="GF332" s="198"/>
      <c r="GG332" s="198"/>
      <c r="GH332" s="198"/>
      <c r="GI332" s="198"/>
      <c r="GJ332" s="198"/>
      <c r="GK332" s="198"/>
      <c r="GL332" s="198"/>
      <c r="GM332" s="198"/>
      <c r="GN332" s="198"/>
      <c r="GO332" s="198"/>
      <c r="GP332" s="198"/>
      <c r="GQ332" s="198"/>
      <c r="GR332" s="198"/>
      <c r="GS332" s="198"/>
      <c r="GT332" s="198"/>
      <c r="GU332" s="198"/>
      <c r="GV332" s="198"/>
      <c r="GW332" s="198"/>
      <c r="GX332" s="198"/>
      <c r="GY332" s="198"/>
      <c r="GZ332" s="198"/>
      <c r="HA332" s="198"/>
      <c r="HB332" s="198"/>
      <c r="HC332" s="198"/>
      <c r="HD332" s="198"/>
      <c r="HE332" s="198"/>
      <c r="HF332" s="198"/>
      <c r="HG332" s="198"/>
      <c r="HH332" s="198"/>
      <c r="HI332" s="198"/>
      <c r="HJ332" s="198"/>
      <c r="HK332" s="198"/>
      <c r="HL332" s="198"/>
      <c r="HM332" s="198"/>
      <c r="HN332" s="198"/>
      <c r="HO332" s="198"/>
      <c r="HP332" s="198"/>
      <c r="HQ332" s="198"/>
      <c r="HR332" s="198"/>
      <c r="HS332" s="198"/>
      <c r="HT332" s="198"/>
      <c r="HU332" s="198"/>
      <c r="HV332" s="198"/>
      <c r="HW332" s="198"/>
      <c r="HX332" s="198"/>
      <c r="HY332" s="198"/>
      <c r="HZ332" s="198"/>
      <c r="IA332" s="198"/>
      <c r="IB332" s="198"/>
      <c r="IC332" s="198"/>
      <c r="ID332" s="198"/>
      <c r="IE332" s="198"/>
      <c r="IF332" s="198"/>
      <c r="IG332" s="198"/>
      <c r="IH332" s="198"/>
      <c r="II332" s="198"/>
      <c r="IJ332" s="198"/>
      <c r="IK332" s="198"/>
      <c r="IL332" s="198"/>
      <c r="IM332" s="198"/>
      <c r="IN332" s="198"/>
      <c r="IO332" s="198"/>
      <c r="IP332" s="198"/>
      <c r="IQ332" s="198"/>
      <c r="IR332" s="198"/>
      <c r="IS332" s="198"/>
      <c r="IT332" s="198"/>
    </row>
    <row r="333" spans="1:254" ht="10.7" customHeight="1" x14ac:dyDescent="0.2">
      <c r="B333" s="198" t="s">
        <v>92</v>
      </c>
      <c r="C333" s="202"/>
      <c r="D333" s="202"/>
      <c r="E333" s="202"/>
      <c r="F333" s="203"/>
      <c r="G333" s="202"/>
      <c r="H333" s="202"/>
      <c r="I333" s="204"/>
      <c r="J333" s="202"/>
      <c r="K333" s="202"/>
      <c r="L333" s="202"/>
      <c r="M333" s="202"/>
      <c r="N333" s="194"/>
      <c r="O333" s="202"/>
      <c r="P333" s="194"/>
      <c r="Q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  <c r="BL333" s="202"/>
      <c r="BM333" s="202"/>
      <c r="BN333" s="202"/>
      <c r="BO333" s="202"/>
      <c r="BP333" s="202"/>
      <c r="BQ333" s="202"/>
      <c r="BR333" s="202"/>
      <c r="BS333" s="202"/>
      <c r="BT333" s="202"/>
      <c r="BU333" s="202"/>
      <c r="BV333" s="202"/>
      <c r="BW333" s="202"/>
      <c r="BX333" s="202"/>
      <c r="BY333" s="202"/>
      <c r="BZ333" s="202"/>
      <c r="CA333" s="202"/>
      <c r="CB333" s="202"/>
      <c r="CC333" s="202"/>
      <c r="CD333" s="202"/>
      <c r="CE333" s="202"/>
      <c r="CF333" s="202"/>
      <c r="CG333" s="202"/>
      <c r="CH333" s="202"/>
      <c r="CI333" s="202"/>
      <c r="CJ333" s="202"/>
      <c r="CK333" s="202"/>
      <c r="CL333" s="202"/>
      <c r="CM333" s="202"/>
      <c r="CN333" s="202"/>
      <c r="CO333" s="202"/>
      <c r="CP333" s="202"/>
      <c r="CQ333" s="202"/>
      <c r="CR333" s="202"/>
      <c r="CS333" s="202"/>
      <c r="CT333" s="202"/>
      <c r="CU333" s="202"/>
      <c r="CV333" s="202"/>
      <c r="CW333" s="202"/>
      <c r="CX333" s="202"/>
      <c r="CY333" s="202"/>
      <c r="CZ333" s="202"/>
      <c r="DA333" s="202"/>
      <c r="DB333" s="202"/>
      <c r="DC333" s="202"/>
      <c r="DD333" s="202"/>
      <c r="DE333" s="202"/>
      <c r="DF333" s="202"/>
      <c r="DG333" s="202"/>
      <c r="DH333" s="202"/>
      <c r="DI333" s="202"/>
      <c r="DJ333" s="202"/>
      <c r="DK333" s="202"/>
      <c r="DL333" s="202"/>
      <c r="DM333" s="202"/>
      <c r="DN333" s="202"/>
      <c r="DO333" s="202"/>
      <c r="DP333" s="202"/>
      <c r="DQ333" s="202"/>
      <c r="DR333" s="202"/>
      <c r="DS333" s="202"/>
      <c r="DT333" s="202"/>
      <c r="DU333" s="202"/>
      <c r="DV333" s="202"/>
      <c r="DW333" s="202"/>
      <c r="DX333" s="202"/>
      <c r="DY333" s="202"/>
      <c r="DZ333" s="202"/>
      <c r="EA333" s="202"/>
      <c r="EB333" s="202"/>
      <c r="EC333" s="202"/>
      <c r="ED333" s="202"/>
      <c r="EE333" s="202"/>
      <c r="EF333" s="202"/>
      <c r="EG333" s="202"/>
      <c r="EH333" s="202"/>
      <c r="EI333" s="202"/>
      <c r="EJ333" s="202"/>
      <c r="EK333" s="202"/>
      <c r="EL333" s="202"/>
      <c r="EM333" s="202"/>
      <c r="EN333" s="202"/>
      <c r="EO333" s="202"/>
      <c r="EP333" s="202"/>
      <c r="EQ333" s="202"/>
      <c r="ER333" s="202"/>
      <c r="ES333" s="202"/>
      <c r="ET333" s="202"/>
      <c r="EU333" s="202"/>
      <c r="EV333" s="202"/>
      <c r="EW333" s="202"/>
      <c r="EX333" s="202"/>
      <c r="EY333" s="202"/>
      <c r="EZ333" s="202"/>
      <c r="FA333" s="202"/>
      <c r="FB333" s="202"/>
      <c r="FC333" s="202"/>
      <c r="FD333" s="202"/>
      <c r="FE333" s="202"/>
      <c r="FF333" s="202"/>
      <c r="FG333" s="202"/>
      <c r="FH333" s="202"/>
      <c r="FI333" s="202"/>
      <c r="FJ333" s="202"/>
      <c r="FK333" s="202"/>
      <c r="FL333" s="202"/>
      <c r="FM333" s="202"/>
      <c r="FN333" s="202"/>
      <c r="FO333" s="202"/>
      <c r="FP333" s="202"/>
      <c r="FQ333" s="202"/>
      <c r="FR333" s="202"/>
      <c r="FS333" s="202"/>
      <c r="FT333" s="202"/>
      <c r="FU333" s="202"/>
      <c r="FV333" s="202"/>
      <c r="FW333" s="202"/>
      <c r="FX333" s="202"/>
      <c r="FY333" s="202"/>
      <c r="FZ333" s="202"/>
      <c r="GA333" s="202"/>
      <c r="GB333" s="202"/>
      <c r="GC333" s="202"/>
      <c r="GD333" s="202"/>
      <c r="GE333" s="202"/>
      <c r="GF333" s="202"/>
      <c r="GG333" s="202"/>
      <c r="GH333" s="202"/>
      <c r="GI333" s="202"/>
      <c r="GJ333" s="202"/>
      <c r="GK333" s="202"/>
      <c r="GL333" s="202"/>
      <c r="GM333" s="202"/>
      <c r="GN333" s="202"/>
      <c r="GO333" s="202"/>
      <c r="GP333" s="202"/>
      <c r="GQ333" s="202"/>
      <c r="GR333" s="202"/>
      <c r="GS333" s="202"/>
      <c r="GT333" s="202"/>
      <c r="GU333" s="202"/>
      <c r="GV333" s="202"/>
      <c r="GW333" s="202"/>
      <c r="GX333" s="202"/>
      <c r="GY333" s="202"/>
      <c r="GZ333" s="202"/>
      <c r="HA333" s="202"/>
      <c r="HB333" s="202"/>
      <c r="HC333" s="202"/>
      <c r="HD333" s="202"/>
      <c r="HE333" s="202"/>
      <c r="HF333" s="202"/>
      <c r="HG333" s="202"/>
      <c r="HH333" s="202"/>
      <c r="HI333" s="202"/>
      <c r="HJ333" s="202"/>
      <c r="HK333" s="202"/>
      <c r="HL333" s="202"/>
      <c r="HM333" s="202"/>
      <c r="HN333" s="202"/>
      <c r="HO333" s="202"/>
      <c r="HP333" s="202"/>
      <c r="HQ333" s="202"/>
      <c r="HR333" s="202"/>
      <c r="HS333" s="202"/>
      <c r="HT333" s="202"/>
      <c r="HU333" s="202"/>
      <c r="HV333" s="202"/>
      <c r="HW333" s="202"/>
      <c r="HX333" s="202"/>
      <c r="HY333" s="202"/>
      <c r="HZ333" s="202"/>
      <c r="IA333" s="202"/>
      <c r="IB333" s="202"/>
      <c r="IC333" s="202"/>
      <c r="ID333" s="202"/>
      <c r="IE333" s="202"/>
      <c r="IF333" s="202"/>
      <c r="IG333" s="202"/>
      <c r="IH333" s="202"/>
      <c r="II333" s="202"/>
      <c r="IJ333" s="202"/>
      <c r="IK333" s="202"/>
      <c r="IL333" s="202"/>
      <c r="IM333" s="202"/>
      <c r="IN333" s="202"/>
      <c r="IO333" s="202"/>
      <c r="IP333" s="202"/>
      <c r="IQ333" s="202"/>
      <c r="IR333" s="202"/>
      <c r="IS333" s="202"/>
      <c r="IT333" s="202"/>
    </row>
    <row r="334" spans="1:254" ht="10.7" customHeight="1" x14ac:dyDescent="0.2">
      <c r="B334" s="198"/>
      <c r="C334" s="191"/>
      <c r="D334" s="191"/>
      <c r="E334" s="191"/>
      <c r="F334" s="192"/>
      <c r="G334" s="191"/>
      <c r="H334" s="191"/>
      <c r="I334" s="193"/>
      <c r="J334" s="191"/>
      <c r="K334" s="191"/>
      <c r="L334" s="191"/>
      <c r="M334" s="191"/>
      <c r="N334" s="194"/>
      <c r="O334" s="191"/>
      <c r="P334" s="194"/>
      <c r="Q334" s="191"/>
    </row>
    <row r="335" spans="1:254" s="191" customFormat="1" ht="10.7" customHeight="1" x14ac:dyDescent="0.2">
      <c r="A335" s="190"/>
      <c r="F335" s="192"/>
      <c r="I335" s="193"/>
      <c r="N335" s="194"/>
      <c r="P335" s="194"/>
      <c r="R335" s="185"/>
    </row>
    <row r="336" spans="1:254" s="191" customFormat="1" ht="10.7" customHeight="1" x14ac:dyDescent="0.2">
      <c r="A336" s="190"/>
      <c r="F336" s="192"/>
      <c r="I336" s="193"/>
      <c r="N336" s="194"/>
      <c r="P336" s="194"/>
      <c r="R336" s="185"/>
    </row>
    <row r="337" spans="1:18" s="191" customFormat="1" ht="10.7" customHeight="1" x14ac:dyDescent="0.2">
      <c r="A337" s="190"/>
      <c r="B337" s="14"/>
      <c r="C337" s="15" t="s">
        <v>147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5"/>
    </row>
    <row r="338" spans="1:18" s="191" customFormat="1" ht="10.7" customHeight="1" x14ac:dyDescent="0.2">
      <c r="A338" s="190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5"/>
    </row>
    <row r="339" spans="1:18" s="191" customFormat="1" ht="10.7" customHeight="1" x14ac:dyDescent="0.2">
      <c r="A339" s="190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44468</v>
      </c>
      <c r="K339" s="33">
        <v>44475</v>
      </c>
      <c r="L339" s="33">
        <v>44482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5"/>
    </row>
    <row r="340" spans="1:18" s="191" customFormat="1" ht="10.7" customHeight="1" x14ac:dyDescent="0.2">
      <c r="A340" s="190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5"/>
    </row>
    <row r="341" spans="1:18" s="191" customFormat="1" ht="10.7" customHeight="1" x14ac:dyDescent="0.2">
      <c r="A341" s="190"/>
      <c r="B341" s="40"/>
      <c r="C341" s="233" t="s">
        <v>141</v>
      </c>
      <c r="D341" s="235"/>
      <c r="E341" s="235"/>
      <c r="F341" s="235"/>
      <c r="G341" s="235"/>
      <c r="H341" s="235"/>
      <c r="I341" s="235"/>
      <c r="J341" s="235"/>
      <c r="K341" s="235"/>
      <c r="L341" s="235"/>
      <c r="M341" s="235"/>
      <c r="N341" s="235"/>
      <c r="O341" s="235"/>
      <c r="P341" s="41" t="s">
        <v>4</v>
      </c>
      <c r="R341" s="185"/>
    </row>
    <row r="342" spans="1:18" s="191" customFormat="1" ht="10.7" customHeight="1" x14ac:dyDescent="0.2">
      <c r="A342" s="190"/>
      <c r="B342" s="40" t="s">
        <v>62</v>
      </c>
      <c r="C342" s="151">
        <v>348.31400000000002</v>
      </c>
      <c r="D342" s="152">
        <v>0</v>
      </c>
      <c r="E342" s="152">
        <v>-262.89999999999998</v>
      </c>
      <c r="F342" s="153">
        <v>85.414000000000044</v>
      </c>
      <c r="G342" s="154">
        <v>15.190000000000001</v>
      </c>
      <c r="H342" s="183">
        <v>17.783969841009664</v>
      </c>
      <c r="I342" s="153">
        <v>70.224000000000046</v>
      </c>
      <c r="J342" s="154">
        <v>0</v>
      </c>
      <c r="K342" s="154">
        <v>0.59999999999999964</v>
      </c>
      <c r="L342" s="154">
        <v>0</v>
      </c>
      <c r="M342" s="154">
        <v>0</v>
      </c>
      <c r="N342" s="46">
        <v>0</v>
      </c>
      <c r="O342" s="154">
        <v>0.14999999999999991</v>
      </c>
      <c r="P342" s="41" t="s">
        <v>149</v>
      </c>
      <c r="R342" s="185"/>
    </row>
    <row r="343" spans="1:18" s="191" customFormat="1" ht="10.7" customHeight="1" x14ac:dyDescent="0.2">
      <c r="A343" s="190"/>
      <c r="B343" s="40" t="s">
        <v>63</v>
      </c>
      <c r="C343" s="151">
        <v>0.1</v>
      </c>
      <c r="D343" s="152">
        <v>0</v>
      </c>
      <c r="E343" s="152">
        <v>0</v>
      </c>
      <c r="F343" s="153">
        <v>0.1</v>
      </c>
      <c r="G343" s="154">
        <v>0.28000000000000003</v>
      </c>
      <c r="H343" s="183">
        <v>280</v>
      </c>
      <c r="I343" s="153">
        <v>-0.18000000000000002</v>
      </c>
      <c r="J343" s="154">
        <v>0</v>
      </c>
      <c r="K343" s="154">
        <v>0</v>
      </c>
      <c r="L343" s="154">
        <v>0</v>
      </c>
      <c r="M343" s="154">
        <v>0</v>
      </c>
      <c r="N343" s="46">
        <v>0</v>
      </c>
      <c r="O343" s="154">
        <v>0</v>
      </c>
      <c r="P343" s="41" t="s">
        <v>150</v>
      </c>
      <c r="R343" s="185"/>
    </row>
    <row r="344" spans="1:18" s="191" customFormat="1" ht="10.7" customHeight="1" x14ac:dyDescent="0.2">
      <c r="A344" s="190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3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150</v>
      </c>
      <c r="R344" s="185"/>
    </row>
    <row r="345" spans="1:18" s="191" customFormat="1" ht="10.7" customHeight="1" x14ac:dyDescent="0.2">
      <c r="A345" s="190"/>
      <c r="B345" s="40" t="s">
        <v>66</v>
      </c>
      <c r="C345" s="151">
        <v>576.17399999999998</v>
      </c>
      <c r="D345" s="152">
        <v>0</v>
      </c>
      <c r="E345" s="152">
        <v>0</v>
      </c>
      <c r="F345" s="153">
        <v>576.17399999999998</v>
      </c>
      <c r="G345" s="154">
        <v>11.27</v>
      </c>
      <c r="H345" s="183">
        <v>1.9560063453054113</v>
      </c>
      <c r="I345" s="153">
        <v>564.904</v>
      </c>
      <c r="J345" s="154">
        <v>0</v>
      </c>
      <c r="K345" s="154">
        <v>0</v>
      </c>
      <c r="L345" s="154">
        <v>0</v>
      </c>
      <c r="M345" s="154">
        <v>0</v>
      </c>
      <c r="N345" s="46">
        <v>0</v>
      </c>
      <c r="O345" s="154">
        <v>0</v>
      </c>
      <c r="P345" s="41" t="s">
        <v>149</v>
      </c>
      <c r="R345" s="185"/>
    </row>
    <row r="346" spans="1:18" s="191" customFormat="1" ht="10.7" customHeight="1" x14ac:dyDescent="0.2">
      <c r="A346" s="190"/>
      <c r="B346" s="40" t="s">
        <v>67</v>
      </c>
      <c r="C346" s="151">
        <v>0.59799999999999998</v>
      </c>
      <c r="D346" s="152">
        <v>0</v>
      </c>
      <c r="E346" s="152">
        <v>0</v>
      </c>
      <c r="F346" s="153">
        <v>0.59799999999999998</v>
      </c>
      <c r="G346" s="154">
        <v>0</v>
      </c>
      <c r="H346" s="183">
        <v>0</v>
      </c>
      <c r="I346" s="153">
        <v>0.59799999999999998</v>
      </c>
      <c r="J346" s="154">
        <v>0</v>
      </c>
      <c r="K346" s="154">
        <v>0</v>
      </c>
      <c r="L346" s="154">
        <v>0</v>
      </c>
      <c r="M346" s="154">
        <v>0</v>
      </c>
      <c r="N346" s="46">
        <v>0</v>
      </c>
      <c r="O346" s="154">
        <v>0</v>
      </c>
      <c r="P346" s="41" t="s">
        <v>149</v>
      </c>
      <c r="R346" s="185"/>
    </row>
    <row r="347" spans="1:18" s="191" customFormat="1" ht="10.7" customHeight="1" x14ac:dyDescent="0.2">
      <c r="A347" s="190"/>
      <c r="B347" s="40" t="s">
        <v>68</v>
      </c>
      <c r="C347" s="151">
        <v>0.1</v>
      </c>
      <c r="D347" s="152">
        <v>0</v>
      </c>
      <c r="E347" s="152">
        <v>-0.1</v>
      </c>
      <c r="F347" s="153">
        <v>0</v>
      </c>
      <c r="G347" s="154">
        <v>0</v>
      </c>
      <c r="H347" s="183">
        <v>0</v>
      </c>
      <c r="I347" s="153">
        <v>0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150</v>
      </c>
      <c r="R347" s="185"/>
    </row>
    <row r="348" spans="1:18" s="191" customFormat="1" ht="10.7" customHeight="1" x14ac:dyDescent="0.2">
      <c r="A348" s="190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3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150</v>
      </c>
      <c r="R348" s="185"/>
    </row>
    <row r="349" spans="1:18" s="191" customFormat="1" ht="10.7" customHeight="1" x14ac:dyDescent="0.2">
      <c r="A349" s="190"/>
      <c r="B349" s="40" t="s">
        <v>70</v>
      </c>
      <c r="C349" s="151">
        <v>1.6</v>
      </c>
      <c r="D349" s="152">
        <v>0</v>
      </c>
      <c r="E349" s="152">
        <v>0</v>
      </c>
      <c r="F349" s="153">
        <v>1.6</v>
      </c>
      <c r="G349" s="154">
        <v>0</v>
      </c>
      <c r="H349" s="183">
        <v>0</v>
      </c>
      <c r="I349" s="153">
        <v>1.6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150</v>
      </c>
      <c r="R349" s="185"/>
    </row>
    <row r="350" spans="1:18" s="191" customFormat="1" ht="10.7" customHeight="1" x14ac:dyDescent="0.2">
      <c r="A350" s="190"/>
      <c r="B350" s="40" t="s">
        <v>71</v>
      </c>
      <c r="C350" s="151">
        <v>625.678</v>
      </c>
      <c r="D350" s="152">
        <v>0</v>
      </c>
      <c r="E350" s="152">
        <v>0</v>
      </c>
      <c r="F350" s="153">
        <v>625.678</v>
      </c>
      <c r="G350" s="154">
        <v>434.93999999999994</v>
      </c>
      <c r="H350" s="183">
        <v>69.514990138697527</v>
      </c>
      <c r="I350" s="153">
        <v>190.73800000000006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 t="s">
        <v>149</v>
      </c>
      <c r="R350" s="185"/>
    </row>
    <row r="351" spans="1:18" s="191" customFormat="1" ht="10.7" customHeight="1" x14ac:dyDescent="0.2">
      <c r="A351" s="190"/>
      <c r="B351" s="40" t="s">
        <v>72</v>
      </c>
      <c r="C351" s="151">
        <v>94.287000000000006</v>
      </c>
      <c r="D351" s="152">
        <v>0</v>
      </c>
      <c r="E351" s="152">
        <v>-91</v>
      </c>
      <c r="F351" s="153">
        <v>3.2870000000000061</v>
      </c>
      <c r="G351" s="154">
        <v>1.22</v>
      </c>
      <c r="H351" s="183">
        <v>37.11591116519616</v>
      </c>
      <c r="I351" s="153">
        <v>2.0670000000000064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 t="s">
        <v>149</v>
      </c>
      <c r="R351" s="185"/>
    </row>
    <row r="352" spans="1:18" s="191" customFormat="1" ht="10.7" customHeight="1" x14ac:dyDescent="0.2">
      <c r="A352" s="190"/>
      <c r="B352" s="47" t="s">
        <v>73</v>
      </c>
      <c r="C352" s="151">
        <v>1646.8509999999999</v>
      </c>
      <c r="D352" s="152">
        <v>0</v>
      </c>
      <c r="E352" s="152">
        <v>-354</v>
      </c>
      <c r="F352" s="153">
        <v>1292.8509999999999</v>
      </c>
      <c r="G352" s="154">
        <v>462.9</v>
      </c>
      <c r="H352" s="183">
        <v>35.804590010759171</v>
      </c>
      <c r="I352" s="153">
        <v>829.95099999999991</v>
      </c>
      <c r="J352" s="154">
        <v>0</v>
      </c>
      <c r="K352" s="154">
        <v>0.59999999999999964</v>
      </c>
      <c r="L352" s="154">
        <v>0</v>
      </c>
      <c r="M352" s="154">
        <v>0</v>
      </c>
      <c r="N352" s="46">
        <v>0</v>
      </c>
      <c r="O352" s="154">
        <v>0.14999999999999991</v>
      </c>
      <c r="P352" s="41" t="s">
        <v>149</v>
      </c>
      <c r="R352" s="185"/>
    </row>
    <row r="353" spans="1:18" s="191" customFormat="1" ht="10.7" customHeight="1" x14ac:dyDescent="0.2">
      <c r="A353" s="190"/>
      <c r="B353" s="40"/>
      <c r="C353" s="151"/>
      <c r="D353" s="154"/>
      <c r="E353" s="152"/>
      <c r="F353" s="153"/>
      <c r="G353" s="154"/>
      <c r="H353" s="183"/>
      <c r="I353" s="153"/>
      <c r="J353" s="154"/>
      <c r="K353" s="154"/>
      <c r="L353" s="154"/>
      <c r="M353" s="154"/>
      <c r="N353" s="46"/>
      <c r="O353" s="154"/>
      <c r="P353" s="41"/>
      <c r="R353" s="185"/>
    </row>
    <row r="354" spans="1:18" s="191" customFormat="1" ht="10.15" customHeight="1" x14ac:dyDescent="0.2">
      <c r="A354" s="190"/>
      <c r="B354" s="40" t="s">
        <v>74</v>
      </c>
      <c r="C354" s="151">
        <v>6.1</v>
      </c>
      <c r="D354" s="152">
        <v>0</v>
      </c>
      <c r="E354" s="152">
        <v>0</v>
      </c>
      <c r="F354" s="153">
        <v>6.1</v>
      </c>
      <c r="G354" s="154">
        <v>0</v>
      </c>
      <c r="H354" s="183">
        <v>0</v>
      </c>
      <c r="I354" s="153">
        <v>6.1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149</v>
      </c>
      <c r="R354" s="185"/>
    </row>
    <row r="355" spans="1:18" s="191" customFormat="1" ht="10.7" customHeight="1" x14ac:dyDescent="0.2">
      <c r="A355" s="190"/>
      <c r="B355" s="40" t="s">
        <v>75</v>
      </c>
      <c r="C355" s="151">
        <v>13.1</v>
      </c>
      <c r="D355" s="152">
        <v>0</v>
      </c>
      <c r="E355" s="152">
        <v>0</v>
      </c>
      <c r="F355" s="153">
        <v>13.1</v>
      </c>
      <c r="G355" s="154">
        <v>0</v>
      </c>
      <c r="H355" s="183">
        <v>0</v>
      </c>
      <c r="I355" s="153">
        <v>13.1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149</v>
      </c>
      <c r="R355" s="185"/>
    </row>
    <row r="356" spans="1:18" s="191" customFormat="1" ht="10.7" customHeight="1" x14ac:dyDescent="0.2">
      <c r="A356" s="190"/>
      <c r="B356" s="40" t="s">
        <v>157</v>
      </c>
      <c r="C356" s="151">
        <v>0.7</v>
      </c>
      <c r="D356" s="152">
        <v>0</v>
      </c>
      <c r="E356" s="152">
        <v>0</v>
      </c>
      <c r="F356" s="153">
        <v>0.7</v>
      </c>
      <c r="G356" s="154">
        <v>0</v>
      </c>
      <c r="H356" s="183">
        <v>0</v>
      </c>
      <c r="I356" s="153">
        <v>0.7</v>
      </c>
      <c r="J356" s="154">
        <v>0</v>
      </c>
      <c r="K356" s="154">
        <v>0</v>
      </c>
      <c r="L356" s="154">
        <v>0</v>
      </c>
      <c r="M356" s="154">
        <v>0</v>
      </c>
      <c r="N356" s="46">
        <v>0</v>
      </c>
      <c r="O356" s="154">
        <v>0</v>
      </c>
      <c r="P356" s="41">
        <v>0</v>
      </c>
      <c r="R356" s="185"/>
    </row>
    <row r="357" spans="1:18" s="191" customFormat="1" ht="10.7" customHeight="1" x14ac:dyDescent="0.2">
      <c r="A357" s="190"/>
      <c r="B357" s="40" t="s">
        <v>76</v>
      </c>
      <c r="C357" s="151">
        <v>5.2</v>
      </c>
      <c r="D357" s="152">
        <v>0</v>
      </c>
      <c r="E357" s="152">
        <v>-4.0999999999999996</v>
      </c>
      <c r="F357" s="153">
        <v>1.1000000000000005</v>
      </c>
      <c r="G357" s="154">
        <v>0</v>
      </c>
      <c r="H357" s="183">
        <v>0</v>
      </c>
      <c r="I357" s="153">
        <v>1.1000000000000005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149</v>
      </c>
      <c r="R357" s="185"/>
    </row>
    <row r="358" spans="1:18" s="191" customFormat="1" ht="10.7" customHeight="1" x14ac:dyDescent="0.2">
      <c r="A358" s="190"/>
      <c r="B358" s="40" t="s">
        <v>77</v>
      </c>
      <c r="C358" s="151">
        <v>225.5</v>
      </c>
      <c r="D358" s="152">
        <v>0</v>
      </c>
      <c r="E358" s="152">
        <v>-215</v>
      </c>
      <c r="F358" s="153">
        <v>10.5</v>
      </c>
      <c r="G358" s="154">
        <v>0.35</v>
      </c>
      <c r="H358" s="183">
        <v>3.3333333333333335</v>
      </c>
      <c r="I358" s="153">
        <v>10.15</v>
      </c>
      <c r="J358" s="154">
        <v>0</v>
      </c>
      <c r="K358" s="154">
        <v>0</v>
      </c>
      <c r="L358" s="154">
        <v>0</v>
      </c>
      <c r="M358" s="154">
        <v>0</v>
      </c>
      <c r="N358" s="46">
        <v>0</v>
      </c>
      <c r="O358" s="154">
        <v>0</v>
      </c>
      <c r="P358" s="41" t="s">
        <v>149</v>
      </c>
      <c r="R358" s="185"/>
    </row>
    <row r="359" spans="1:18" s="191" customFormat="1" ht="10.7" customHeight="1" x14ac:dyDescent="0.2">
      <c r="A359" s="190"/>
      <c r="B359" s="40" t="s">
        <v>78</v>
      </c>
      <c r="C359" s="151">
        <v>1536.114</v>
      </c>
      <c r="D359" s="152">
        <v>0</v>
      </c>
      <c r="E359" s="152">
        <v>289</v>
      </c>
      <c r="F359" s="153">
        <v>1825.114</v>
      </c>
      <c r="G359" s="154">
        <v>1342.5859999999998</v>
      </c>
      <c r="H359" s="183">
        <v>73.561761073554848</v>
      </c>
      <c r="I359" s="153">
        <v>482.52800000000025</v>
      </c>
      <c r="J359" s="154">
        <v>0</v>
      </c>
      <c r="K359" s="154">
        <v>0</v>
      </c>
      <c r="L359" s="154">
        <v>483.38999999999987</v>
      </c>
      <c r="M359" s="154">
        <v>0</v>
      </c>
      <c r="N359" s="46">
        <v>0</v>
      </c>
      <c r="O359" s="154">
        <v>120.84749999999997</v>
      </c>
      <c r="P359" s="41">
        <v>1.9928670431742517</v>
      </c>
      <c r="R359" s="185"/>
    </row>
    <row r="360" spans="1:18" s="191" customFormat="1" ht="10.7" customHeight="1" x14ac:dyDescent="0.2">
      <c r="A360" s="190"/>
      <c r="B360" s="40" t="s">
        <v>79</v>
      </c>
      <c r="C360" s="151">
        <v>7.9</v>
      </c>
      <c r="D360" s="152">
        <v>0</v>
      </c>
      <c r="E360" s="152">
        <v>0</v>
      </c>
      <c r="F360" s="153">
        <v>7.9</v>
      </c>
      <c r="G360" s="154">
        <v>2.9660815974250432</v>
      </c>
      <c r="H360" s="183">
        <v>37.545336676266366</v>
      </c>
      <c r="I360" s="153">
        <v>4.9339184025749567</v>
      </c>
      <c r="J360" s="154">
        <v>9.399999499319911E-3</v>
      </c>
      <c r="K360" s="154">
        <v>1.1334573179482277E-3</v>
      </c>
      <c r="L360" s="154">
        <v>4.1599999308586266E-2</v>
      </c>
      <c r="M360" s="154">
        <v>0.3158999992832543</v>
      </c>
      <c r="N360" s="46">
        <v>3.9987341681424593</v>
      </c>
      <c r="O360" s="154">
        <v>9.2008363852277175E-2</v>
      </c>
      <c r="P360" s="41" t="s">
        <v>149</v>
      </c>
      <c r="R360" s="185"/>
    </row>
    <row r="361" spans="1:18" s="191" customFormat="1" ht="10.7" customHeight="1" x14ac:dyDescent="0.2">
      <c r="A361" s="190"/>
      <c r="B361" s="40" t="s">
        <v>80</v>
      </c>
      <c r="C361" s="151">
        <v>5.2830000000000004</v>
      </c>
      <c r="D361" s="152">
        <v>0</v>
      </c>
      <c r="E361" s="152">
        <v>0</v>
      </c>
      <c r="F361" s="153">
        <v>5.2830000000000004</v>
      </c>
      <c r="G361" s="154">
        <v>0.20329999899864198</v>
      </c>
      <c r="H361" s="183">
        <v>3.8481922960182087</v>
      </c>
      <c r="I361" s="153">
        <v>5.079700001001358</v>
      </c>
      <c r="J361" s="154">
        <v>0</v>
      </c>
      <c r="K361" s="154">
        <v>0</v>
      </c>
      <c r="L361" s="154">
        <v>0</v>
      </c>
      <c r="M361" s="154">
        <v>0</v>
      </c>
      <c r="N361" s="46">
        <v>0</v>
      </c>
      <c r="O361" s="154">
        <v>0</v>
      </c>
      <c r="P361" s="41" t="s">
        <v>149</v>
      </c>
      <c r="R361" s="185"/>
    </row>
    <row r="362" spans="1:18" s="191" customFormat="1" ht="10.7" customHeight="1" x14ac:dyDescent="0.2">
      <c r="A362" s="190"/>
      <c r="B362" s="40" t="s">
        <v>81</v>
      </c>
      <c r="C362" s="151">
        <v>0.1</v>
      </c>
      <c r="D362" s="152">
        <v>0</v>
      </c>
      <c r="E362" s="152">
        <v>0</v>
      </c>
      <c r="F362" s="153">
        <v>0.1</v>
      </c>
      <c r="G362" s="154">
        <v>0</v>
      </c>
      <c r="H362" s="183">
        <v>0</v>
      </c>
      <c r="I362" s="153">
        <v>0.1</v>
      </c>
      <c r="J362" s="154">
        <v>0</v>
      </c>
      <c r="K362" s="154">
        <v>0</v>
      </c>
      <c r="L362" s="154">
        <v>0</v>
      </c>
      <c r="M362" s="154">
        <v>0</v>
      </c>
      <c r="N362" s="46">
        <v>0</v>
      </c>
      <c r="O362" s="154">
        <v>0</v>
      </c>
      <c r="P362" s="41" t="s">
        <v>149</v>
      </c>
      <c r="R362" s="185"/>
    </row>
    <row r="363" spans="1:18" s="191" customFormat="1" ht="10.7" customHeight="1" x14ac:dyDescent="0.2">
      <c r="A363" s="190"/>
      <c r="B363" s="184" t="s">
        <v>82</v>
      </c>
      <c r="C363" s="151">
        <v>0.36799999999999999</v>
      </c>
      <c r="D363" s="152">
        <v>0</v>
      </c>
      <c r="E363" s="152">
        <v>10</v>
      </c>
      <c r="F363" s="153">
        <v>10.368</v>
      </c>
      <c r="G363" s="154">
        <v>7.1043000068664544</v>
      </c>
      <c r="H363" s="183">
        <v>68.52141210326441</v>
      </c>
      <c r="I363" s="153">
        <v>3.263699993133546</v>
      </c>
      <c r="J363" s="154">
        <v>0</v>
      </c>
      <c r="K363" s="154">
        <v>0</v>
      </c>
      <c r="L363" s="154">
        <v>0</v>
      </c>
      <c r="M363" s="154">
        <v>0</v>
      </c>
      <c r="N363" s="46">
        <v>0</v>
      </c>
      <c r="O363" s="154">
        <v>0</v>
      </c>
      <c r="P363" s="41" t="s">
        <v>149</v>
      </c>
      <c r="R363" s="185"/>
    </row>
    <row r="364" spans="1:18" s="191" customFormat="1" ht="10.7" customHeight="1" x14ac:dyDescent="0.2">
      <c r="A364" s="190"/>
      <c r="B364" s="184" t="s">
        <v>83</v>
      </c>
      <c r="C364" s="151">
        <v>4.7</v>
      </c>
      <c r="D364" s="152">
        <v>0</v>
      </c>
      <c r="E364" s="152">
        <v>0</v>
      </c>
      <c r="F364" s="153">
        <v>4.7</v>
      </c>
      <c r="G364" s="154">
        <v>0</v>
      </c>
      <c r="H364" s="183">
        <v>0</v>
      </c>
      <c r="I364" s="153">
        <v>4.7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149</v>
      </c>
      <c r="R364" s="185"/>
    </row>
    <row r="365" spans="1:18" s="191" customFormat="1" ht="10.7" customHeight="1" x14ac:dyDescent="0.2">
      <c r="A365" s="190"/>
      <c r="B365" s="207" t="s">
        <v>84</v>
      </c>
      <c r="C365" s="151">
        <v>1558.114</v>
      </c>
      <c r="D365" s="152">
        <v>0</v>
      </c>
      <c r="E365" s="152">
        <v>-130.90000000000009</v>
      </c>
      <c r="F365" s="153">
        <v>1427.2139999999999</v>
      </c>
      <c r="G365" s="154">
        <v>0</v>
      </c>
      <c r="H365" s="183">
        <v>0</v>
      </c>
      <c r="I365" s="153">
        <v>1427.2139999999999</v>
      </c>
      <c r="J365" s="154">
        <v>0</v>
      </c>
      <c r="K365" s="154">
        <v>0</v>
      </c>
      <c r="L365" s="154">
        <v>0</v>
      </c>
      <c r="M365" s="154">
        <v>0</v>
      </c>
      <c r="N365" s="46">
        <v>0</v>
      </c>
      <c r="O365" s="154">
        <v>0</v>
      </c>
      <c r="P365" s="41" t="s">
        <v>149</v>
      </c>
      <c r="R365" s="185"/>
    </row>
    <row r="366" spans="1:18" s="191" customFormat="1" ht="10.7" customHeight="1" x14ac:dyDescent="0.2">
      <c r="A366" s="190"/>
      <c r="B366" s="40" t="s">
        <v>85</v>
      </c>
      <c r="C366" s="151">
        <v>2326.7469999999998</v>
      </c>
      <c r="D366" s="152">
        <v>0</v>
      </c>
      <c r="E366" s="152">
        <v>490</v>
      </c>
      <c r="F366" s="153">
        <v>2816.7469999999998</v>
      </c>
      <c r="G366" s="154">
        <v>3.5120000000000049</v>
      </c>
      <c r="H366" s="183">
        <v>0.12468283448957274</v>
      </c>
      <c r="I366" s="153">
        <v>2813.2349999999997</v>
      </c>
      <c r="J366" s="154">
        <v>0</v>
      </c>
      <c r="K366" s="154">
        <v>0</v>
      </c>
      <c r="L366" s="154">
        <v>0</v>
      </c>
      <c r="M366" s="154">
        <v>0</v>
      </c>
      <c r="N366" s="46">
        <v>0</v>
      </c>
      <c r="O366" s="154">
        <v>0</v>
      </c>
      <c r="P366" s="41" t="s">
        <v>149</v>
      </c>
      <c r="R366" s="185"/>
    </row>
    <row r="367" spans="1:18" s="191" customFormat="1" ht="10.7" customHeight="1" x14ac:dyDescent="0.2">
      <c r="A367" s="190"/>
      <c r="B367" s="196" t="s">
        <v>86</v>
      </c>
      <c r="C367" s="151">
        <v>7336.7769999999991</v>
      </c>
      <c r="D367" s="154">
        <v>0</v>
      </c>
      <c r="E367" s="152">
        <v>85</v>
      </c>
      <c r="F367" s="153">
        <v>7421.7769999999991</v>
      </c>
      <c r="G367" s="154">
        <v>1819.6216816032897</v>
      </c>
      <c r="H367" s="183">
        <v>24.517331652558273</v>
      </c>
      <c r="I367" s="153">
        <v>5602.1553183967098</v>
      </c>
      <c r="J367" s="154">
        <v>9.399999499319911E-3</v>
      </c>
      <c r="K367" s="154">
        <v>0.60113345731794787</v>
      </c>
      <c r="L367" s="154">
        <v>483.43159999930845</v>
      </c>
      <c r="M367" s="154">
        <v>0.3158999992832543</v>
      </c>
      <c r="N367" s="46">
        <v>4.3057053428672337E-3</v>
      </c>
      <c r="O367" s="154">
        <v>121.08950836385225</v>
      </c>
      <c r="P367" s="41">
        <v>44.264580590774536</v>
      </c>
      <c r="R367" s="185"/>
    </row>
    <row r="368" spans="1:18" s="191" customFormat="1" ht="10.7" customHeight="1" x14ac:dyDescent="0.2">
      <c r="A368" s="190"/>
      <c r="B368" s="207"/>
      <c r="C368" s="151"/>
      <c r="D368" s="154"/>
      <c r="E368" s="152"/>
      <c r="F368" s="153"/>
      <c r="G368" s="154"/>
      <c r="H368" s="183"/>
      <c r="I368" s="153"/>
      <c r="J368" s="154"/>
      <c r="K368" s="154"/>
      <c r="L368" s="154"/>
      <c r="M368" s="154"/>
      <c r="N368" s="46"/>
      <c r="O368" s="154"/>
      <c r="P368" s="41"/>
      <c r="R368" s="185"/>
    </row>
    <row r="369" spans="1:18" s="191" customFormat="1" ht="10.7" customHeight="1" x14ac:dyDescent="0.2">
      <c r="A369" s="190"/>
      <c r="B369" s="57" t="s">
        <v>87</v>
      </c>
      <c r="C369" s="151">
        <v>0.4</v>
      </c>
      <c r="D369" s="152">
        <v>0</v>
      </c>
      <c r="E369" s="152">
        <v>0</v>
      </c>
      <c r="F369" s="153">
        <v>0.4</v>
      </c>
      <c r="G369" s="154">
        <v>0</v>
      </c>
      <c r="H369" s="183">
        <v>0</v>
      </c>
      <c r="I369" s="153">
        <v>0.4</v>
      </c>
      <c r="J369" s="154">
        <v>0</v>
      </c>
      <c r="K369" s="154">
        <v>0</v>
      </c>
      <c r="L369" s="154">
        <v>0</v>
      </c>
      <c r="M369" s="154">
        <v>0</v>
      </c>
      <c r="N369" s="46">
        <v>0</v>
      </c>
      <c r="O369" s="154">
        <v>0</v>
      </c>
      <c r="P369" s="41" t="s">
        <v>149</v>
      </c>
      <c r="R369" s="185"/>
    </row>
    <row r="370" spans="1:18" s="191" customFormat="1" ht="10.7" customHeight="1" x14ac:dyDescent="0.2">
      <c r="A370" s="190"/>
      <c r="B370" s="49" t="s">
        <v>88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3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5"/>
    </row>
    <row r="371" spans="1:18" s="191" customFormat="1" ht="10.7" customHeight="1" x14ac:dyDescent="0.2">
      <c r="A371" s="190"/>
      <c r="B371" s="49" t="s">
        <v>89</v>
      </c>
      <c r="C371" s="151">
        <v>0.93899999999999995</v>
      </c>
      <c r="D371" s="152">
        <v>0</v>
      </c>
      <c r="E371" s="152">
        <v>15</v>
      </c>
      <c r="F371" s="153">
        <v>15.939</v>
      </c>
      <c r="G371" s="154">
        <v>1.7793300024121996</v>
      </c>
      <c r="H371" s="183">
        <v>11.163372874158979</v>
      </c>
      <c r="I371" s="153">
        <v>14.1596699975878</v>
      </c>
      <c r="J371" s="154">
        <v>1.1499999880789868E-2</v>
      </c>
      <c r="K371" s="154">
        <v>5.3890000164508622E-2</v>
      </c>
      <c r="L371" s="154">
        <v>2.5500000000000522E-2</v>
      </c>
      <c r="M371" s="154">
        <v>5.9500001072883224E-2</v>
      </c>
      <c r="N371" s="46">
        <v>6.3365283357703115</v>
      </c>
      <c r="O371" s="154">
        <v>3.7597500279545559E-2</v>
      </c>
      <c r="P371" s="41" t="s">
        <v>149</v>
      </c>
      <c r="R371" s="185"/>
    </row>
    <row r="372" spans="1:18" s="191" customFormat="1" ht="10.7" customHeight="1" x14ac:dyDescent="0.2">
      <c r="A372" s="190"/>
      <c r="B372" s="49"/>
      <c r="C372" s="151"/>
      <c r="D372" s="154"/>
      <c r="E372" s="152"/>
      <c r="F372" s="153"/>
      <c r="G372" s="154"/>
      <c r="H372" s="183"/>
      <c r="I372" s="153"/>
      <c r="J372" s="154"/>
      <c r="K372" s="154"/>
      <c r="L372" s="154"/>
      <c r="M372" s="154"/>
      <c r="N372" s="46"/>
      <c r="O372" s="154"/>
      <c r="P372" s="41"/>
      <c r="R372" s="185"/>
    </row>
    <row r="373" spans="1:18" s="191" customFormat="1" ht="10.7" customHeight="1" x14ac:dyDescent="0.2">
      <c r="A373" s="190"/>
      <c r="B373" s="40" t="s">
        <v>90</v>
      </c>
      <c r="C373" s="151">
        <v>0</v>
      </c>
      <c r="D373" s="154"/>
      <c r="E373" s="152"/>
      <c r="F373" s="153">
        <v>0</v>
      </c>
      <c r="G373" s="154"/>
      <c r="H373" s="183"/>
      <c r="I373" s="153">
        <v>0</v>
      </c>
      <c r="J373" s="154"/>
      <c r="K373" s="154"/>
      <c r="L373" s="154"/>
      <c r="M373" s="154"/>
      <c r="N373" s="46"/>
      <c r="O373" s="154"/>
      <c r="P373" s="41"/>
      <c r="R373" s="185"/>
    </row>
    <row r="374" spans="1:18" s="191" customFormat="1" ht="10.7" customHeight="1" x14ac:dyDescent="0.2">
      <c r="A374" s="190"/>
      <c r="B374" s="197" t="s">
        <v>91</v>
      </c>
      <c r="C374" s="226">
        <v>7338.1159999999991</v>
      </c>
      <c r="D374" s="155">
        <v>0</v>
      </c>
      <c r="E374" s="155">
        <v>100</v>
      </c>
      <c r="F374" s="156">
        <v>7438.1159999999982</v>
      </c>
      <c r="G374" s="155">
        <v>1821.401011605702</v>
      </c>
      <c r="H374" s="188">
        <v>24.487397233462108</v>
      </c>
      <c r="I374" s="156">
        <v>5616.7149883942966</v>
      </c>
      <c r="J374" s="155">
        <v>2.0899999380162626E-2</v>
      </c>
      <c r="K374" s="155">
        <v>0.65502345748222979</v>
      </c>
      <c r="L374" s="155">
        <v>483.45709999930864</v>
      </c>
      <c r="M374" s="155">
        <v>0.37540000035613752</v>
      </c>
      <c r="N374" s="58">
        <v>5.115754511868408E-3</v>
      </c>
      <c r="O374" s="155">
        <v>121.12710586413179</v>
      </c>
      <c r="P374" s="54">
        <v>44.370421783994104</v>
      </c>
      <c r="R374" s="189"/>
    </row>
    <row r="375" spans="1:18" s="191" customFormat="1" ht="10.7" customHeight="1" x14ac:dyDescent="0.2">
      <c r="A375" s="190"/>
      <c r="F375" s="192"/>
      <c r="I375" s="192"/>
      <c r="N375" s="194"/>
      <c r="P375" s="194"/>
      <c r="R375" s="185"/>
    </row>
    <row r="376" spans="1:18" s="191" customFormat="1" ht="12.75" x14ac:dyDescent="0.2">
      <c r="A376" s="190"/>
      <c r="F376" s="192"/>
      <c r="I376" s="192"/>
      <c r="N376" s="194"/>
      <c r="P376" s="194"/>
      <c r="R376" s="185"/>
    </row>
    <row r="377" spans="1:18" s="191" customFormat="1" ht="10.7" customHeight="1" x14ac:dyDescent="0.2">
      <c r="A377" s="190"/>
      <c r="B377" s="14"/>
      <c r="C377" s="15" t="s">
        <v>147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5"/>
    </row>
    <row r="378" spans="1:18" s="191" customFormat="1" ht="10.7" customHeight="1" x14ac:dyDescent="0.2">
      <c r="A378" s="190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5"/>
    </row>
    <row r="379" spans="1:18" s="191" customFormat="1" ht="10.7" customHeight="1" x14ac:dyDescent="0.2">
      <c r="A379" s="190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44468</v>
      </c>
      <c r="K379" s="33">
        <v>44475</v>
      </c>
      <c r="L379" s="33">
        <v>44482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5"/>
    </row>
    <row r="380" spans="1:18" s="191" customFormat="1" ht="10.7" customHeight="1" x14ac:dyDescent="0.2">
      <c r="A380" s="190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5"/>
    </row>
    <row r="381" spans="1:18" s="191" customFormat="1" ht="10.7" customHeight="1" x14ac:dyDescent="0.2">
      <c r="A381" s="190"/>
      <c r="B381" s="40"/>
      <c r="C381" s="233" t="s">
        <v>96</v>
      </c>
      <c r="D381" s="235"/>
      <c r="E381" s="235"/>
      <c r="F381" s="235"/>
      <c r="G381" s="235"/>
      <c r="H381" s="235"/>
      <c r="I381" s="235"/>
      <c r="J381" s="235"/>
      <c r="K381" s="235"/>
      <c r="L381" s="235"/>
      <c r="M381" s="235"/>
      <c r="N381" s="235"/>
      <c r="O381" s="235"/>
      <c r="P381" s="41" t="s">
        <v>4</v>
      </c>
      <c r="R381" s="185"/>
    </row>
    <row r="382" spans="1:18" s="191" customFormat="1" ht="10.7" customHeight="1" x14ac:dyDescent="0.2">
      <c r="A382" s="190"/>
      <c r="B382" s="40" t="s">
        <v>62</v>
      </c>
      <c r="C382" s="154">
        <v>0</v>
      </c>
      <c r="D382" s="154">
        <v>0</v>
      </c>
      <c r="E382" s="154">
        <v>0</v>
      </c>
      <c r="F382" s="153">
        <v>0</v>
      </c>
      <c r="G382" s="154">
        <v>0</v>
      </c>
      <c r="H382" s="183">
        <v>0</v>
      </c>
      <c r="I382" s="153">
        <v>0</v>
      </c>
      <c r="J382" s="154">
        <v>0</v>
      </c>
      <c r="K382" s="154">
        <v>0</v>
      </c>
      <c r="L382" s="154">
        <v>0</v>
      </c>
      <c r="M382" s="154">
        <v>0</v>
      </c>
      <c r="N382" s="46" t="s">
        <v>64</v>
      </c>
      <c r="O382" s="154">
        <v>0</v>
      </c>
      <c r="P382" s="41">
        <v>0</v>
      </c>
      <c r="R382" s="185"/>
    </row>
    <row r="383" spans="1:18" s="191" customFormat="1" ht="10.7" customHeight="1" x14ac:dyDescent="0.2">
      <c r="A383" s="190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3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150</v>
      </c>
      <c r="R383" s="185"/>
    </row>
    <row r="384" spans="1:18" s="191" customFormat="1" ht="10.7" customHeight="1" x14ac:dyDescent="0.2">
      <c r="A384" s="190"/>
      <c r="B384" s="40" t="s">
        <v>65</v>
      </c>
      <c r="C384" s="154">
        <v>0</v>
      </c>
      <c r="D384" s="154">
        <v>0</v>
      </c>
      <c r="E384" s="154">
        <v>0</v>
      </c>
      <c r="F384" s="153">
        <v>0</v>
      </c>
      <c r="G384" s="154">
        <v>0</v>
      </c>
      <c r="H384" s="183">
        <v>0</v>
      </c>
      <c r="I384" s="153">
        <v>0</v>
      </c>
      <c r="J384" s="154">
        <v>0</v>
      </c>
      <c r="K384" s="154">
        <v>0</v>
      </c>
      <c r="L384" s="154">
        <v>0</v>
      </c>
      <c r="M384" s="154">
        <v>0</v>
      </c>
      <c r="N384" s="46" t="s">
        <v>64</v>
      </c>
      <c r="O384" s="154">
        <v>0</v>
      </c>
      <c r="P384" s="41" t="s">
        <v>150</v>
      </c>
      <c r="R384" s="185"/>
    </row>
    <row r="385" spans="1:18" s="191" customFormat="1" ht="10.7" customHeight="1" x14ac:dyDescent="0.2">
      <c r="A385" s="190"/>
      <c r="B385" s="40" t="s">
        <v>66</v>
      </c>
      <c r="C385" s="154">
        <v>0</v>
      </c>
      <c r="D385" s="154">
        <v>0</v>
      </c>
      <c r="E385" s="154">
        <v>0</v>
      </c>
      <c r="F385" s="153">
        <v>0</v>
      </c>
      <c r="G385" s="154">
        <v>0</v>
      </c>
      <c r="H385" s="183">
        <v>0</v>
      </c>
      <c r="I385" s="153">
        <v>0</v>
      </c>
      <c r="J385" s="154">
        <v>0</v>
      </c>
      <c r="K385" s="154">
        <v>0</v>
      </c>
      <c r="L385" s="154">
        <v>0</v>
      </c>
      <c r="M385" s="154">
        <v>0</v>
      </c>
      <c r="N385" s="46" t="s">
        <v>64</v>
      </c>
      <c r="O385" s="154">
        <v>0</v>
      </c>
      <c r="P385" s="41" t="s">
        <v>150</v>
      </c>
      <c r="R385" s="185"/>
    </row>
    <row r="386" spans="1:18" s="191" customFormat="1" ht="10.7" customHeight="1" x14ac:dyDescent="0.2">
      <c r="A386" s="190"/>
      <c r="B386" s="40" t="s">
        <v>67</v>
      </c>
      <c r="C386" s="154">
        <v>0</v>
      </c>
      <c r="D386" s="154">
        <v>0</v>
      </c>
      <c r="E386" s="154">
        <v>0</v>
      </c>
      <c r="F386" s="153">
        <v>0</v>
      </c>
      <c r="G386" s="154">
        <v>0</v>
      </c>
      <c r="H386" s="183">
        <v>0</v>
      </c>
      <c r="I386" s="153">
        <v>0</v>
      </c>
      <c r="J386" s="154">
        <v>0</v>
      </c>
      <c r="K386" s="154">
        <v>0</v>
      </c>
      <c r="L386" s="154">
        <v>0</v>
      </c>
      <c r="M386" s="154">
        <v>0</v>
      </c>
      <c r="N386" s="46" t="s">
        <v>64</v>
      </c>
      <c r="O386" s="154">
        <v>0</v>
      </c>
      <c r="P386" s="41" t="s">
        <v>150</v>
      </c>
      <c r="R386" s="185"/>
    </row>
    <row r="387" spans="1:18" s="191" customFormat="1" ht="10.7" customHeight="1" x14ac:dyDescent="0.2">
      <c r="A387" s="190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3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150</v>
      </c>
      <c r="R387" s="185"/>
    </row>
    <row r="388" spans="1:18" s="191" customFormat="1" ht="10.7" customHeight="1" x14ac:dyDescent="0.2">
      <c r="A388" s="190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3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150</v>
      </c>
      <c r="R388" s="185"/>
    </row>
    <row r="389" spans="1:18" s="191" customFormat="1" ht="10.7" customHeight="1" x14ac:dyDescent="0.2">
      <c r="A389" s="190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3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150</v>
      </c>
      <c r="R389" s="185"/>
    </row>
    <row r="390" spans="1:18" s="191" customFormat="1" ht="10.7" customHeight="1" x14ac:dyDescent="0.2">
      <c r="A390" s="190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3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5"/>
    </row>
    <row r="391" spans="1:18" s="191" customFormat="1" ht="10.7" customHeight="1" x14ac:dyDescent="0.2">
      <c r="A391" s="190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3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5"/>
    </row>
    <row r="392" spans="1:18" s="191" customFormat="1" ht="10.7" customHeight="1" x14ac:dyDescent="0.2">
      <c r="A392" s="190"/>
      <c r="B392" s="47" t="s">
        <v>73</v>
      </c>
      <c r="C392" s="154">
        <v>0</v>
      </c>
      <c r="D392" s="154">
        <v>0</v>
      </c>
      <c r="E392" s="154">
        <v>0</v>
      </c>
      <c r="F392" s="153">
        <v>0</v>
      </c>
      <c r="G392" s="154">
        <v>0</v>
      </c>
      <c r="H392" s="183">
        <v>0</v>
      </c>
      <c r="I392" s="153">
        <v>0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>
        <v>0</v>
      </c>
      <c r="R392" s="185"/>
    </row>
    <row r="393" spans="1:18" s="191" customFormat="1" ht="10.7" customHeight="1" x14ac:dyDescent="0.2">
      <c r="A393" s="190"/>
      <c r="B393" s="40"/>
      <c r="C393" s="154"/>
      <c r="D393" s="154"/>
      <c r="E393" s="152"/>
      <c r="F393" s="153"/>
      <c r="G393" s="154"/>
      <c r="H393" s="183"/>
      <c r="I393" s="153"/>
      <c r="J393" s="154"/>
      <c r="K393" s="154"/>
      <c r="L393" s="154"/>
      <c r="M393" s="154"/>
      <c r="N393" s="46"/>
      <c r="O393" s="154"/>
      <c r="P393" s="41"/>
      <c r="R393" s="185"/>
    </row>
    <row r="394" spans="1:18" s="191" customFormat="1" ht="10.7" customHeight="1" x14ac:dyDescent="0.2">
      <c r="A394" s="190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3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5"/>
    </row>
    <row r="395" spans="1:18" s="191" customFormat="1" ht="10.7" customHeight="1" x14ac:dyDescent="0.2">
      <c r="A395" s="190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3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5"/>
    </row>
    <row r="396" spans="1:18" s="191" customFormat="1" ht="10.7" customHeight="1" x14ac:dyDescent="0.2">
      <c r="A396" s="190"/>
      <c r="B396" s="40" t="s">
        <v>157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3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150</v>
      </c>
      <c r="R396" s="185"/>
    </row>
    <row r="397" spans="1:18" s="191" customFormat="1" ht="10.7" customHeight="1" x14ac:dyDescent="0.2">
      <c r="A397" s="190"/>
      <c r="B397" s="40" t="s">
        <v>76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3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150</v>
      </c>
      <c r="R397" s="185"/>
    </row>
    <row r="398" spans="1:18" s="191" customFormat="1" ht="10.7" customHeight="1" x14ac:dyDescent="0.2">
      <c r="A398" s="190"/>
      <c r="B398" s="40" t="s">
        <v>77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3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5"/>
    </row>
    <row r="399" spans="1:18" s="191" customFormat="1" ht="10.7" customHeight="1" x14ac:dyDescent="0.2">
      <c r="A399" s="190"/>
      <c r="B399" s="40" t="s">
        <v>78</v>
      </c>
      <c r="C399" s="154">
        <v>0</v>
      </c>
      <c r="D399" s="154">
        <v>0</v>
      </c>
      <c r="E399" s="154">
        <v>0</v>
      </c>
      <c r="F399" s="153">
        <v>0</v>
      </c>
      <c r="G399" s="154">
        <v>0</v>
      </c>
      <c r="H399" s="183">
        <v>0</v>
      </c>
      <c r="I399" s="153">
        <v>0</v>
      </c>
      <c r="J399" s="154">
        <v>0</v>
      </c>
      <c r="K399" s="154">
        <v>0</v>
      </c>
      <c r="L399" s="154">
        <v>0</v>
      </c>
      <c r="M399" s="154">
        <v>0</v>
      </c>
      <c r="N399" s="46" t="s">
        <v>64</v>
      </c>
      <c r="O399" s="154">
        <v>0</v>
      </c>
      <c r="P399" s="41">
        <v>0</v>
      </c>
      <c r="R399" s="185"/>
    </row>
    <row r="400" spans="1:18" s="191" customFormat="1" ht="10.7" customHeight="1" x14ac:dyDescent="0.2">
      <c r="A400" s="190"/>
      <c r="B400" s="40" t="s">
        <v>79</v>
      </c>
      <c r="C400" s="154">
        <v>0</v>
      </c>
      <c r="D400" s="154">
        <v>0</v>
      </c>
      <c r="E400" s="154">
        <v>0</v>
      </c>
      <c r="F400" s="153">
        <v>0</v>
      </c>
      <c r="G400" s="154">
        <v>0</v>
      </c>
      <c r="H400" s="183">
        <v>0</v>
      </c>
      <c r="I400" s="153">
        <v>0</v>
      </c>
      <c r="J400" s="154">
        <v>0</v>
      </c>
      <c r="K400" s="154">
        <v>0</v>
      </c>
      <c r="L400" s="154">
        <v>0</v>
      </c>
      <c r="M400" s="154">
        <v>0</v>
      </c>
      <c r="N400" s="46" t="s">
        <v>64</v>
      </c>
      <c r="O400" s="154">
        <v>0</v>
      </c>
      <c r="P400" s="41">
        <v>0</v>
      </c>
      <c r="R400" s="185"/>
    </row>
    <row r="401" spans="1:254" s="191" customFormat="1" ht="10.7" customHeight="1" x14ac:dyDescent="0.2">
      <c r="A401" s="190"/>
      <c r="B401" s="40" t="s">
        <v>80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3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150</v>
      </c>
      <c r="R401" s="185"/>
    </row>
    <row r="402" spans="1:254" s="191" customFormat="1" ht="10.7" customHeight="1" x14ac:dyDescent="0.2">
      <c r="A402" s="190"/>
      <c r="B402" s="40" t="s">
        <v>81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3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150</v>
      </c>
      <c r="R402" s="185"/>
    </row>
    <row r="403" spans="1:254" s="191" customFormat="1" ht="10.7" customHeight="1" x14ac:dyDescent="0.2">
      <c r="A403" s="190"/>
      <c r="B403" s="184" t="s">
        <v>82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3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150</v>
      </c>
      <c r="R403" s="185"/>
    </row>
    <row r="404" spans="1:254" s="191" customFormat="1" ht="10.7" customHeight="1" x14ac:dyDescent="0.2">
      <c r="A404" s="190"/>
      <c r="B404" s="184" t="s">
        <v>83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3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150</v>
      </c>
      <c r="R404" s="185"/>
    </row>
    <row r="405" spans="1:254" s="191" customFormat="1" ht="10.7" customHeight="1" x14ac:dyDescent="0.2">
      <c r="A405" s="190"/>
      <c r="B405" s="205" t="s">
        <v>84</v>
      </c>
      <c r="C405" s="154">
        <v>0</v>
      </c>
      <c r="D405" s="154">
        <v>0</v>
      </c>
      <c r="E405" s="154">
        <v>0</v>
      </c>
      <c r="F405" s="153">
        <v>0</v>
      </c>
      <c r="G405" s="154">
        <v>0</v>
      </c>
      <c r="H405" s="183">
        <v>0</v>
      </c>
      <c r="I405" s="153">
        <v>0</v>
      </c>
      <c r="J405" s="154">
        <v>0</v>
      </c>
      <c r="K405" s="154">
        <v>0</v>
      </c>
      <c r="L405" s="154">
        <v>0</v>
      </c>
      <c r="M405" s="154">
        <v>0</v>
      </c>
      <c r="N405" s="46" t="s">
        <v>64</v>
      </c>
      <c r="O405" s="154">
        <v>0</v>
      </c>
      <c r="P405" s="41">
        <v>0</v>
      </c>
      <c r="R405" s="185"/>
    </row>
    <row r="406" spans="1:254" s="191" customFormat="1" ht="10.7" customHeight="1" x14ac:dyDescent="0.2">
      <c r="A406" s="190"/>
      <c r="B406" s="40" t="s">
        <v>85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3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150</v>
      </c>
      <c r="R406" s="185"/>
    </row>
    <row r="407" spans="1:254" s="191" customFormat="1" ht="10.7" customHeight="1" x14ac:dyDescent="0.2">
      <c r="A407" s="190"/>
      <c r="B407" s="196" t="s">
        <v>86</v>
      </c>
      <c r="C407" s="151">
        <v>0</v>
      </c>
      <c r="D407" s="154">
        <v>0</v>
      </c>
      <c r="E407" s="152">
        <v>0</v>
      </c>
      <c r="F407" s="153">
        <v>0</v>
      </c>
      <c r="G407" s="154">
        <v>0</v>
      </c>
      <c r="H407" s="183">
        <v>0</v>
      </c>
      <c r="I407" s="153">
        <v>0</v>
      </c>
      <c r="J407" s="154">
        <v>0</v>
      </c>
      <c r="K407" s="154">
        <v>0</v>
      </c>
      <c r="L407" s="154">
        <v>0</v>
      </c>
      <c r="M407" s="154">
        <v>0</v>
      </c>
      <c r="N407" s="46" t="s">
        <v>64</v>
      </c>
      <c r="O407" s="154">
        <v>0</v>
      </c>
      <c r="P407" s="41">
        <v>0</v>
      </c>
      <c r="R407" s="185"/>
    </row>
    <row r="408" spans="1:254" s="191" customFormat="1" ht="10.7" customHeight="1" x14ac:dyDescent="0.2">
      <c r="A408" s="190"/>
      <c r="B408" s="205"/>
      <c r="C408" s="151"/>
      <c r="D408" s="154"/>
      <c r="E408" s="152"/>
      <c r="F408" s="153"/>
      <c r="G408" s="154">
        <v>0</v>
      </c>
      <c r="H408" s="183"/>
      <c r="I408" s="153"/>
      <c r="J408" s="154"/>
      <c r="K408" s="154"/>
      <c r="L408" s="154"/>
      <c r="M408" s="154"/>
      <c r="N408" s="46"/>
      <c r="O408" s="154"/>
      <c r="P408" s="41"/>
      <c r="R408" s="185"/>
    </row>
    <row r="409" spans="1:254" ht="10.7" customHeight="1" x14ac:dyDescent="0.2">
      <c r="A409" s="190"/>
      <c r="B409" s="57" t="s">
        <v>87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3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150</v>
      </c>
      <c r="Q409" s="191"/>
    </row>
    <row r="410" spans="1:254" ht="10.7" customHeight="1" x14ac:dyDescent="0.2">
      <c r="A410" s="190"/>
      <c r="B410" s="49" t="s">
        <v>88</v>
      </c>
      <c r="C410" s="151">
        <v>0</v>
      </c>
      <c r="D410" s="154">
        <v>0</v>
      </c>
      <c r="E410" s="152">
        <v>0</v>
      </c>
      <c r="F410" s="153">
        <v>0</v>
      </c>
      <c r="G410" s="154"/>
      <c r="H410" s="183">
        <v>0</v>
      </c>
      <c r="I410" s="153">
        <v>0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150</v>
      </c>
      <c r="Q410" s="191"/>
    </row>
    <row r="411" spans="1:254" ht="10.7" customHeight="1" x14ac:dyDescent="0.2">
      <c r="A411" s="190"/>
      <c r="B411" s="49" t="s">
        <v>89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3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150</v>
      </c>
      <c r="Q411" s="191"/>
    </row>
    <row r="412" spans="1:254" ht="10.7" customHeight="1" x14ac:dyDescent="0.2">
      <c r="A412" s="190"/>
      <c r="B412" s="49"/>
      <c r="C412" s="151"/>
      <c r="D412" s="152"/>
      <c r="E412" s="152"/>
      <c r="F412" s="153"/>
      <c r="G412" s="154"/>
      <c r="H412" s="183"/>
      <c r="I412" s="153"/>
      <c r="J412" s="154"/>
      <c r="K412" s="154"/>
      <c r="L412" s="154"/>
      <c r="M412" s="154"/>
      <c r="N412" s="46"/>
      <c r="O412" s="154"/>
      <c r="P412" s="41"/>
      <c r="Q412" s="191"/>
    </row>
    <row r="413" spans="1:254" ht="10.7" customHeight="1" x14ac:dyDescent="0.2">
      <c r="A413" s="190"/>
      <c r="B413" s="40" t="s">
        <v>90</v>
      </c>
      <c r="C413" s="151">
        <v>0</v>
      </c>
      <c r="D413" s="152"/>
      <c r="E413" s="152"/>
      <c r="F413" s="153">
        <v>0</v>
      </c>
      <c r="G413" s="154"/>
      <c r="H413" s="183"/>
      <c r="I413" s="153">
        <v>0</v>
      </c>
      <c r="J413" s="154"/>
      <c r="K413" s="154"/>
      <c r="L413" s="154"/>
      <c r="M413" s="154"/>
      <c r="N413" s="46"/>
      <c r="O413" s="154"/>
      <c r="P413" s="41"/>
      <c r="Q413" s="191"/>
    </row>
    <row r="414" spans="1:254" ht="10.7" customHeight="1" x14ac:dyDescent="0.2">
      <c r="A414" s="190"/>
      <c r="B414" s="197" t="s">
        <v>91</v>
      </c>
      <c r="C414" s="157">
        <v>0</v>
      </c>
      <c r="D414" s="155">
        <v>0</v>
      </c>
      <c r="E414" s="155">
        <v>0</v>
      </c>
      <c r="F414" s="156">
        <v>0</v>
      </c>
      <c r="G414" s="155">
        <v>0</v>
      </c>
      <c r="H414" s="188">
        <v>0</v>
      </c>
      <c r="I414" s="156">
        <v>0</v>
      </c>
      <c r="J414" s="155">
        <v>0</v>
      </c>
      <c r="K414" s="155">
        <v>0</v>
      </c>
      <c r="L414" s="155">
        <v>0</v>
      </c>
      <c r="M414" s="155">
        <v>0</v>
      </c>
      <c r="N414" s="58" t="s">
        <v>64</v>
      </c>
      <c r="O414" s="155">
        <v>0</v>
      </c>
      <c r="P414" s="54" t="s">
        <v>150</v>
      </c>
      <c r="Q414" s="191"/>
    </row>
    <row r="415" spans="1:254" ht="10.7" customHeight="1" x14ac:dyDescent="0.2">
      <c r="B415" s="198" t="s">
        <v>167</v>
      </c>
      <c r="C415" s="198"/>
      <c r="D415" s="198"/>
      <c r="E415" s="198"/>
      <c r="F415" s="199"/>
      <c r="G415" s="198"/>
      <c r="H415" s="198"/>
      <c r="I415" s="199"/>
      <c r="J415" s="198"/>
      <c r="K415" s="198"/>
      <c r="L415" s="198"/>
      <c r="M415" s="198"/>
      <c r="N415" s="201"/>
      <c r="O415" s="198"/>
      <c r="P415" s="201"/>
      <c r="Q415" s="198"/>
      <c r="S415" s="198"/>
      <c r="T415" s="198"/>
      <c r="U415" s="198"/>
      <c r="V415" s="198"/>
      <c r="W415" s="198"/>
      <c r="X415" s="198"/>
      <c r="Y415" s="198"/>
      <c r="Z415" s="198"/>
      <c r="AA415" s="198"/>
      <c r="AB415" s="198"/>
      <c r="AC415" s="198"/>
      <c r="AD415" s="198"/>
      <c r="AE415" s="198"/>
      <c r="AF415" s="198"/>
      <c r="AG415" s="198"/>
      <c r="AH415" s="198"/>
      <c r="AI415" s="198"/>
      <c r="AJ415" s="198"/>
      <c r="AK415" s="198"/>
      <c r="AL415" s="198"/>
      <c r="AM415" s="198"/>
      <c r="AN415" s="198"/>
      <c r="AO415" s="198"/>
      <c r="AP415" s="198"/>
      <c r="AQ415" s="198"/>
      <c r="AR415" s="198"/>
      <c r="AS415" s="198"/>
      <c r="AT415" s="198"/>
      <c r="AU415" s="198"/>
      <c r="AV415" s="198"/>
      <c r="AW415" s="198"/>
      <c r="AX415" s="198"/>
      <c r="AY415" s="198"/>
      <c r="AZ415" s="19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  <c r="BZ415" s="198"/>
      <c r="CA415" s="198"/>
      <c r="CB415" s="198"/>
      <c r="CC415" s="198"/>
      <c r="CD415" s="198"/>
      <c r="CE415" s="198"/>
      <c r="CF415" s="198"/>
      <c r="CG415" s="198"/>
      <c r="CH415" s="198"/>
      <c r="CI415" s="198"/>
      <c r="CJ415" s="198"/>
      <c r="CK415" s="198"/>
      <c r="CL415" s="198"/>
      <c r="CM415" s="198"/>
      <c r="CN415" s="198"/>
      <c r="CO415" s="198"/>
      <c r="CP415" s="198"/>
      <c r="CQ415" s="198"/>
      <c r="CR415" s="198"/>
      <c r="CS415" s="198"/>
      <c r="CT415" s="198"/>
      <c r="CU415" s="198"/>
      <c r="CV415" s="198"/>
      <c r="CW415" s="198"/>
      <c r="CX415" s="198"/>
      <c r="CY415" s="198"/>
      <c r="CZ415" s="198"/>
      <c r="DA415" s="198"/>
      <c r="DB415" s="198"/>
      <c r="DC415" s="198"/>
      <c r="DD415" s="198"/>
      <c r="DE415" s="198"/>
      <c r="DF415" s="198"/>
      <c r="DG415" s="198"/>
      <c r="DH415" s="198"/>
      <c r="DI415" s="198"/>
      <c r="DJ415" s="198"/>
      <c r="DK415" s="198"/>
      <c r="DL415" s="198"/>
      <c r="DM415" s="198"/>
      <c r="DN415" s="198"/>
      <c r="DO415" s="198"/>
      <c r="DP415" s="198"/>
      <c r="DQ415" s="198"/>
      <c r="DR415" s="198"/>
      <c r="DS415" s="198"/>
      <c r="DT415" s="198"/>
      <c r="DU415" s="198"/>
      <c r="DV415" s="198"/>
      <c r="DW415" s="198"/>
      <c r="DX415" s="198"/>
      <c r="DY415" s="198"/>
      <c r="DZ415" s="198"/>
      <c r="EA415" s="198"/>
      <c r="EB415" s="198"/>
      <c r="EC415" s="198"/>
      <c r="ED415" s="198"/>
      <c r="EE415" s="198"/>
      <c r="EF415" s="198"/>
      <c r="EG415" s="198"/>
      <c r="EH415" s="198"/>
      <c r="EI415" s="198"/>
      <c r="EJ415" s="198"/>
      <c r="EK415" s="198"/>
      <c r="EL415" s="198"/>
      <c r="EM415" s="198"/>
      <c r="EN415" s="198"/>
      <c r="EO415" s="198"/>
      <c r="EP415" s="198"/>
      <c r="EQ415" s="198"/>
      <c r="ER415" s="198"/>
      <c r="ES415" s="198"/>
      <c r="ET415" s="198"/>
      <c r="EU415" s="198"/>
      <c r="EV415" s="198"/>
      <c r="EW415" s="198"/>
      <c r="EX415" s="198"/>
      <c r="EY415" s="198"/>
      <c r="EZ415" s="198"/>
      <c r="FA415" s="198"/>
      <c r="FB415" s="198"/>
      <c r="FC415" s="198"/>
      <c r="FD415" s="198"/>
      <c r="FE415" s="198"/>
      <c r="FF415" s="198"/>
      <c r="FG415" s="198"/>
      <c r="FH415" s="198"/>
      <c r="FI415" s="198"/>
      <c r="FJ415" s="198"/>
      <c r="FK415" s="198"/>
      <c r="FL415" s="198"/>
      <c r="FM415" s="198"/>
      <c r="FN415" s="198"/>
      <c r="FO415" s="198"/>
      <c r="FP415" s="198"/>
      <c r="FQ415" s="198"/>
      <c r="FR415" s="198"/>
      <c r="FS415" s="198"/>
      <c r="FT415" s="198"/>
      <c r="FU415" s="198"/>
      <c r="FV415" s="198"/>
      <c r="FW415" s="198"/>
      <c r="FX415" s="198"/>
      <c r="FY415" s="198"/>
      <c r="FZ415" s="198"/>
      <c r="GA415" s="198"/>
      <c r="GB415" s="198"/>
      <c r="GC415" s="198"/>
      <c r="GD415" s="198"/>
      <c r="GE415" s="198"/>
      <c r="GF415" s="198"/>
      <c r="GG415" s="198"/>
      <c r="GH415" s="198"/>
      <c r="GI415" s="198"/>
      <c r="GJ415" s="198"/>
      <c r="GK415" s="198"/>
      <c r="GL415" s="198"/>
      <c r="GM415" s="198"/>
      <c r="GN415" s="198"/>
      <c r="GO415" s="198"/>
      <c r="GP415" s="198"/>
      <c r="GQ415" s="198"/>
      <c r="GR415" s="198"/>
      <c r="GS415" s="198"/>
      <c r="GT415" s="198"/>
      <c r="GU415" s="198"/>
      <c r="GV415" s="198"/>
      <c r="GW415" s="198"/>
      <c r="GX415" s="198"/>
      <c r="GY415" s="198"/>
      <c r="GZ415" s="198"/>
      <c r="HA415" s="198"/>
      <c r="HB415" s="198"/>
      <c r="HC415" s="198"/>
      <c r="HD415" s="198"/>
      <c r="HE415" s="198"/>
      <c r="HF415" s="198"/>
      <c r="HG415" s="198"/>
      <c r="HH415" s="198"/>
      <c r="HI415" s="198"/>
      <c r="HJ415" s="198"/>
      <c r="HK415" s="198"/>
      <c r="HL415" s="198"/>
      <c r="HM415" s="198"/>
      <c r="HN415" s="198"/>
      <c r="HO415" s="198"/>
      <c r="HP415" s="198"/>
      <c r="HQ415" s="198"/>
      <c r="HR415" s="198"/>
      <c r="HS415" s="198"/>
      <c r="HT415" s="198"/>
      <c r="HU415" s="198"/>
      <c r="HV415" s="198"/>
      <c r="HW415" s="198"/>
      <c r="HX415" s="198"/>
      <c r="HY415" s="198"/>
      <c r="HZ415" s="198"/>
      <c r="IA415" s="198"/>
      <c r="IB415" s="198"/>
      <c r="IC415" s="198"/>
      <c r="ID415" s="198"/>
      <c r="IE415" s="198"/>
      <c r="IF415" s="198"/>
      <c r="IG415" s="198"/>
      <c r="IH415" s="198"/>
      <c r="II415" s="198"/>
      <c r="IJ415" s="198"/>
      <c r="IK415" s="198"/>
      <c r="IL415" s="198"/>
      <c r="IM415" s="198"/>
      <c r="IN415" s="198"/>
      <c r="IO415" s="198"/>
      <c r="IP415" s="198"/>
      <c r="IQ415" s="198"/>
      <c r="IR415" s="198"/>
      <c r="IS415" s="198"/>
      <c r="IT415" s="198"/>
    </row>
    <row r="416" spans="1:254" ht="10.7" customHeight="1" x14ac:dyDescent="0.2">
      <c r="B416" s="198" t="s">
        <v>92</v>
      </c>
      <c r="C416" s="202"/>
      <c r="D416" s="202"/>
      <c r="E416" s="202"/>
      <c r="F416" s="203"/>
      <c r="G416" s="202"/>
      <c r="H416" s="202"/>
      <c r="I416" s="203"/>
      <c r="J416" s="202"/>
      <c r="K416" s="202"/>
      <c r="L416" s="202"/>
      <c r="M416" s="202"/>
      <c r="N416" s="194"/>
      <c r="O416" s="202"/>
      <c r="P416" s="194"/>
      <c r="Q416" s="202"/>
      <c r="S416" s="202"/>
      <c r="T416" s="202"/>
      <c r="U416" s="202"/>
      <c r="V416" s="202"/>
      <c r="W416" s="202"/>
      <c r="X416" s="202"/>
      <c r="Y416" s="202"/>
      <c r="Z416" s="202"/>
      <c r="AA416" s="202"/>
      <c r="AB416" s="202"/>
      <c r="AC416" s="202"/>
      <c r="AD416" s="202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  <c r="BI416" s="202"/>
      <c r="BJ416" s="202"/>
      <c r="BK416" s="202"/>
      <c r="BL416" s="202"/>
      <c r="BM416" s="202"/>
      <c r="BN416" s="202"/>
      <c r="BO416" s="202"/>
      <c r="BP416" s="202"/>
      <c r="BQ416" s="202"/>
      <c r="BR416" s="202"/>
      <c r="BS416" s="202"/>
      <c r="BT416" s="202"/>
      <c r="BU416" s="202"/>
      <c r="BV416" s="202"/>
      <c r="BW416" s="202"/>
      <c r="BX416" s="202"/>
      <c r="BY416" s="202"/>
      <c r="BZ416" s="202"/>
      <c r="CA416" s="202"/>
      <c r="CB416" s="202"/>
      <c r="CC416" s="202"/>
      <c r="CD416" s="202"/>
      <c r="CE416" s="202"/>
      <c r="CF416" s="202"/>
      <c r="CG416" s="202"/>
      <c r="CH416" s="202"/>
      <c r="CI416" s="202"/>
      <c r="CJ416" s="202"/>
      <c r="CK416" s="202"/>
      <c r="CL416" s="202"/>
      <c r="CM416" s="202"/>
      <c r="CN416" s="202"/>
      <c r="CO416" s="202"/>
      <c r="CP416" s="202"/>
      <c r="CQ416" s="202"/>
      <c r="CR416" s="202"/>
      <c r="CS416" s="202"/>
      <c r="CT416" s="202"/>
      <c r="CU416" s="202"/>
      <c r="CV416" s="202"/>
      <c r="CW416" s="202"/>
      <c r="CX416" s="202"/>
      <c r="CY416" s="202"/>
      <c r="CZ416" s="202"/>
      <c r="DA416" s="202"/>
      <c r="DB416" s="202"/>
      <c r="DC416" s="202"/>
      <c r="DD416" s="202"/>
      <c r="DE416" s="202"/>
      <c r="DF416" s="202"/>
      <c r="DG416" s="202"/>
      <c r="DH416" s="202"/>
      <c r="DI416" s="202"/>
      <c r="DJ416" s="202"/>
      <c r="DK416" s="202"/>
      <c r="DL416" s="202"/>
      <c r="DM416" s="202"/>
      <c r="DN416" s="202"/>
      <c r="DO416" s="202"/>
      <c r="DP416" s="202"/>
      <c r="DQ416" s="202"/>
      <c r="DR416" s="202"/>
      <c r="DS416" s="202"/>
      <c r="DT416" s="202"/>
      <c r="DU416" s="202"/>
      <c r="DV416" s="202"/>
      <c r="DW416" s="202"/>
      <c r="DX416" s="202"/>
      <c r="DY416" s="202"/>
      <c r="DZ416" s="202"/>
      <c r="EA416" s="202"/>
      <c r="EB416" s="202"/>
      <c r="EC416" s="202"/>
      <c r="ED416" s="202"/>
      <c r="EE416" s="202"/>
      <c r="EF416" s="202"/>
      <c r="EG416" s="202"/>
      <c r="EH416" s="202"/>
      <c r="EI416" s="202"/>
      <c r="EJ416" s="202"/>
      <c r="EK416" s="202"/>
      <c r="EL416" s="202"/>
      <c r="EM416" s="202"/>
      <c r="EN416" s="202"/>
      <c r="EO416" s="202"/>
      <c r="EP416" s="202"/>
      <c r="EQ416" s="202"/>
      <c r="ER416" s="202"/>
      <c r="ES416" s="202"/>
      <c r="ET416" s="202"/>
      <c r="EU416" s="202"/>
      <c r="EV416" s="202"/>
      <c r="EW416" s="202"/>
      <c r="EX416" s="202"/>
      <c r="EY416" s="202"/>
      <c r="EZ416" s="202"/>
      <c r="FA416" s="202"/>
      <c r="FB416" s="202"/>
      <c r="FC416" s="202"/>
      <c r="FD416" s="202"/>
      <c r="FE416" s="202"/>
      <c r="FF416" s="202"/>
      <c r="FG416" s="202"/>
      <c r="FH416" s="202"/>
      <c r="FI416" s="202"/>
      <c r="FJ416" s="202"/>
      <c r="FK416" s="202"/>
      <c r="FL416" s="202"/>
      <c r="FM416" s="202"/>
      <c r="FN416" s="202"/>
      <c r="FO416" s="202"/>
      <c r="FP416" s="202"/>
      <c r="FQ416" s="202"/>
      <c r="FR416" s="202"/>
      <c r="FS416" s="202"/>
      <c r="FT416" s="202"/>
      <c r="FU416" s="202"/>
      <c r="FV416" s="202"/>
      <c r="FW416" s="202"/>
      <c r="FX416" s="202"/>
      <c r="FY416" s="202"/>
      <c r="FZ416" s="202"/>
      <c r="GA416" s="202"/>
      <c r="GB416" s="202"/>
      <c r="GC416" s="202"/>
      <c r="GD416" s="202"/>
      <c r="GE416" s="202"/>
      <c r="GF416" s="202"/>
      <c r="GG416" s="202"/>
      <c r="GH416" s="202"/>
      <c r="GI416" s="202"/>
      <c r="GJ416" s="202"/>
      <c r="GK416" s="202"/>
      <c r="GL416" s="202"/>
      <c r="GM416" s="202"/>
      <c r="GN416" s="202"/>
      <c r="GO416" s="202"/>
      <c r="GP416" s="202"/>
      <c r="GQ416" s="202"/>
      <c r="GR416" s="202"/>
      <c r="GS416" s="202"/>
      <c r="GT416" s="202"/>
      <c r="GU416" s="202"/>
      <c r="GV416" s="202"/>
      <c r="GW416" s="202"/>
      <c r="GX416" s="202"/>
      <c r="GY416" s="202"/>
      <c r="GZ416" s="202"/>
      <c r="HA416" s="202"/>
      <c r="HB416" s="202"/>
      <c r="HC416" s="202"/>
      <c r="HD416" s="202"/>
      <c r="HE416" s="202"/>
      <c r="HF416" s="202"/>
      <c r="HG416" s="202"/>
      <c r="HH416" s="202"/>
      <c r="HI416" s="202"/>
      <c r="HJ416" s="202"/>
      <c r="HK416" s="202"/>
      <c r="HL416" s="202"/>
      <c r="HM416" s="202"/>
      <c r="HN416" s="202"/>
      <c r="HO416" s="202"/>
      <c r="HP416" s="202"/>
      <c r="HQ416" s="202"/>
      <c r="HR416" s="202"/>
      <c r="HS416" s="202"/>
      <c r="HT416" s="202"/>
      <c r="HU416" s="202"/>
      <c r="HV416" s="202"/>
      <c r="HW416" s="202"/>
      <c r="HX416" s="202"/>
      <c r="HY416" s="202"/>
      <c r="HZ416" s="202"/>
      <c r="IA416" s="202"/>
      <c r="IB416" s="202"/>
      <c r="IC416" s="202"/>
      <c r="ID416" s="202"/>
      <c r="IE416" s="202"/>
      <c r="IF416" s="202"/>
      <c r="IG416" s="202"/>
      <c r="IH416" s="202"/>
      <c r="II416" s="202"/>
      <c r="IJ416" s="202"/>
      <c r="IK416" s="202"/>
      <c r="IL416" s="202"/>
      <c r="IM416" s="202"/>
      <c r="IN416" s="202"/>
      <c r="IO416" s="202"/>
      <c r="IP416" s="202"/>
      <c r="IQ416" s="202"/>
      <c r="IR416" s="202"/>
      <c r="IS416" s="202"/>
      <c r="IT416" s="202"/>
    </row>
    <row r="417" spans="1:18" ht="10.7" customHeight="1" x14ac:dyDescent="0.2">
      <c r="B417" s="198"/>
      <c r="C417" s="191"/>
      <c r="D417" s="191"/>
      <c r="E417" s="191"/>
      <c r="F417" s="192"/>
      <c r="G417" s="191"/>
      <c r="H417" s="191"/>
      <c r="I417" s="192"/>
      <c r="J417" s="191"/>
      <c r="K417" s="191"/>
      <c r="L417" s="191"/>
      <c r="M417" s="191"/>
      <c r="N417" s="194"/>
      <c r="O417" s="191"/>
      <c r="P417" s="194"/>
      <c r="Q417" s="191"/>
    </row>
    <row r="418" spans="1:18" ht="10.7" customHeight="1" x14ac:dyDescent="0.2">
      <c r="B418" s="198"/>
      <c r="C418" s="191"/>
      <c r="D418" s="191"/>
      <c r="E418" s="191"/>
      <c r="F418" s="192"/>
      <c r="G418" s="191"/>
      <c r="H418" s="191"/>
      <c r="I418" s="192"/>
      <c r="J418" s="191"/>
      <c r="K418" s="191"/>
      <c r="L418" s="191"/>
      <c r="M418" s="191"/>
      <c r="N418" s="194"/>
      <c r="O418" s="191"/>
      <c r="P418" s="194"/>
      <c r="Q418" s="191"/>
    </row>
    <row r="419" spans="1:18" ht="10.7" customHeight="1" x14ac:dyDescent="0.2">
      <c r="B419" s="198"/>
      <c r="C419" s="191"/>
      <c r="D419" s="191"/>
      <c r="E419" s="191"/>
      <c r="F419" s="192"/>
      <c r="G419" s="191"/>
      <c r="H419" s="191"/>
      <c r="I419" s="192"/>
      <c r="J419" s="191"/>
      <c r="K419" s="191"/>
      <c r="L419" s="191"/>
      <c r="M419" s="191"/>
      <c r="N419" s="194"/>
      <c r="O419" s="191"/>
      <c r="P419" s="194"/>
      <c r="Q419" s="191"/>
    </row>
    <row r="420" spans="1:18" s="191" customFormat="1" ht="10.7" customHeight="1" x14ac:dyDescent="0.2">
      <c r="A420" s="190"/>
      <c r="B420" s="14"/>
      <c r="C420" s="15" t="s">
        <v>147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5"/>
    </row>
    <row r="421" spans="1:18" s="191" customFormat="1" ht="10.7" customHeight="1" x14ac:dyDescent="0.2">
      <c r="A421" s="190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5"/>
    </row>
    <row r="422" spans="1:18" s="191" customFormat="1" ht="10.7" customHeight="1" x14ac:dyDescent="0.2">
      <c r="A422" s="190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44468</v>
      </c>
      <c r="K422" s="33">
        <v>44475</v>
      </c>
      <c r="L422" s="33">
        <v>44482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5"/>
    </row>
    <row r="423" spans="1:18" s="191" customFormat="1" ht="10.7" customHeight="1" x14ac:dyDescent="0.2">
      <c r="A423" s="190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5"/>
    </row>
    <row r="424" spans="1:18" s="191" customFormat="1" ht="10.7" customHeight="1" x14ac:dyDescent="0.2">
      <c r="A424" s="190"/>
      <c r="B424" s="40"/>
      <c r="C424" s="233" t="s">
        <v>142</v>
      </c>
      <c r="D424" s="235"/>
      <c r="E424" s="235"/>
      <c r="F424" s="235"/>
      <c r="G424" s="235"/>
      <c r="H424" s="235"/>
      <c r="I424" s="235"/>
      <c r="J424" s="235"/>
      <c r="K424" s="235"/>
      <c r="L424" s="235"/>
      <c r="M424" s="235"/>
      <c r="N424" s="235"/>
      <c r="O424" s="235"/>
      <c r="P424" s="41" t="s">
        <v>4</v>
      </c>
      <c r="R424" s="185"/>
    </row>
    <row r="425" spans="1:18" s="191" customFormat="1" ht="10.7" customHeight="1" x14ac:dyDescent="0.2">
      <c r="A425" s="190"/>
      <c r="B425" s="40" t="s">
        <v>62</v>
      </c>
      <c r="C425" s="151">
        <v>9708.5329999999994</v>
      </c>
      <c r="D425" s="152">
        <v>0</v>
      </c>
      <c r="E425" s="152">
        <v>3255</v>
      </c>
      <c r="F425" s="153">
        <v>12963.532999999999</v>
      </c>
      <c r="G425" s="154">
        <v>12890.6</v>
      </c>
      <c r="H425" s="183">
        <v>99.437398739988552</v>
      </c>
      <c r="I425" s="153">
        <v>72.932999999999083</v>
      </c>
      <c r="J425" s="154">
        <v>0</v>
      </c>
      <c r="K425" s="154">
        <v>0</v>
      </c>
      <c r="L425" s="154">
        <v>0</v>
      </c>
      <c r="M425" s="154">
        <v>0</v>
      </c>
      <c r="N425" s="46">
        <v>0</v>
      </c>
      <c r="O425" s="154">
        <v>0</v>
      </c>
      <c r="P425" s="41" t="s">
        <v>149</v>
      </c>
      <c r="R425" s="185"/>
    </row>
    <row r="426" spans="1:18" s="191" customFormat="1" ht="10.7" customHeight="1" x14ac:dyDescent="0.2">
      <c r="A426" s="190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3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150</v>
      </c>
      <c r="R426" s="185"/>
    </row>
    <row r="427" spans="1:18" s="191" customFormat="1" ht="10.7" customHeight="1" x14ac:dyDescent="0.2">
      <c r="A427" s="190"/>
      <c r="B427" s="40" t="s">
        <v>65</v>
      </c>
      <c r="C427" s="151">
        <v>275.89999999999998</v>
      </c>
      <c r="D427" s="152">
        <v>0</v>
      </c>
      <c r="E427" s="152">
        <v>-275</v>
      </c>
      <c r="F427" s="153">
        <v>0.89999999999997726</v>
      </c>
      <c r="G427" s="154">
        <v>0</v>
      </c>
      <c r="H427" s="183">
        <v>0</v>
      </c>
      <c r="I427" s="153">
        <v>0.89999999999997726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150</v>
      </c>
      <c r="R427" s="185"/>
    </row>
    <row r="428" spans="1:18" s="191" customFormat="1" ht="10.7" customHeight="1" x14ac:dyDescent="0.2">
      <c r="A428" s="190"/>
      <c r="B428" s="40" t="s">
        <v>66</v>
      </c>
      <c r="C428" s="151">
        <v>15700.88</v>
      </c>
      <c r="D428" s="152">
        <v>0</v>
      </c>
      <c r="E428" s="152">
        <v>-6029</v>
      </c>
      <c r="F428" s="153">
        <v>9671.8799999999992</v>
      </c>
      <c r="G428" s="154">
        <v>9759.32</v>
      </c>
      <c r="H428" s="183">
        <v>100.90406415298784</v>
      </c>
      <c r="I428" s="153">
        <v>-87.440000000000509</v>
      </c>
      <c r="J428" s="154">
        <v>0</v>
      </c>
      <c r="K428" s="154">
        <v>0</v>
      </c>
      <c r="L428" s="154">
        <v>0</v>
      </c>
      <c r="M428" s="154">
        <v>0</v>
      </c>
      <c r="N428" s="46">
        <v>0</v>
      </c>
      <c r="O428" s="154">
        <v>0</v>
      </c>
      <c r="P428" s="41">
        <v>0</v>
      </c>
      <c r="R428" s="185"/>
    </row>
    <row r="429" spans="1:18" s="191" customFormat="1" ht="10.7" customHeight="1" x14ac:dyDescent="0.2">
      <c r="A429" s="190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3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150</v>
      </c>
      <c r="R429" s="185"/>
    </row>
    <row r="430" spans="1:18" s="191" customFormat="1" ht="10.7" customHeight="1" x14ac:dyDescent="0.2">
      <c r="A430" s="190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3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150</v>
      </c>
      <c r="R430" s="185"/>
    </row>
    <row r="431" spans="1:18" s="191" customFormat="1" ht="10.7" customHeight="1" x14ac:dyDescent="0.2">
      <c r="A431" s="190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3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150</v>
      </c>
      <c r="R431" s="185"/>
    </row>
    <row r="432" spans="1:18" s="191" customFormat="1" ht="10.7" customHeight="1" x14ac:dyDescent="0.2">
      <c r="A432" s="190"/>
      <c r="B432" s="40" t="s">
        <v>70</v>
      </c>
      <c r="C432" s="151">
        <v>3.3</v>
      </c>
      <c r="D432" s="152">
        <v>0</v>
      </c>
      <c r="E432" s="152">
        <v>0</v>
      </c>
      <c r="F432" s="153">
        <v>3.3</v>
      </c>
      <c r="G432" s="154">
        <v>0</v>
      </c>
      <c r="H432" s="183">
        <v>0</v>
      </c>
      <c r="I432" s="153">
        <v>3.3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150</v>
      </c>
      <c r="R432" s="185"/>
    </row>
    <row r="433" spans="1:18" s="191" customFormat="1" ht="10.7" customHeight="1" x14ac:dyDescent="0.2">
      <c r="A433" s="195"/>
      <c r="B433" s="40" t="s">
        <v>71</v>
      </c>
      <c r="C433" s="151">
        <v>10318.038</v>
      </c>
      <c r="D433" s="152">
        <v>0</v>
      </c>
      <c r="E433" s="152">
        <v>0</v>
      </c>
      <c r="F433" s="153">
        <v>10318.038</v>
      </c>
      <c r="G433" s="154">
        <v>10544.32</v>
      </c>
      <c r="H433" s="183">
        <v>102.19307197744376</v>
      </c>
      <c r="I433" s="153">
        <v>-226.28199999999924</v>
      </c>
      <c r="J433" s="154">
        <v>0</v>
      </c>
      <c r="K433" s="154">
        <v>0</v>
      </c>
      <c r="L433" s="154">
        <v>0</v>
      </c>
      <c r="M433" s="154">
        <v>0</v>
      </c>
      <c r="N433" s="46">
        <v>0</v>
      </c>
      <c r="O433" s="154">
        <v>0</v>
      </c>
      <c r="P433" s="41">
        <v>0</v>
      </c>
      <c r="R433" s="185"/>
    </row>
    <row r="434" spans="1:18" s="191" customFormat="1" ht="10.7" customHeight="1" x14ac:dyDescent="0.2">
      <c r="A434" s="190"/>
      <c r="B434" s="40" t="s">
        <v>72</v>
      </c>
      <c r="C434" s="151">
        <v>23278.434000000001</v>
      </c>
      <c r="D434" s="152">
        <v>0</v>
      </c>
      <c r="E434" s="152">
        <v>1608</v>
      </c>
      <c r="F434" s="153">
        <v>24886.434000000001</v>
      </c>
      <c r="G434" s="154">
        <v>24885.629999999997</v>
      </c>
      <c r="H434" s="183">
        <v>99.996769324202873</v>
      </c>
      <c r="I434" s="153">
        <v>0.80400000000372529</v>
      </c>
      <c r="J434" s="154">
        <v>0</v>
      </c>
      <c r="K434" s="154">
        <v>0</v>
      </c>
      <c r="L434" s="154">
        <v>0</v>
      </c>
      <c r="M434" s="154">
        <v>0</v>
      </c>
      <c r="N434" s="46">
        <v>0</v>
      </c>
      <c r="O434" s="154">
        <v>0</v>
      </c>
      <c r="P434" s="41" t="s">
        <v>149</v>
      </c>
      <c r="R434" s="189"/>
    </row>
    <row r="435" spans="1:18" s="191" customFormat="1" ht="10.7" customHeight="1" x14ac:dyDescent="0.2">
      <c r="A435" s="190"/>
      <c r="B435" s="47" t="s">
        <v>73</v>
      </c>
      <c r="C435" s="151">
        <v>59285.084999999999</v>
      </c>
      <c r="D435" s="152">
        <v>0</v>
      </c>
      <c r="E435" s="152">
        <v>-1441</v>
      </c>
      <c r="F435" s="153">
        <v>57844.084999999999</v>
      </c>
      <c r="G435" s="154">
        <v>58079.869999999995</v>
      </c>
      <c r="H435" s="183">
        <v>100.40762162630803</v>
      </c>
      <c r="I435" s="153">
        <v>-235.78499999999696</v>
      </c>
      <c r="J435" s="154">
        <v>0</v>
      </c>
      <c r="K435" s="154">
        <v>0</v>
      </c>
      <c r="L435" s="154">
        <v>0</v>
      </c>
      <c r="M435" s="154">
        <v>0</v>
      </c>
      <c r="N435" s="46">
        <v>0</v>
      </c>
      <c r="O435" s="154">
        <v>0</v>
      </c>
      <c r="P435" s="41">
        <v>0</v>
      </c>
      <c r="R435" s="189"/>
    </row>
    <row r="436" spans="1:18" s="191" customFormat="1" ht="10.7" customHeight="1" x14ac:dyDescent="0.2">
      <c r="A436" s="190"/>
      <c r="B436" s="40"/>
      <c r="C436" s="151"/>
      <c r="D436" s="154"/>
      <c r="E436" s="152"/>
      <c r="F436" s="153"/>
      <c r="G436" s="154"/>
      <c r="H436" s="183"/>
      <c r="I436" s="153"/>
      <c r="J436" s="154"/>
      <c r="K436" s="154"/>
      <c r="L436" s="154"/>
      <c r="M436" s="154"/>
      <c r="N436" s="46"/>
      <c r="O436" s="154"/>
      <c r="P436" s="41"/>
      <c r="R436" s="185"/>
    </row>
    <row r="437" spans="1:18" s="191" customFormat="1" ht="10.7" customHeight="1" x14ac:dyDescent="0.2">
      <c r="A437" s="190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3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150</v>
      </c>
      <c r="R437" s="185"/>
    </row>
    <row r="438" spans="1:18" s="191" customFormat="1" ht="10.7" customHeight="1" x14ac:dyDescent="0.2">
      <c r="A438" s="190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3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5"/>
    </row>
    <row r="439" spans="1:18" s="191" customFormat="1" ht="10.7" customHeight="1" x14ac:dyDescent="0.2">
      <c r="A439" s="190"/>
      <c r="B439" s="40" t="s">
        <v>157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3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150</v>
      </c>
      <c r="R439" s="185"/>
    </row>
    <row r="440" spans="1:18" s="191" customFormat="1" ht="10.7" customHeight="1" x14ac:dyDescent="0.2">
      <c r="A440" s="190"/>
      <c r="B440" s="40" t="s">
        <v>76</v>
      </c>
      <c r="C440" s="151">
        <v>1.5149999999999999</v>
      </c>
      <c r="D440" s="152">
        <v>0</v>
      </c>
      <c r="E440" s="152">
        <v>0</v>
      </c>
      <c r="F440" s="153">
        <v>1.5149999999999999</v>
      </c>
      <c r="G440" s="154">
        <v>0</v>
      </c>
      <c r="H440" s="183">
        <v>0</v>
      </c>
      <c r="I440" s="153">
        <v>1.5149999999999999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150</v>
      </c>
      <c r="R440" s="185"/>
    </row>
    <row r="441" spans="1:18" s="191" customFormat="1" ht="10.7" customHeight="1" x14ac:dyDescent="0.2">
      <c r="A441" s="190"/>
      <c r="B441" s="40" t="s">
        <v>77</v>
      </c>
      <c r="C441" s="151">
        <v>0.29199999999999998</v>
      </c>
      <c r="D441" s="152">
        <v>0</v>
      </c>
      <c r="E441" s="152">
        <v>0</v>
      </c>
      <c r="F441" s="153">
        <v>0.29199999999999998</v>
      </c>
      <c r="G441" s="154">
        <v>0</v>
      </c>
      <c r="H441" s="183">
        <v>0</v>
      </c>
      <c r="I441" s="153">
        <v>0.29199999999999998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150</v>
      </c>
      <c r="R441" s="185"/>
    </row>
    <row r="442" spans="1:18" s="191" customFormat="1" ht="10.7" customHeight="1" x14ac:dyDescent="0.2">
      <c r="A442" s="190"/>
      <c r="B442" s="40" t="s">
        <v>78</v>
      </c>
      <c r="C442" s="151">
        <v>3526.0189999999998</v>
      </c>
      <c r="D442" s="152">
        <v>0</v>
      </c>
      <c r="E442" s="152">
        <v>-3308</v>
      </c>
      <c r="F442" s="153">
        <v>218.01899999999978</v>
      </c>
      <c r="G442" s="154">
        <v>0</v>
      </c>
      <c r="H442" s="183">
        <v>0</v>
      </c>
      <c r="I442" s="153">
        <v>218.01899999999978</v>
      </c>
      <c r="J442" s="154">
        <v>0</v>
      </c>
      <c r="K442" s="154">
        <v>0</v>
      </c>
      <c r="L442" s="154">
        <v>0</v>
      </c>
      <c r="M442" s="154">
        <v>0</v>
      </c>
      <c r="N442" s="46">
        <v>0</v>
      </c>
      <c r="O442" s="154">
        <v>0</v>
      </c>
      <c r="P442" s="41" t="s">
        <v>149</v>
      </c>
      <c r="R442" s="185"/>
    </row>
    <row r="443" spans="1:18" s="191" customFormat="1" ht="10.7" customHeight="1" x14ac:dyDescent="0.2">
      <c r="A443" s="190"/>
      <c r="B443" s="40" t="s">
        <v>79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3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5"/>
    </row>
    <row r="444" spans="1:18" s="191" customFormat="1" ht="10.7" customHeight="1" x14ac:dyDescent="0.2">
      <c r="A444" s="190"/>
      <c r="B444" s="40" t="s">
        <v>80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3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5"/>
    </row>
    <row r="445" spans="1:18" s="191" customFormat="1" ht="10.7" customHeight="1" x14ac:dyDescent="0.2">
      <c r="A445" s="190"/>
      <c r="B445" s="40" t="s">
        <v>81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3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5"/>
    </row>
    <row r="446" spans="1:18" s="191" customFormat="1" ht="10.7" customHeight="1" x14ac:dyDescent="0.2">
      <c r="A446" s="190"/>
      <c r="B446" s="184" t="s">
        <v>82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3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5"/>
    </row>
    <row r="447" spans="1:18" s="191" customFormat="1" ht="10.7" customHeight="1" x14ac:dyDescent="0.2">
      <c r="A447" s="190"/>
      <c r="B447" s="184" t="s">
        <v>83</v>
      </c>
      <c r="C447" s="151">
        <v>3.03</v>
      </c>
      <c r="D447" s="152">
        <v>0</v>
      </c>
      <c r="E447" s="152">
        <v>0</v>
      </c>
      <c r="F447" s="153">
        <v>3.03</v>
      </c>
      <c r="G447" s="154">
        <v>0</v>
      </c>
      <c r="H447" s="183">
        <v>0</v>
      </c>
      <c r="I447" s="153">
        <v>3.03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150</v>
      </c>
      <c r="R447" s="185"/>
    </row>
    <row r="448" spans="1:18" s="191" customFormat="1" ht="10.7" customHeight="1" x14ac:dyDescent="0.2">
      <c r="A448" s="190"/>
      <c r="B448" s="205" t="s">
        <v>84</v>
      </c>
      <c r="C448" s="151">
        <v>7630.9</v>
      </c>
      <c r="D448" s="152">
        <v>0</v>
      </c>
      <c r="E448" s="152">
        <v>-1280</v>
      </c>
      <c r="F448" s="153">
        <v>6350.9</v>
      </c>
      <c r="G448" s="154">
        <v>6821.0199999999995</v>
      </c>
      <c r="H448" s="183">
        <v>107.40241540569053</v>
      </c>
      <c r="I448" s="153">
        <v>-470.11999999999989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>
        <v>0</v>
      </c>
      <c r="R448" s="185"/>
    </row>
    <row r="449" spans="1:18" s="191" customFormat="1" ht="10.7" customHeight="1" x14ac:dyDescent="0.2">
      <c r="A449" s="190"/>
      <c r="B449" s="40" t="s">
        <v>85</v>
      </c>
      <c r="C449" s="151">
        <v>1983.6030000000001</v>
      </c>
      <c r="D449" s="152">
        <v>0</v>
      </c>
      <c r="E449" s="152">
        <v>6029</v>
      </c>
      <c r="F449" s="153">
        <v>8012.6030000000001</v>
      </c>
      <c r="G449" s="154">
        <v>7202.1500341720584</v>
      </c>
      <c r="H449" s="183">
        <v>89.885272416118198</v>
      </c>
      <c r="I449" s="153">
        <v>810.45296582794163</v>
      </c>
      <c r="J449" s="154">
        <v>0</v>
      </c>
      <c r="K449" s="154">
        <v>0</v>
      </c>
      <c r="L449" s="154">
        <v>0</v>
      </c>
      <c r="M449" s="154">
        <v>0</v>
      </c>
      <c r="N449" s="46">
        <v>0</v>
      </c>
      <c r="O449" s="154">
        <v>0</v>
      </c>
      <c r="P449" s="41" t="s">
        <v>150</v>
      </c>
      <c r="R449" s="185"/>
    </row>
    <row r="450" spans="1:18" s="191" customFormat="1" ht="10.7" customHeight="1" x14ac:dyDescent="0.2">
      <c r="A450" s="190"/>
      <c r="B450" s="196" t="s">
        <v>86</v>
      </c>
      <c r="C450" s="151">
        <v>72430.444000000003</v>
      </c>
      <c r="D450" s="154">
        <v>0</v>
      </c>
      <c r="E450" s="152">
        <v>0</v>
      </c>
      <c r="F450" s="153">
        <v>72430.444000000003</v>
      </c>
      <c r="G450" s="154">
        <v>72103.040034172052</v>
      </c>
      <c r="H450" s="183">
        <v>99.547974652995421</v>
      </c>
      <c r="I450" s="153">
        <v>327.40396582794455</v>
      </c>
      <c r="J450" s="154">
        <v>0</v>
      </c>
      <c r="K450" s="154">
        <v>0</v>
      </c>
      <c r="L450" s="154">
        <v>0</v>
      </c>
      <c r="M450" s="154">
        <v>0</v>
      </c>
      <c r="N450" s="46">
        <v>0</v>
      </c>
      <c r="O450" s="154">
        <v>0</v>
      </c>
      <c r="P450" s="41" t="s">
        <v>149</v>
      </c>
      <c r="R450" s="185"/>
    </row>
    <row r="451" spans="1:18" s="191" customFormat="1" ht="10.7" customHeight="1" x14ac:dyDescent="0.2">
      <c r="A451" s="190"/>
      <c r="B451" s="40"/>
      <c r="C451" s="151"/>
      <c r="D451" s="154"/>
      <c r="E451" s="152"/>
      <c r="F451" s="153"/>
      <c r="G451" s="154"/>
      <c r="H451" s="183"/>
      <c r="I451" s="153"/>
      <c r="J451" s="154"/>
      <c r="K451" s="154"/>
      <c r="L451" s="154"/>
      <c r="M451" s="154"/>
      <c r="N451" s="46"/>
      <c r="O451" s="154"/>
      <c r="P451" s="41"/>
      <c r="R451" s="185"/>
    </row>
    <row r="452" spans="1:18" s="191" customFormat="1" ht="10.7" customHeight="1" x14ac:dyDescent="0.2">
      <c r="A452" s="190"/>
      <c r="B452" s="57" t="s">
        <v>87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3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150</v>
      </c>
      <c r="R452" s="185"/>
    </row>
    <row r="453" spans="1:18" s="191" customFormat="1" ht="10.7" customHeight="1" x14ac:dyDescent="0.2">
      <c r="A453" s="190"/>
      <c r="B453" s="49" t="s">
        <v>88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3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150</v>
      </c>
      <c r="R453" s="185"/>
    </row>
    <row r="454" spans="1:18" s="191" customFormat="1" ht="10.7" customHeight="1" x14ac:dyDescent="0.2">
      <c r="A454" s="190"/>
      <c r="B454" s="49" t="s">
        <v>89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3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150</v>
      </c>
      <c r="R454" s="185"/>
    </row>
    <row r="455" spans="1:18" s="191" customFormat="1" ht="10.7" customHeight="1" x14ac:dyDescent="0.2">
      <c r="A455" s="190"/>
      <c r="B455" s="49"/>
      <c r="C455" s="151"/>
      <c r="D455" s="152"/>
      <c r="E455" s="152"/>
      <c r="F455" s="153"/>
      <c r="G455" s="154"/>
      <c r="H455" s="183"/>
      <c r="I455" s="153"/>
      <c r="J455" s="154"/>
      <c r="K455" s="154"/>
      <c r="L455" s="154"/>
      <c r="M455" s="154"/>
      <c r="N455" s="46"/>
      <c r="O455" s="154"/>
      <c r="P455" s="41"/>
      <c r="R455" s="185"/>
    </row>
    <row r="456" spans="1:18" s="191" customFormat="1" ht="10.7" customHeight="1" x14ac:dyDescent="0.2">
      <c r="A456" s="190"/>
      <c r="B456" s="40" t="s">
        <v>90</v>
      </c>
      <c r="C456" s="151">
        <v>0</v>
      </c>
      <c r="D456" s="152"/>
      <c r="E456" s="152"/>
      <c r="F456" s="153">
        <v>0</v>
      </c>
      <c r="G456" s="154"/>
      <c r="H456" s="183"/>
      <c r="I456" s="153">
        <v>0</v>
      </c>
      <c r="J456" s="154"/>
      <c r="K456" s="154"/>
      <c r="L456" s="154"/>
      <c r="M456" s="154"/>
      <c r="N456" s="46"/>
      <c r="O456" s="154"/>
      <c r="P456" s="41"/>
      <c r="R456" s="185"/>
    </row>
    <row r="457" spans="1:18" s="191" customFormat="1" ht="10.7" customHeight="1" x14ac:dyDescent="0.2">
      <c r="A457" s="190"/>
      <c r="B457" s="187" t="s">
        <v>91</v>
      </c>
      <c r="C457" s="224">
        <v>72430.444000000003</v>
      </c>
      <c r="D457" s="155">
        <v>0</v>
      </c>
      <c r="E457" s="155">
        <v>0</v>
      </c>
      <c r="F457" s="156">
        <v>72430.444000000003</v>
      </c>
      <c r="G457" s="156">
        <v>72103.040034172052</v>
      </c>
      <c r="H457" s="188">
        <v>99.547974652995421</v>
      </c>
      <c r="I457" s="156">
        <v>327.40396582795074</v>
      </c>
      <c r="J457" s="155">
        <v>0</v>
      </c>
      <c r="K457" s="155">
        <v>0</v>
      </c>
      <c r="L457" s="155">
        <v>0</v>
      </c>
      <c r="M457" s="155">
        <v>0</v>
      </c>
      <c r="N457" s="58">
        <v>0</v>
      </c>
      <c r="O457" s="155">
        <v>0</v>
      </c>
      <c r="P457" s="54" t="s">
        <v>149</v>
      </c>
      <c r="R457" s="185"/>
    </row>
    <row r="458" spans="1:18" s="191" customFormat="1" ht="12.75" x14ac:dyDescent="0.2">
      <c r="A458" s="190"/>
      <c r="B458" s="198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5"/>
    </row>
    <row r="459" spans="1:18" s="191" customFormat="1" ht="12.75" x14ac:dyDescent="0.2">
      <c r="A459" s="190"/>
      <c r="F459" s="192"/>
      <c r="I459" s="192"/>
      <c r="N459" s="194"/>
      <c r="P459" s="194"/>
      <c r="R459" s="185"/>
    </row>
    <row r="460" spans="1:18" s="191" customFormat="1" ht="12.75" hidden="1" x14ac:dyDescent="0.2">
      <c r="A460" s="190"/>
      <c r="B460" s="14"/>
      <c r="C460" s="15" t="s">
        <v>97</v>
      </c>
      <c r="D460" s="15" t="s">
        <v>14</v>
      </c>
      <c r="E460" s="15"/>
      <c r="F460" s="16" t="s">
        <v>97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5"/>
    </row>
    <row r="461" spans="1:18" s="191" customFormat="1" ht="12.75" hidden="1" x14ac:dyDescent="0.2">
      <c r="A461" s="190"/>
      <c r="B461" s="23" t="s">
        <v>45</v>
      </c>
      <c r="C461" s="9" t="s">
        <v>98</v>
      </c>
      <c r="D461" s="26" t="s">
        <v>15</v>
      </c>
      <c r="E461" s="26"/>
      <c r="F461" s="25" t="s">
        <v>98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5"/>
    </row>
    <row r="462" spans="1:18" s="191" customFormat="1" ht="12.75" hidden="1" x14ac:dyDescent="0.2">
      <c r="A462" s="190"/>
      <c r="B462" s="23"/>
      <c r="C462" s="24" t="s">
        <v>99</v>
      </c>
      <c r="D462" s="26" t="s">
        <v>54</v>
      </c>
      <c r="E462" s="26"/>
      <c r="F462" s="28" t="s">
        <v>99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5"/>
    </row>
    <row r="463" spans="1:18" s="191" customFormat="1" ht="12.75" hidden="1" x14ac:dyDescent="0.2">
      <c r="A463" s="190"/>
      <c r="B463" s="35"/>
      <c r="C463" s="36" t="s">
        <v>100</v>
      </c>
      <c r="D463" s="36" t="s">
        <v>59</v>
      </c>
      <c r="E463" s="36"/>
      <c r="F463" s="37" t="s">
        <v>100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5"/>
    </row>
    <row r="464" spans="1:18" s="191" customFormat="1" ht="12.75" hidden="1" x14ac:dyDescent="0.2">
      <c r="A464" s="190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5"/>
    </row>
    <row r="465" spans="1:18" s="191" customFormat="1" ht="12.75" hidden="1" x14ac:dyDescent="0.2">
      <c r="A465" s="190"/>
      <c r="B465" s="40"/>
      <c r="C465" s="237" t="s">
        <v>101</v>
      </c>
      <c r="D465" s="234"/>
      <c r="E465" s="234"/>
      <c r="F465" s="234"/>
      <c r="G465" s="234"/>
      <c r="H465" s="234"/>
      <c r="I465" s="234"/>
      <c r="J465" s="234"/>
      <c r="K465" s="234"/>
      <c r="L465" s="234"/>
      <c r="M465" s="234"/>
      <c r="N465" s="234"/>
      <c r="O465" s="234"/>
      <c r="P465" s="41" t="s">
        <v>4</v>
      </c>
      <c r="R465" s="185"/>
    </row>
    <row r="466" spans="1:18" s="191" customFormat="1" ht="12.75" hidden="1" x14ac:dyDescent="0.2">
      <c r="A466" s="190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5"/>
    </row>
    <row r="467" spans="1:18" s="191" customFormat="1" ht="12.75" hidden="1" x14ac:dyDescent="0.2">
      <c r="A467" s="190"/>
      <c r="B467" s="40" t="s">
        <v>63</v>
      </c>
      <c r="C467" s="42">
        <v>0</v>
      </c>
      <c r="D467" s="45">
        <v>0</v>
      </c>
      <c r="E467" s="45"/>
      <c r="F467" s="71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5"/>
    </row>
    <row r="468" spans="1:18" s="191" customFormat="1" ht="12.75" hidden="1" x14ac:dyDescent="0.2">
      <c r="A468" s="190"/>
      <c r="B468" s="40" t="s">
        <v>65</v>
      </c>
      <c r="C468" s="42">
        <v>0</v>
      </c>
      <c r="D468" s="45">
        <v>0</v>
      </c>
      <c r="E468" s="45"/>
      <c r="F468" s="71">
        <v>0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5"/>
    </row>
    <row r="469" spans="1:18" s="191" customFormat="1" ht="12.75" hidden="1" x14ac:dyDescent="0.2">
      <c r="A469" s="190"/>
      <c r="B469" s="40" t="s">
        <v>66</v>
      </c>
      <c r="C469" s="42">
        <v>0</v>
      </c>
      <c r="D469" s="45">
        <v>0</v>
      </c>
      <c r="E469" s="45"/>
      <c r="F469" s="71">
        <v>0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5"/>
    </row>
    <row r="470" spans="1:18" s="191" customFormat="1" ht="12.75" hidden="1" x14ac:dyDescent="0.2">
      <c r="A470" s="190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5"/>
    </row>
    <row r="471" spans="1:18" s="191" customFormat="1" ht="12.75" hidden="1" x14ac:dyDescent="0.2">
      <c r="A471" s="190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5"/>
    </row>
    <row r="472" spans="1:18" s="191" customFormat="1" ht="12.75" hidden="1" x14ac:dyDescent="0.2">
      <c r="A472" s="190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5"/>
    </row>
    <row r="473" spans="1:18" s="191" customFormat="1" ht="12.75" hidden="1" x14ac:dyDescent="0.2">
      <c r="A473" s="190"/>
      <c r="B473" s="40" t="s">
        <v>102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5"/>
    </row>
    <row r="474" spans="1:18" s="191" customFormat="1" ht="12.75" hidden="1" x14ac:dyDescent="0.2">
      <c r="A474" s="190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5"/>
    </row>
    <row r="475" spans="1:18" s="191" customFormat="1" ht="12.75" hidden="1" x14ac:dyDescent="0.2">
      <c r="A475" s="190"/>
      <c r="B475" s="40" t="s">
        <v>157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5"/>
    </row>
    <row r="476" spans="1:18" s="191" customFormat="1" ht="12.75" hidden="1" x14ac:dyDescent="0.2">
      <c r="A476" s="190"/>
      <c r="B476" s="40" t="s">
        <v>76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5"/>
    </row>
    <row r="477" spans="1:18" s="191" customFormat="1" ht="12.75" hidden="1" x14ac:dyDescent="0.2">
      <c r="A477" s="190"/>
      <c r="B477" s="40" t="s">
        <v>77</v>
      </c>
      <c r="C477" s="42">
        <v>0</v>
      </c>
      <c r="D477" s="45">
        <v>0</v>
      </c>
      <c r="E477" s="45"/>
      <c r="F477" s="71">
        <v>0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5"/>
    </row>
    <row r="478" spans="1:18" s="191" customFormat="1" ht="12.75" hidden="1" x14ac:dyDescent="0.2">
      <c r="A478" s="190"/>
      <c r="B478" s="40" t="s">
        <v>78</v>
      </c>
      <c r="C478" s="42">
        <v>0</v>
      </c>
      <c r="D478" s="45">
        <v>0</v>
      </c>
      <c r="E478" s="45"/>
      <c r="F478" s="71">
        <v>0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5"/>
    </row>
    <row r="479" spans="1:18" s="191" customFormat="1" ht="12.75" hidden="1" x14ac:dyDescent="0.2">
      <c r="A479" s="190"/>
      <c r="B479" s="40" t="s">
        <v>79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5"/>
    </row>
    <row r="480" spans="1:18" s="191" customFormat="1" ht="12.75" hidden="1" x14ac:dyDescent="0.2">
      <c r="A480" s="190"/>
      <c r="B480" s="40" t="s">
        <v>80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5"/>
    </row>
    <row r="481" spans="1:254" s="191" customFormat="1" ht="12.75" hidden="1" x14ac:dyDescent="0.2">
      <c r="A481" s="190"/>
      <c r="B481" s="40" t="s">
        <v>81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5"/>
    </row>
    <row r="482" spans="1:254" s="191" customFormat="1" ht="12.75" hidden="1" x14ac:dyDescent="0.2">
      <c r="A482" s="190"/>
      <c r="B482" s="40" t="s">
        <v>103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5"/>
    </row>
    <row r="483" spans="1:254" s="191" customFormat="1" ht="12.75" hidden="1" x14ac:dyDescent="0.2">
      <c r="A483" s="190"/>
      <c r="B483" s="40" t="s">
        <v>104</v>
      </c>
      <c r="C483" s="42">
        <v>0</v>
      </c>
      <c r="D483" s="45">
        <v>0</v>
      </c>
      <c r="E483" s="45"/>
      <c r="F483" s="71">
        <v>0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5"/>
    </row>
    <row r="484" spans="1:254" s="191" customFormat="1" ht="12.75" hidden="1" x14ac:dyDescent="0.2">
      <c r="A484" s="190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5"/>
    </row>
    <row r="485" spans="1:254" s="191" customFormat="1" ht="12.75" hidden="1" x14ac:dyDescent="0.2">
      <c r="A485" s="190"/>
      <c r="B485" s="40" t="s">
        <v>105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5"/>
    </row>
    <row r="486" spans="1:254" ht="12.75" hidden="1" x14ac:dyDescent="0.2">
      <c r="A486" s="190"/>
      <c r="B486" s="57" t="s">
        <v>87</v>
      </c>
      <c r="C486" s="42">
        <v>0</v>
      </c>
      <c r="D486" s="45">
        <v>0</v>
      </c>
      <c r="E486" s="45"/>
      <c r="F486" s="71">
        <v>0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1"/>
    </row>
    <row r="487" spans="1:254" ht="12.75" hidden="1" x14ac:dyDescent="0.2">
      <c r="A487" s="190"/>
      <c r="B487" s="49" t="s">
        <v>88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1"/>
    </row>
    <row r="488" spans="1:254" ht="12.75" hidden="1" x14ac:dyDescent="0.2">
      <c r="A488" s="190"/>
      <c r="B488" s="49" t="s">
        <v>89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1"/>
    </row>
    <row r="489" spans="1:254" ht="12.75" hidden="1" x14ac:dyDescent="0.2">
      <c r="A489" s="190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1"/>
    </row>
    <row r="490" spans="1:254" ht="12.75" hidden="1" x14ac:dyDescent="0.2">
      <c r="A490" s="190"/>
      <c r="B490" s="208" t="s">
        <v>91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1"/>
    </row>
    <row r="491" spans="1:254" ht="10.7" hidden="1" customHeight="1" x14ac:dyDescent="0.2">
      <c r="B491" s="198"/>
      <c r="C491" s="198"/>
      <c r="D491" s="198"/>
      <c r="E491" s="198"/>
      <c r="F491" s="199"/>
      <c r="G491" s="198"/>
      <c r="H491" s="198"/>
      <c r="I491" s="199"/>
      <c r="J491" s="198"/>
      <c r="K491" s="198"/>
      <c r="L491" s="198"/>
      <c r="M491" s="198"/>
      <c r="N491" s="201"/>
      <c r="O491" s="198"/>
      <c r="P491" s="201"/>
      <c r="Q491" s="198"/>
      <c r="S491" s="198"/>
      <c r="T491" s="198"/>
      <c r="U491" s="198"/>
      <c r="V491" s="198"/>
      <c r="W491" s="198"/>
      <c r="X491" s="198"/>
      <c r="Y491" s="198"/>
      <c r="Z491" s="198"/>
      <c r="AA491" s="198"/>
      <c r="AB491" s="198"/>
      <c r="AC491" s="198"/>
      <c r="AD491" s="198"/>
      <c r="AE491" s="198"/>
      <c r="AF491" s="198"/>
      <c r="AG491" s="198"/>
      <c r="AH491" s="198"/>
      <c r="AI491" s="198"/>
      <c r="AJ491" s="198"/>
      <c r="AK491" s="198"/>
      <c r="AL491" s="198"/>
      <c r="AM491" s="198"/>
      <c r="AN491" s="198"/>
      <c r="AO491" s="198"/>
      <c r="AP491" s="198"/>
      <c r="AQ491" s="198"/>
      <c r="AR491" s="198"/>
      <c r="AS491" s="198"/>
      <c r="AT491" s="198"/>
      <c r="AU491" s="198"/>
      <c r="AV491" s="198"/>
      <c r="AW491" s="198"/>
      <c r="AX491" s="198"/>
      <c r="AY491" s="198"/>
      <c r="AZ491" s="19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  <c r="BZ491" s="198"/>
      <c r="CA491" s="198"/>
      <c r="CB491" s="198"/>
      <c r="CC491" s="198"/>
      <c r="CD491" s="198"/>
      <c r="CE491" s="198"/>
      <c r="CF491" s="198"/>
      <c r="CG491" s="198"/>
      <c r="CH491" s="198"/>
      <c r="CI491" s="198"/>
      <c r="CJ491" s="198"/>
      <c r="CK491" s="198"/>
      <c r="CL491" s="198"/>
      <c r="CM491" s="198"/>
      <c r="CN491" s="198"/>
      <c r="CO491" s="198"/>
      <c r="CP491" s="198"/>
      <c r="CQ491" s="198"/>
      <c r="CR491" s="198"/>
      <c r="CS491" s="198"/>
      <c r="CT491" s="198"/>
      <c r="CU491" s="198"/>
      <c r="CV491" s="198"/>
      <c r="CW491" s="198"/>
      <c r="CX491" s="198"/>
      <c r="CY491" s="198"/>
      <c r="CZ491" s="198"/>
      <c r="DA491" s="198"/>
      <c r="DB491" s="198"/>
      <c r="DC491" s="198"/>
      <c r="DD491" s="198"/>
      <c r="DE491" s="198"/>
      <c r="DF491" s="198"/>
      <c r="DG491" s="198"/>
      <c r="DH491" s="198"/>
      <c r="DI491" s="198"/>
      <c r="DJ491" s="198"/>
      <c r="DK491" s="198"/>
      <c r="DL491" s="198"/>
      <c r="DM491" s="198"/>
      <c r="DN491" s="198"/>
      <c r="DO491" s="198"/>
      <c r="DP491" s="198"/>
      <c r="DQ491" s="198"/>
      <c r="DR491" s="198"/>
      <c r="DS491" s="198"/>
      <c r="DT491" s="198"/>
      <c r="DU491" s="198"/>
      <c r="DV491" s="198"/>
      <c r="DW491" s="198"/>
      <c r="DX491" s="198"/>
      <c r="DY491" s="198"/>
      <c r="DZ491" s="198"/>
      <c r="EA491" s="198"/>
      <c r="EB491" s="198"/>
      <c r="EC491" s="198"/>
      <c r="ED491" s="198"/>
      <c r="EE491" s="198"/>
      <c r="EF491" s="198"/>
      <c r="EG491" s="198"/>
      <c r="EH491" s="198"/>
      <c r="EI491" s="198"/>
      <c r="EJ491" s="198"/>
      <c r="EK491" s="198"/>
      <c r="EL491" s="198"/>
      <c r="EM491" s="198"/>
      <c r="EN491" s="198"/>
      <c r="EO491" s="198"/>
      <c r="EP491" s="198"/>
      <c r="EQ491" s="198"/>
      <c r="ER491" s="198"/>
      <c r="ES491" s="198"/>
      <c r="ET491" s="198"/>
      <c r="EU491" s="198"/>
      <c r="EV491" s="198"/>
      <c r="EW491" s="198"/>
      <c r="EX491" s="198"/>
      <c r="EY491" s="198"/>
      <c r="EZ491" s="198"/>
      <c r="FA491" s="198"/>
      <c r="FB491" s="198"/>
      <c r="FC491" s="198"/>
      <c r="FD491" s="198"/>
      <c r="FE491" s="198"/>
      <c r="FF491" s="198"/>
      <c r="FG491" s="198"/>
      <c r="FH491" s="198"/>
      <c r="FI491" s="198"/>
      <c r="FJ491" s="198"/>
      <c r="FK491" s="198"/>
      <c r="FL491" s="198"/>
      <c r="FM491" s="198"/>
      <c r="FN491" s="198"/>
      <c r="FO491" s="198"/>
      <c r="FP491" s="198"/>
      <c r="FQ491" s="198"/>
      <c r="FR491" s="198"/>
      <c r="FS491" s="198"/>
      <c r="FT491" s="198"/>
      <c r="FU491" s="198"/>
      <c r="FV491" s="198"/>
      <c r="FW491" s="198"/>
      <c r="FX491" s="198"/>
      <c r="FY491" s="198"/>
      <c r="FZ491" s="198"/>
      <c r="GA491" s="198"/>
      <c r="GB491" s="198"/>
      <c r="GC491" s="198"/>
      <c r="GD491" s="198"/>
      <c r="GE491" s="198"/>
      <c r="GF491" s="198"/>
      <c r="GG491" s="198"/>
      <c r="GH491" s="198"/>
      <c r="GI491" s="198"/>
      <c r="GJ491" s="198"/>
      <c r="GK491" s="198"/>
      <c r="GL491" s="198"/>
      <c r="GM491" s="198"/>
      <c r="GN491" s="198"/>
      <c r="GO491" s="198"/>
      <c r="GP491" s="198"/>
      <c r="GQ491" s="198"/>
      <c r="GR491" s="198"/>
      <c r="GS491" s="198"/>
      <c r="GT491" s="198"/>
      <c r="GU491" s="198"/>
      <c r="GV491" s="198"/>
      <c r="GW491" s="198"/>
      <c r="GX491" s="198"/>
      <c r="GY491" s="198"/>
      <c r="GZ491" s="198"/>
      <c r="HA491" s="198"/>
      <c r="HB491" s="198"/>
      <c r="HC491" s="198"/>
      <c r="HD491" s="198"/>
      <c r="HE491" s="198"/>
      <c r="HF491" s="198"/>
      <c r="HG491" s="198"/>
      <c r="HH491" s="198"/>
      <c r="HI491" s="198"/>
      <c r="HJ491" s="198"/>
      <c r="HK491" s="198"/>
      <c r="HL491" s="198"/>
      <c r="HM491" s="198"/>
      <c r="HN491" s="198"/>
      <c r="HO491" s="198"/>
      <c r="HP491" s="198"/>
      <c r="HQ491" s="198"/>
      <c r="HR491" s="198"/>
      <c r="HS491" s="198"/>
      <c r="HT491" s="198"/>
      <c r="HU491" s="198"/>
      <c r="HV491" s="198"/>
      <c r="HW491" s="198"/>
      <c r="HX491" s="198"/>
      <c r="HY491" s="198"/>
      <c r="HZ491" s="198"/>
      <c r="IA491" s="198"/>
      <c r="IB491" s="198"/>
      <c r="IC491" s="198"/>
      <c r="ID491" s="198"/>
      <c r="IE491" s="198"/>
      <c r="IF491" s="198"/>
      <c r="IG491" s="198"/>
      <c r="IH491" s="198"/>
      <c r="II491" s="198"/>
      <c r="IJ491" s="198"/>
      <c r="IK491" s="198"/>
      <c r="IL491" s="198"/>
      <c r="IM491" s="198"/>
      <c r="IN491" s="198"/>
      <c r="IO491" s="198"/>
      <c r="IP491" s="198"/>
      <c r="IQ491" s="198"/>
      <c r="IR491" s="198"/>
      <c r="IS491" s="198"/>
      <c r="IT491" s="198"/>
    </row>
    <row r="492" spans="1:254" ht="10.7" hidden="1" customHeight="1" x14ac:dyDescent="0.2">
      <c r="B492" s="198"/>
      <c r="C492" s="191"/>
      <c r="D492" s="191"/>
      <c r="E492" s="191"/>
      <c r="F492" s="192"/>
      <c r="G492" s="191"/>
      <c r="H492" s="191"/>
      <c r="I492" s="192"/>
      <c r="J492" s="191"/>
      <c r="K492" s="191"/>
      <c r="L492" s="191"/>
      <c r="M492" s="191"/>
      <c r="N492" s="194"/>
      <c r="O492" s="191"/>
      <c r="P492" s="194"/>
      <c r="Q492" s="191"/>
    </row>
    <row r="493" spans="1:254" ht="10.7" hidden="1" customHeight="1" x14ac:dyDescent="0.2">
      <c r="B493" s="198"/>
      <c r="C493" s="191"/>
      <c r="D493" s="191"/>
      <c r="E493" s="191"/>
      <c r="F493" s="192"/>
      <c r="G493" s="191"/>
      <c r="H493" s="191"/>
      <c r="I493" s="192"/>
      <c r="J493" s="191"/>
      <c r="K493" s="191"/>
      <c r="L493" s="191"/>
      <c r="M493" s="191"/>
      <c r="N493" s="194"/>
      <c r="O493" s="191"/>
      <c r="P493" s="194"/>
      <c r="Q493" s="191"/>
    </row>
    <row r="494" spans="1:254" s="191" customFormat="1" ht="10.7" hidden="1" customHeight="1" x14ac:dyDescent="0.2">
      <c r="A494" s="190"/>
      <c r="B494" s="14"/>
      <c r="C494" s="15" t="s">
        <v>97</v>
      </c>
      <c r="D494" s="15" t="s">
        <v>14</v>
      </c>
      <c r="E494" s="15"/>
      <c r="F494" s="16" t="s">
        <v>97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5"/>
    </row>
    <row r="495" spans="1:254" s="191" customFormat="1" ht="10.7" hidden="1" customHeight="1" x14ac:dyDescent="0.2">
      <c r="A495" s="190"/>
      <c r="B495" s="23" t="s">
        <v>45</v>
      </c>
      <c r="C495" s="9" t="s">
        <v>98</v>
      </c>
      <c r="D495" s="26" t="s">
        <v>15</v>
      </c>
      <c r="E495" s="26"/>
      <c r="F495" s="25" t="s">
        <v>98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5"/>
    </row>
    <row r="496" spans="1:254" s="191" customFormat="1" ht="10.7" hidden="1" customHeight="1" x14ac:dyDescent="0.2">
      <c r="A496" s="190"/>
      <c r="B496" s="23"/>
      <c r="C496" s="24" t="s">
        <v>99</v>
      </c>
      <c r="D496" s="26" t="s">
        <v>54</v>
      </c>
      <c r="E496" s="26"/>
      <c r="F496" s="28" t="s">
        <v>99</v>
      </c>
      <c r="G496" s="24" t="s">
        <v>55</v>
      </c>
      <c r="H496" s="27" t="s">
        <v>56</v>
      </c>
      <c r="I496" s="28" t="s">
        <v>57</v>
      </c>
      <c r="J496" s="33">
        <v>44468</v>
      </c>
      <c r="K496" s="33">
        <v>44475</v>
      </c>
      <c r="L496" s="33">
        <v>44482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5"/>
    </row>
    <row r="497" spans="1:18" s="191" customFormat="1" ht="10.7" hidden="1" customHeight="1" x14ac:dyDescent="0.2">
      <c r="A497" s="190"/>
      <c r="B497" s="35"/>
      <c r="C497" s="36" t="s">
        <v>100</v>
      </c>
      <c r="D497" s="36" t="s">
        <v>59</v>
      </c>
      <c r="E497" s="36"/>
      <c r="F497" s="37" t="s">
        <v>100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5"/>
    </row>
    <row r="498" spans="1:18" s="191" customFormat="1" ht="10.7" hidden="1" customHeight="1" x14ac:dyDescent="0.2">
      <c r="A498" s="190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5"/>
    </row>
    <row r="499" spans="1:18" s="191" customFormat="1" ht="10.7" hidden="1" customHeight="1" x14ac:dyDescent="0.2">
      <c r="A499" s="190"/>
      <c r="B499" s="40"/>
      <c r="C499" s="237" t="s">
        <v>26</v>
      </c>
      <c r="D499" s="234"/>
      <c r="E499" s="234"/>
      <c r="F499" s="234"/>
      <c r="G499" s="234"/>
      <c r="H499" s="234"/>
      <c r="I499" s="234"/>
      <c r="J499" s="234"/>
      <c r="K499" s="234"/>
      <c r="L499" s="234"/>
      <c r="M499" s="234"/>
      <c r="N499" s="234"/>
      <c r="O499" s="234"/>
      <c r="P499" s="41" t="s">
        <v>4</v>
      </c>
      <c r="R499" s="185"/>
    </row>
    <row r="500" spans="1:18" s="191" customFormat="1" ht="10.7" hidden="1" customHeight="1" x14ac:dyDescent="0.2">
      <c r="A500" s="190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5"/>
    </row>
    <row r="501" spans="1:18" s="191" customFormat="1" ht="10.7" hidden="1" customHeight="1" x14ac:dyDescent="0.2">
      <c r="A501" s="190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5"/>
    </row>
    <row r="502" spans="1:18" s="191" customFormat="1" ht="10.7" hidden="1" customHeight="1" x14ac:dyDescent="0.2">
      <c r="A502" s="190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5"/>
    </row>
    <row r="503" spans="1:18" s="191" customFormat="1" ht="10.7" hidden="1" customHeight="1" x14ac:dyDescent="0.2">
      <c r="A503" s="190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5"/>
    </row>
    <row r="504" spans="1:18" s="191" customFormat="1" ht="10.7" hidden="1" customHeight="1" x14ac:dyDescent="0.2">
      <c r="A504" s="190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5"/>
    </row>
    <row r="505" spans="1:18" s="191" customFormat="1" ht="10.7" hidden="1" customHeight="1" x14ac:dyDescent="0.2">
      <c r="A505" s="190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5"/>
    </row>
    <row r="506" spans="1:18" s="191" customFormat="1" ht="12.75" hidden="1" x14ac:dyDescent="0.2">
      <c r="A506" s="190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5"/>
    </row>
    <row r="507" spans="1:18" s="191" customFormat="1" ht="10.7" hidden="1" customHeight="1" x14ac:dyDescent="0.2">
      <c r="A507" s="190"/>
      <c r="B507" s="40" t="s">
        <v>102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5"/>
    </row>
    <row r="508" spans="1:18" s="191" customFormat="1" ht="10.7" hidden="1" customHeight="1" x14ac:dyDescent="0.2">
      <c r="A508" s="190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5"/>
    </row>
    <row r="509" spans="1:18" s="191" customFormat="1" ht="10.7" hidden="1" customHeight="1" x14ac:dyDescent="0.2">
      <c r="A509" s="190"/>
      <c r="B509" s="40" t="s">
        <v>157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5"/>
    </row>
    <row r="510" spans="1:18" s="191" customFormat="1" ht="10.7" hidden="1" customHeight="1" x14ac:dyDescent="0.2">
      <c r="A510" s="190"/>
      <c r="B510" s="40" t="s">
        <v>76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5"/>
    </row>
    <row r="511" spans="1:18" s="191" customFormat="1" ht="10.7" hidden="1" customHeight="1" x14ac:dyDescent="0.2">
      <c r="A511" s="190"/>
      <c r="B511" s="40" t="s">
        <v>77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5"/>
    </row>
    <row r="512" spans="1:18" s="191" customFormat="1" ht="10.7" hidden="1" customHeight="1" x14ac:dyDescent="0.2">
      <c r="A512" s="190"/>
      <c r="B512" s="40" t="s">
        <v>78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5"/>
    </row>
    <row r="513" spans="1:254" s="191" customFormat="1" ht="10.7" hidden="1" customHeight="1" x14ac:dyDescent="0.2">
      <c r="A513" s="190"/>
      <c r="B513" s="40" t="s">
        <v>79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5"/>
    </row>
    <row r="514" spans="1:254" s="191" customFormat="1" ht="10.7" hidden="1" customHeight="1" x14ac:dyDescent="0.2">
      <c r="A514" s="190"/>
      <c r="B514" s="40" t="s">
        <v>80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5"/>
    </row>
    <row r="515" spans="1:254" s="191" customFormat="1" ht="10.7" hidden="1" customHeight="1" x14ac:dyDescent="0.2">
      <c r="A515" s="190"/>
      <c r="B515" s="40" t="s">
        <v>81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5"/>
    </row>
    <row r="516" spans="1:254" s="191" customFormat="1" ht="10.7" hidden="1" customHeight="1" x14ac:dyDescent="0.2">
      <c r="A516" s="190"/>
      <c r="B516" s="40" t="s">
        <v>103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5"/>
    </row>
    <row r="517" spans="1:254" s="191" customFormat="1" ht="10.7" hidden="1" customHeight="1" x14ac:dyDescent="0.2">
      <c r="A517" s="190"/>
      <c r="B517" s="40" t="s">
        <v>104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5"/>
    </row>
    <row r="518" spans="1:254" s="191" customFormat="1" ht="12.75" hidden="1" x14ac:dyDescent="0.2">
      <c r="A518" s="190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5"/>
    </row>
    <row r="519" spans="1:254" s="191" customFormat="1" ht="12.75" hidden="1" x14ac:dyDescent="0.2">
      <c r="A519" s="190"/>
      <c r="B519" s="40" t="s">
        <v>105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5"/>
    </row>
    <row r="520" spans="1:254" s="191" customFormat="1" ht="12.75" hidden="1" x14ac:dyDescent="0.2">
      <c r="A520" s="190"/>
      <c r="B520" s="57" t="s">
        <v>87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5"/>
    </row>
    <row r="521" spans="1:254" s="191" customFormat="1" ht="12.75" hidden="1" x14ac:dyDescent="0.2">
      <c r="A521" s="190"/>
      <c r="B521" s="49" t="s">
        <v>88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5"/>
    </row>
    <row r="522" spans="1:254" s="191" customFormat="1" ht="12.75" hidden="1" x14ac:dyDescent="0.2">
      <c r="A522" s="190"/>
      <c r="B522" s="49" t="s">
        <v>89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5"/>
    </row>
    <row r="523" spans="1:254" s="191" customFormat="1" ht="12.75" hidden="1" x14ac:dyDescent="0.2">
      <c r="A523" s="190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5"/>
    </row>
    <row r="524" spans="1:254" s="191" customFormat="1" ht="12.75" hidden="1" x14ac:dyDescent="0.2">
      <c r="A524" s="190"/>
      <c r="B524" s="208" t="s">
        <v>91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5"/>
    </row>
    <row r="525" spans="1:254" ht="10.7" hidden="1" customHeight="1" x14ac:dyDescent="0.2">
      <c r="B525" s="198"/>
      <c r="C525" s="198"/>
      <c r="D525" s="198"/>
      <c r="E525" s="198"/>
      <c r="F525" s="199"/>
      <c r="G525" s="198"/>
      <c r="H525" s="198"/>
      <c r="I525" s="199"/>
      <c r="J525" s="198"/>
      <c r="K525" s="198"/>
      <c r="L525" s="198"/>
      <c r="M525" s="198"/>
      <c r="N525" s="201"/>
      <c r="O525" s="198"/>
      <c r="P525" s="201"/>
      <c r="Q525" s="198"/>
      <c r="S525" s="198"/>
      <c r="T525" s="198"/>
      <c r="U525" s="198"/>
      <c r="V525" s="198"/>
      <c r="W525" s="198"/>
      <c r="X525" s="198"/>
      <c r="Y525" s="198"/>
      <c r="Z525" s="198"/>
      <c r="AA525" s="198"/>
      <c r="AB525" s="198"/>
      <c r="AC525" s="198"/>
      <c r="AD525" s="198"/>
      <c r="AE525" s="198"/>
      <c r="AF525" s="198"/>
      <c r="AG525" s="198"/>
      <c r="AH525" s="198"/>
      <c r="AI525" s="198"/>
      <c r="AJ525" s="198"/>
      <c r="AK525" s="198"/>
      <c r="AL525" s="198"/>
      <c r="AM525" s="198"/>
      <c r="AN525" s="198"/>
      <c r="AO525" s="198"/>
      <c r="AP525" s="198"/>
      <c r="AQ525" s="198"/>
      <c r="AR525" s="198"/>
      <c r="AS525" s="198"/>
      <c r="AT525" s="198"/>
      <c r="AU525" s="198"/>
      <c r="AV525" s="198"/>
      <c r="AW525" s="198"/>
      <c r="AX525" s="198"/>
      <c r="AY525" s="198"/>
      <c r="AZ525" s="19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  <c r="BZ525" s="198"/>
      <c r="CA525" s="198"/>
      <c r="CB525" s="198"/>
      <c r="CC525" s="198"/>
      <c r="CD525" s="198"/>
      <c r="CE525" s="198"/>
      <c r="CF525" s="198"/>
      <c r="CG525" s="198"/>
      <c r="CH525" s="198"/>
      <c r="CI525" s="198"/>
      <c r="CJ525" s="198"/>
      <c r="CK525" s="198"/>
      <c r="CL525" s="198"/>
      <c r="CM525" s="198"/>
      <c r="CN525" s="198"/>
      <c r="CO525" s="198"/>
      <c r="CP525" s="198"/>
      <c r="CQ525" s="198"/>
      <c r="CR525" s="198"/>
      <c r="CS525" s="198"/>
      <c r="CT525" s="198"/>
      <c r="CU525" s="198"/>
      <c r="CV525" s="198"/>
      <c r="CW525" s="198"/>
      <c r="CX525" s="198"/>
      <c r="CY525" s="198"/>
      <c r="CZ525" s="198"/>
      <c r="DA525" s="198"/>
      <c r="DB525" s="198"/>
      <c r="DC525" s="198"/>
      <c r="DD525" s="198"/>
      <c r="DE525" s="198"/>
      <c r="DF525" s="198"/>
      <c r="DG525" s="198"/>
      <c r="DH525" s="198"/>
      <c r="DI525" s="198"/>
      <c r="DJ525" s="198"/>
      <c r="DK525" s="198"/>
      <c r="DL525" s="198"/>
      <c r="DM525" s="198"/>
      <c r="DN525" s="198"/>
      <c r="DO525" s="198"/>
      <c r="DP525" s="198"/>
      <c r="DQ525" s="198"/>
      <c r="DR525" s="198"/>
      <c r="DS525" s="198"/>
      <c r="DT525" s="198"/>
      <c r="DU525" s="198"/>
      <c r="DV525" s="198"/>
      <c r="DW525" s="198"/>
      <c r="DX525" s="198"/>
      <c r="DY525" s="198"/>
      <c r="DZ525" s="198"/>
      <c r="EA525" s="198"/>
      <c r="EB525" s="198"/>
      <c r="EC525" s="198"/>
      <c r="ED525" s="198"/>
      <c r="EE525" s="198"/>
      <c r="EF525" s="198"/>
      <c r="EG525" s="198"/>
      <c r="EH525" s="198"/>
      <c r="EI525" s="198"/>
      <c r="EJ525" s="198"/>
      <c r="EK525" s="198"/>
      <c r="EL525" s="198"/>
      <c r="EM525" s="198"/>
      <c r="EN525" s="198"/>
      <c r="EO525" s="198"/>
      <c r="EP525" s="198"/>
      <c r="EQ525" s="198"/>
      <c r="ER525" s="198"/>
      <c r="ES525" s="198"/>
      <c r="ET525" s="198"/>
      <c r="EU525" s="198"/>
      <c r="EV525" s="198"/>
      <c r="EW525" s="198"/>
      <c r="EX525" s="198"/>
      <c r="EY525" s="198"/>
      <c r="EZ525" s="198"/>
      <c r="FA525" s="198"/>
      <c r="FB525" s="198"/>
      <c r="FC525" s="198"/>
      <c r="FD525" s="198"/>
      <c r="FE525" s="198"/>
      <c r="FF525" s="198"/>
      <c r="FG525" s="198"/>
      <c r="FH525" s="198"/>
      <c r="FI525" s="198"/>
      <c r="FJ525" s="198"/>
      <c r="FK525" s="198"/>
      <c r="FL525" s="198"/>
      <c r="FM525" s="198"/>
      <c r="FN525" s="198"/>
      <c r="FO525" s="198"/>
      <c r="FP525" s="198"/>
      <c r="FQ525" s="198"/>
      <c r="FR525" s="198"/>
      <c r="FS525" s="198"/>
      <c r="FT525" s="198"/>
      <c r="FU525" s="198"/>
      <c r="FV525" s="198"/>
      <c r="FW525" s="198"/>
      <c r="FX525" s="198"/>
      <c r="FY525" s="198"/>
      <c r="FZ525" s="198"/>
      <c r="GA525" s="198"/>
      <c r="GB525" s="198"/>
      <c r="GC525" s="198"/>
      <c r="GD525" s="198"/>
      <c r="GE525" s="198"/>
      <c r="GF525" s="198"/>
      <c r="GG525" s="198"/>
      <c r="GH525" s="198"/>
      <c r="GI525" s="198"/>
      <c r="GJ525" s="198"/>
      <c r="GK525" s="198"/>
      <c r="GL525" s="198"/>
      <c r="GM525" s="198"/>
      <c r="GN525" s="198"/>
      <c r="GO525" s="198"/>
      <c r="GP525" s="198"/>
      <c r="GQ525" s="198"/>
      <c r="GR525" s="198"/>
      <c r="GS525" s="198"/>
      <c r="GT525" s="198"/>
      <c r="GU525" s="198"/>
      <c r="GV525" s="198"/>
      <c r="GW525" s="198"/>
      <c r="GX525" s="198"/>
      <c r="GY525" s="198"/>
      <c r="GZ525" s="198"/>
      <c r="HA525" s="198"/>
      <c r="HB525" s="198"/>
      <c r="HC525" s="198"/>
      <c r="HD525" s="198"/>
      <c r="HE525" s="198"/>
      <c r="HF525" s="198"/>
      <c r="HG525" s="198"/>
      <c r="HH525" s="198"/>
      <c r="HI525" s="198"/>
      <c r="HJ525" s="198"/>
      <c r="HK525" s="198"/>
      <c r="HL525" s="198"/>
      <c r="HM525" s="198"/>
      <c r="HN525" s="198"/>
      <c r="HO525" s="198"/>
      <c r="HP525" s="198"/>
      <c r="HQ525" s="198"/>
      <c r="HR525" s="198"/>
      <c r="HS525" s="198"/>
      <c r="HT525" s="198"/>
      <c r="HU525" s="198"/>
      <c r="HV525" s="198"/>
      <c r="HW525" s="198"/>
      <c r="HX525" s="198"/>
      <c r="HY525" s="198"/>
      <c r="HZ525" s="198"/>
      <c r="IA525" s="198"/>
      <c r="IB525" s="198"/>
      <c r="IC525" s="198"/>
      <c r="ID525" s="198"/>
      <c r="IE525" s="198"/>
      <c r="IF525" s="198"/>
      <c r="IG525" s="198"/>
      <c r="IH525" s="198"/>
      <c r="II525" s="198"/>
      <c r="IJ525" s="198"/>
      <c r="IK525" s="198"/>
      <c r="IL525" s="198"/>
      <c r="IM525" s="198"/>
      <c r="IN525" s="198"/>
      <c r="IO525" s="198"/>
      <c r="IP525" s="198"/>
      <c r="IQ525" s="198"/>
      <c r="IR525" s="198"/>
      <c r="IS525" s="198"/>
      <c r="IT525" s="198"/>
    </row>
    <row r="526" spans="1:254" ht="10.7" hidden="1" customHeight="1" x14ac:dyDescent="0.2">
      <c r="B526" s="198"/>
      <c r="C526" s="191"/>
      <c r="D526" s="191"/>
      <c r="E526" s="191"/>
      <c r="F526" s="192"/>
      <c r="G526" s="191"/>
      <c r="H526" s="191"/>
      <c r="I526" s="192"/>
      <c r="J526" s="191"/>
      <c r="K526" s="191"/>
      <c r="L526" s="191"/>
      <c r="M526" s="191"/>
      <c r="N526" s="194"/>
      <c r="O526" s="191"/>
      <c r="P526" s="194"/>
      <c r="Q526" s="191"/>
    </row>
    <row r="527" spans="1:254" ht="10.7" hidden="1" customHeight="1" x14ac:dyDescent="0.2">
      <c r="B527" s="198"/>
      <c r="C527" s="191"/>
      <c r="D527" s="191"/>
      <c r="E527" s="191"/>
      <c r="F527" s="192"/>
      <c r="G527" s="191"/>
      <c r="H527" s="191"/>
      <c r="I527" s="192"/>
      <c r="J527" s="191"/>
      <c r="K527" s="191"/>
      <c r="L527" s="191"/>
      <c r="M527" s="191"/>
      <c r="N527" s="194"/>
      <c r="O527" s="191"/>
      <c r="P527" s="194"/>
      <c r="Q527" s="191"/>
    </row>
    <row r="528" spans="1:254" ht="10.7" customHeight="1" x14ac:dyDescent="0.2">
      <c r="B528" s="14"/>
      <c r="C528" s="15" t="s">
        <v>147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1"/>
    </row>
    <row r="529" spans="1:17" s="2" customFormat="1" ht="10.7" customHeight="1" x14ac:dyDescent="0.2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1"/>
    </row>
    <row r="530" spans="1:17" s="2" customFormat="1" ht="10.7" customHeight="1" x14ac:dyDescent="0.2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44468</v>
      </c>
      <c r="K530" s="33">
        <v>44475</v>
      </c>
      <c r="L530" s="33">
        <v>44482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1"/>
    </row>
    <row r="531" spans="1:17" s="2" customFormat="1" ht="10.7" customHeight="1" x14ac:dyDescent="0.2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1"/>
    </row>
    <row r="532" spans="1:17" s="2" customFormat="1" ht="10.7" customHeight="1" x14ac:dyDescent="0.2">
      <c r="A532" s="168"/>
      <c r="B532" s="209"/>
      <c r="C532" s="235" t="s">
        <v>106</v>
      </c>
      <c r="D532" s="235"/>
      <c r="E532" s="235"/>
      <c r="F532" s="235"/>
      <c r="G532" s="235"/>
      <c r="H532" s="235"/>
      <c r="I532" s="235"/>
      <c r="J532" s="235"/>
      <c r="K532" s="235"/>
      <c r="L532" s="235"/>
      <c r="M532" s="235"/>
      <c r="N532" s="235"/>
      <c r="O532" s="235"/>
      <c r="P532" s="210"/>
      <c r="Q532" s="191"/>
    </row>
    <row r="533" spans="1:17" s="2" customFormat="1" ht="10.7" customHeight="1" x14ac:dyDescent="0.2">
      <c r="A533" s="168"/>
      <c r="B533" s="40" t="s">
        <v>62</v>
      </c>
      <c r="C533" s="151">
        <v>0</v>
      </c>
      <c r="D533" s="152">
        <v>0</v>
      </c>
      <c r="E533" s="152">
        <v>0</v>
      </c>
      <c r="F533" s="153">
        <v>0</v>
      </c>
      <c r="G533" s="154">
        <v>0</v>
      </c>
      <c r="H533" s="183">
        <v>0</v>
      </c>
      <c r="I533" s="153">
        <v>0</v>
      </c>
      <c r="J533" s="154">
        <v>0</v>
      </c>
      <c r="K533" s="154">
        <v>0</v>
      </c>
      <c r="L533" s="154">
        <v>0</v>
      </c>
      <c r="M533" s="154">
        <v>0</v>
      </c>
      <c r="N533" s="46" t="s">
        <v>64</v>
      </c>
      <c r="O533" s="154">
        <v>0</v>
      </c>
      <c r="P533" s="41">
        <v>0</v>
      </c>
      <c r="Q533" s="191"/>
    </row>
    <row r="534" spans="1:17" s="2" customFormat="1" ht="10.7" customHeight="1" x14ac:dyDescent="0.2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3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1"/>
    </row>
    <row r="535" spans="1:17" s="2" customFormat="1" ht="10.7" customHeight="1" x14ac:dyDescent="0.2">
      <c r="A535" s="168"/>
      <c r="B535" s="40" t="s">
        <v>65</v>
      </c>
      <c r="C535" s="151">
        <v>0</v>
      </c>
      <c r="D535" s="152">
        <v>0</v>
      </c>
      <c r="E535" s="152">
        <v>0</v>
      </c>
      <c r="F535" s="153">
        <v>0</v>
      </c>
      <c r="G535" s="154">
        <v>0</v>
      </c>
      <c r="H535" s="183">
        <v>0</v>
      </c>
      <c r="I535" s="153">
        <v>0</v>
      </c>
      <c r="J535" s="154">
        <v>0</v>
      </c>
      <c r="K535" s="154">
        <v>0</v>
      </c>
      <c r="L535" s="154">
        <v>0</v>
      </c>
      <c r="M535" s="154">
        <v>0</v>
      </c>
      <c r="N535" s="46" t="s">
        <v>64</v>
      </c>
      <c r="O535" s="154">
        <v>0</v>
      </c>
      <c r="P535" s="41">
        <v>0</v>
      </c>
      <c r="Q535" s="191"/>
    </row>
    <row r="536" spans="1:17" s="2" customFormat="1" ht="10.7" customHeight="1" x14ac:dyDescent="0.2">
      <c r="A536" s="168"/>
      <c r="B536" s="40" t="s">
        <v>66</v>
      </c>
      <c r="C536" s="151">
        <v>0</v>
      </c>
      <c r="D536" s="152">
        <v>0</v>
      </c>
      <c r="E536" s="152">
        <v>0</v>
      </c>
      <c r="F536" s="153">
        <v>0</v>
      </c>
      <c r="G536" s="154">
        <v>0</v>
      </c>
      <c r="H536" s="183">
        <v>0</v>
      </c>
      <c r="I536" s="153">
        <v>0</v>
      </c>
      <c r="J536" s="154">
        <v>0</v>
      </c>
      <c r="K536" s="154">
        <v>0</v>
      </c>
      <c r="L536" s="154">
        <v>0</v>
      </c>
      <c r="M536" s="154">
        <v>0</v>
      </c>
      <c r="N536" s="46" t="s">
        <v>64</v>
      </c>
      <c r="O536" s="154">
        <v>0</v>
      </c>
      <c r="P536" s="41">
        <v>0</v>
      </c>
      <c r="Q536" s="191"/>
    </row>
    <row r="537" spans="1:17" s="2" customFormat="1" ht="10.7" customHeight="1" x14ac:dyDescent="0.2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3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1"/>
    </row>
    <row r="538" spans="1:17" s="2" customFormat="1" ht="10.7" customHeight="1" x14ac:dyDescent="0.2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3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1"/>
    </row>
    <row r="539" spans="1:17" s="2" customFormat="1" ht="11.25" customHeight="1" x14ac:dyDescent="0.2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3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1"/>
    </row>
    <row r="540" spans="1:17" s="2" customFormat="1" ht="11.25" customHeight="1" x14ac:dyDescent="0.2">
      <c r="A540" s="168"/>
      <c r="B540" s="40" t="s">
        <v>70</v>
      </c>
      <c r="C540" s="151">
        <v>0</v>
      </c>
      <c r="D540" s="152">
        <v>0</v>
      </c>
      <c r="E540" s="152">
        <v>0</v>
      </c>
      <c r="F540" s="153">
        <v>0</v>
      </c>
      <c r="G540" s="154">
        <v>0</v>
      </c>
      <c r="H540" s="183">
        <v>0</v>
      </c>
      <c r="I540" s="153">
        <v>0</v>
      </c>
      <c r="J540" s="154">
        <v>0</v>
      </c>
      <c r="K540" s="154">
        <v>0</v>
      </c>
      <c r="L540" s="154">
        <v>0</v>
      </c>
      <c r="M540" s="154">
        <v>0</v>
      </c>
      <c r="N540" s="46" t="s">
        <v>64</v>
      </c>
      <c r="O540" s="154">
        <v>0</v>
      </c>
      <c r="P540" s="41">
        <v>0</v>
      </c>
      <c r="Q540" s="191"/>
    </row>
    <row r="541" spans="1:17" s="2" customFormat="1" ht="11.25" customHeight="1" x14ac:dyDescent="0.2">
      <c r="A541" s="168"/>
      <c r="B541" s="40" t="s">
        <v>71</v>
      </c>
      <c r="C541" s="151">
        <v>0</v>
      </c>
      <c r="D541" s="152">
        <v>0</v>
      </c>
      <c r="E541" s="152">
        <v>0</v>
      </c>
      <c r="F541" s="153">
        <v>0</v>
      </c>
      <c r="G541" s="154">
        <v>0</v>
      </c>
      <c r="H541" s="183">
        <v>0</v>
      </c>
      <c r="I541" s="153">
        <v>0</v>
      </c>
      <c r="J541" s="154">
        <v>0</v>
      </c>
      <c r="K541" s="154">
        <v>0</v>
      </c>
      <c r="L541" s="154">
        <v>0</v>
      </c>
      <c r="M541" s="154">
        <v>0</v>
      </c>
      <c r="N541" s="46" t="s">
        <v>64</v>
      </c>
      <c r="O541" s="154">
        <v>0</v>
      </c>
      <c r="P541" s="41">
        <v>0</v>
      </c>
      <c r="Q541" s="191"/>
    </row>
    <row r="542" spans="1:17" s="2" customFormat="1" ht="11.25" customHeight="1" x14ac:dyDescent="0.2">
      <c r="A542" s="168"/>
      <c r="B542" s="40" t="s">
        <v>72</v>
      </c>
      <c r="C542" s="151">
        <v>0</v>
      </c>
      <c r="D542" s="152">
        <v>0</v>
      </c>
      <c r="E542" s="152">
        <v>0</v>
      </c>
      <c r="F542" s="153">
        <v>0</v>
      </c>
      <c r="G542" s="154">
        <v>0</v>
      </c>
      <c r="H542" s="183">
        <v>0</v>
      </c>
      <c r="I542" s="153">
        <v>0</v>
      </c>
      <c r="J542" s="154">
        <v>0</v>
      </c>
      <c r="K542" s="154">
        <v>0</v>
      </c>
      <c r="L542" s="154">
        <v>0</v>
      </c>
      <c r="M542" s="154">
        <v>0</v>
      </c>
      <c r="N542" s="46" t="s">
        <v>64</v>
      </c>
      <c r="O542" s="154">
        <v>0</v>
      </c>
      <c r="P542" s="41">
        <v>0</v>
      </c>
      <c r="Q542" s="191"/>
    </row>
    <row r="543" spans="1:17" s="2" customFormat="1" ht="11.25" customHeight="1" x14ac:dyDescent="0.2">
      <c r="A543" s="168"/>
      <c r="B543" s="47" t="s">
        <v>73</v>
      </c>
      <c r="C543" s="151">
        <v>0</v>
      </c>
      <c r="D543" s="152">
        <v>0</v>
      </c>
      <c r="E543" s="152">
        <v>0</v>
      </c>
      <c r="F543" s="153">
        <v>0</v>
      </c>
      <c r="G543" s="154">
        <v>0</v>
      </c>
      <c r="H543" s="183">
        <v>0</v>
      </c>
      <c r="I543" s="153">
        <v>0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>
        <v>0</v>
      </c>
      <c r="Q543" s="191"/>
    </row>
    <row r="544" spans="1:17" s="2" customFormat="1" ht="11.25" customHeight="1" x14ac:dyDescent="0.2">
      <c r="A544" s="168"/>
      <c r="B544" s="40"/>
      <c r="C544" s="154"/>
      <c r="D544" s="154"/>
      <c r="E544" s="152"/>
      <c r="F544" s="153"/>
      <c r="G544" s="154"/>
      <c r="H544" s="183"/>
      <c r="I544" s="153"/>
      <c r="J544" s="154"/>
      <c r="K544" s="154"/>
      <c r="L544" s="154"/>
      <c r="M544" s="154"/>
      <c r="N544" s="46"/>
      <c r="O544" s="154"/>
      <c r="P544" s="41"/>
      <c r="Q544" s="191"/>
    </row>
    <row r="545" spans="1:17" s="2" customFormat="1" ht="11.25" customHeight="1" x14ac:dyDescent="0.2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3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1"/>
    </row>
    <row r="546" spans="1:17" s="2" customFormat="1" ht="11.25" customHeight="1" x14ac:dyDescent="0.2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3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1"/>
    </row>
    <row r="547" spans="1:17" s="2" customFormat="1" ht="10.7" customHeight="1" x14ac:dyDescent="0.2">
      <c r="A547" s="168"/>
      <c r="B547" s="40" t="s">
        <v>157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3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1"/>
    </row>
    <row r="548" spans="1:17" s="2" customFormat="1" ht="10.7" customHeight="1" x14ac:dyDescent="0.2">
      <c r="A548" s="168"/>
      <c r="B548" s="40" t="s">
        <v>76</v>
      </c>
      <c r="C548" s="151">
        <v>0</v>
      </c>
      <c r="D548" s="152">
        <v>0</v>
      </c>
      <c r="E548" s="152">
        <v>0</v>
      </c>
      <c r="F548" s="153">
        <v>0</v>
      </c>
      <c r="G548" s="154">
        <v>0</v>
      </c>
      <c r="H548" s="183">
        <v>0</v>
      </c>
      <c r="I548" s="153">
        <v>0</v>
      </c>
      <c r="J548" s="154">
        <v>0</v>
      </c>
      <c r="K548" s="154">
        <v>0</v>
      </c>
      <c r="L548" s="154">
        <v>0</v>
      </c>
      <c r="M548" s="154">
        <v>0</v>
      </c>
      <c r="N548" s="46" t="s">
        <v>64</v>
      </c>
      <c r="O548" s="154">
        <v>0</v>
      </c>
      <c r="P548" s="41">
        <v>0</v>
      </c>
      <c r="Q548" s="191"/>
    </row>
    <row r="549" spans="1:17" s="2" customFormat="1" ht="10.7" customHeight="1" x14ac:dyDescent="0.2">
      <c r="A549" s="168"/>
      <c r="B549" s="40" t="s">
        <v>77</v>
      </c>
      <c r="C549" s="151">
        <v>0</v>
      </c>
      <c r="D549" s="152">
        <v>0</v>
      </c>
      <c r="E549" s="152">
        <v>0</v>
      </c>
      <c r="F549" s="153">
        <v>0</v>
      </c>
      <c r="G549" s="154">
        <v>0</v>
      </c>
      <c r="H549" s="183">
        <v>0</v>
      </c>
      <c r="I549" s="153">
        <v>0</v>
      </c>
      <c r="J549" s="154">
        <v>0</v>
      </c>
      <c r="K549" s="154">
        <v>0</v>
      </c>
      <c r="L549" s="154">
        <v>0</v>
      </c>
      <c r="M549" s="154">
        <v>0</v>
      </c>
      <c r="N549" s="46" t="s">
        <v>64</v>
      </c>
      <c r="O549" s="154">
        <v>0</v>
      </c>
      <c r="P549" s="41">
        <v>0</v>
      </c>
      <c r="Q549" s="191"/>
    </row>
    <row r="550" spans="1:17" s="2" customFormat="1" ht="10.7" customHeight="1" x14ac:dyDescent="0.2">
      <c r="A550" s="168"/>
      <c r="B550" s="40" t="s">
        <v>78</v>
      </c>
      <c r="C550" s="151">
        <v>0</v>
      </c>
      <c r="D550" s="152">
        <v>0</v>
      </c>
      <c r="E550" s="152">
        <v>0</v>
      </c>
      <c r="F550" s="153">
        <v>0</v>
      </c>
      <c r="G550" s="154">
        <v>0</v>
      </c>
      <c r="H550" s="183">
        <v>0</v>
      </c>
      <c r="I550" s="153">
        <v>0</v>
      </c>
      <c r="J550" s="154">
        <v>0</v>
      </c>
      <c r="K550" s="154">
        <v>0</v>
      </c>
      <c r="L550" s="154">
        <v>0</v>
      </c>
      <c r="M550" s="154">
        <v>0</v>
      </c>
      <c r="N550" s="46" t="s">
        <v>64</v>
      </c>
      <c r="O550" s="154">
        <v>0</v>
      </c>
      <c r="P550" s="41">
        <v>0</v>
      </c>
      <c r="Q550" s="191"/>
    </row>
    <row r="551" spans="1:17" s="2" customFormat="1" ht="10.7" customHeight="1" x14ac:dyDescent="0.2">
      <c r="A551" s="168"/>
      <c r="B551" s="40" t="s">
        <v>79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3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1"/>
    </row>
    <row r="552" spans="1:17" s="2" customFormat="1" ht="10.7" customHeight="1" x14ac:dyDescent="0.2">
      <c r="A552" s="168"/>
      <c r="B552" s="40" t="s">
        <v>80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3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1"/>
    </row>
    <row r="553" spans="1:17" s="2" customFormat="1" ht="10.7" customHeight="1" x14ac:dyDescent="0.2">
      <c r="A553" s="168"/>
      <c r="B553" s="40" t="s">
        <v>81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3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1"/>
    </row>
    <row r="554" spans="1:17" s="2" customFormat="1" ht="10.7" customHeight="1" x14ac:dyDescent="0.2">
      <c r="A554" s="168"/>
      <c r="B554" s="184" t="s">
        <v>82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3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1"/>
    </row>
    <row r="555" spans="1:17" s="2" customFormat="1" ht="10.7" customHeight="1" x14ac:dyDescent="0.2">
      <c r="A555" s="168"/>
      <c r="B555" s="184" t="s">
        <v>83</v>
      </c>
      <c r="C555" s="151">
        <v>0</v>
      </c>
      <c r="D555" s="152">
        <v>0</v>
      </c>
      <c r="E555" s="152">
        <v>0</v>
      </c>
      <c r="F555" s="153">
        <v>0</v>
      </c>
      <c r="G555" s="154">
        <v>0</v>
      </c>
      <c r="H555" s="183">
        <v>0</v>
      </c>
      <c r="I555" s="153">
        <v>0</v>
      </c>
      <c r="J555" s="154">
        <v>0</v>
      </c>
      <c r="K555" s="154">
        <v>0</v>
      </c>
      <c r="L555" s="154">
        <v>0</v>
      </c>
      <c r="M555" s="154">
        <v>0</v>
      </c>
      <c r="N555" s="46" t="s">
        <v>64</v>
      </c>
      <c r="O555" s="154">
        <v>0</v>
      </c>
      <c r="P555" s="41">
        <v>0</v>
      </c>
      <c r="Q555" s="191"/>
    </row>
    <row r="556" spans="1:17" s="2" customFormat="1" ht="10.7" customHeight="1" x14ac:dyDescent="0.2">
      <c r="A556" s="168"/>
      <c r="B556" s="40" t="s">
        <v>84</v>
      </c>
      <c r="C556" s="151">
        <v>0</v>
      </c>
      <c r="D556" s="152">
        <v>0</v>
      </c>
      <c r="E556" s="152">
        <v>0</v>
      </c>
      <c r="F556" s="153">
        <v>0</v>
      </c>
      <c r="G556" s="154">
        <v>0</v>
      </c>
      <c r="H556" s="183">
        <v>0</v>
      </c>
      <c r="I556" s="153">
        <v>0</v>
      </c>
      <c r="J556" s="154">
        <v>0</v>
      </c>
      <c r="K556" s="154">
        <v>0</v>
      </c>
      <c r="L556" s="154">
        <v>0</v>
      </c>
      <c r="M556" s="154">
        <v>0</v>
      </c>
      <c r="N556" s="46" t="s">
        <v>64</v>
      </c>
      <c r="O556" s="154">
        <v>0</v>
      </c>
      <c r="P556" s="41">
        <v>0</v>
      </c>
      <c r="Q556" s="191"/>
    </row>
    <row r="557" spans="1:17" s="2" customFormat="1" ht="10.7" customHeight="1" x14ac:dyDescent="0.2">
      <c r="A557" s="168"/>
      <c r="B557" s="40" t="s">
        <v>85</v>
      </c>
      <c r="C557" s="151">
        <v>0</v>
      </c>
      <c r="D557" s="152">
        <v>0</v>
      </c>
      <c r="E557" s="152">
        <v>0</v>
      </c>
      <c r="F557" s="153">
        <v>0</v>
      </c>
      <c r="G557" s="154">
        <v>0</v>
      </c>
      <c r="H557" s="183">
        <v>0</v>
      </c>
      <c r="I557" s="153">
        <v>0</v>
      </c>
      <c r="J557" s="154">
        <v>0</v>
      </c>
      <c r="K557" s="154">
        <v>0</v>
      </c>
      <c r="L557" s="154">
        <v>0</v>
      </c>
      <c r="M557" s="154">
        <v>0</v>
      </c>
      <c r="N557" s="46" t="s">
        <v>64</v>
      </c>
      <c r="O557" s="154">
        <v>0</v>
      </c>
      <c r="P557" s="41">
        <v>0</v>
      </c>
      <c r="Q557" s="191"/>
    </row>
    <row r="558" spans="1:17" s="2" customFormat="1" ht="10.7" customHeight="1" x14ac:dyDescent="0.2">
      <c r="A558" s="168"/>
      <c r="B558" s="196" t="s">
        <v>86</v>
      </c>
      <c r="C558" s="151">
        <v>0</v>
      </c>
      <c r="D558" s="154">
        <v>0</v>
      </c>
      <c r="E558" s="152">
        <v>0</v>
      </c>
      <c r="F558" s="153">
        <v>0</v>
      </c>
      <c r="G558" s="154">
        <v>0</v>
      </c>
      <c r="H558" s="183">
        <v>0</v>
      </c>
      <c r="I558" s="153">
        <v>0</v>
      </c>
      <c r="J558" s="154">
        <v>0</v>
      </c>
      <c r="K558" s="154">
        <v>0</v>
      </c>
      <c r="L558" s="154">
        <v>0</v>
      </c>
      <c r="M558" s="154">
        <v>0</v>
      </c>
      <c r="N558" s="46" t="s">
        <v>64</v>
      </c>
      <c r="O558" s="154">
        <v>0</v>
      </c>
      <c r="P558" s="41">
        <v>0</v>
      </c>
      <c r="Q558" s="191"/>
    </row>
    <row r="559" spans="1:17" s="2" customFormat="1" ht="10.7" customHeight="1" x14ac:dyDescent="0.2">
      <c r="A559" s="168"/>
      <c r="B559" s="40"/>
      <c r="C559" s="154"/>
      <c r="D559" s="154"/>
      <c r="E559" s="152"/>
      <c r="F559" s="153"/>
      <c r="G559" s="154"/>
      <c r="H559" s="183"/>
      <c r="I559" s="153"/>
      <c r="J559" s="154"/>
      <c r="K559" s="154"/>
      <c r="L559" s="154"/>
      <c r="M559" s="154"/>
      <c r="N559" s="46"/>
      <c r="O559" s="154"/>
      <c r="P559" s="41"/>
      <c r="Q559" s="191"/>
    </row>
    <row r="560" spans="1:17" s="2" customFormat="1" ht="10.7" customHeight="1" x14ac:dyDescent="0.2">
      <c r="A560" s="168"/>
      <c r="B560" s="57" t="s">
        <v>87</v>
      </c>
      <c r="C560" s="151">
        <v>0</v>
      </c>
      <c r="D560" s="152"/>
      <c r="E560" s="152"/>
      <c r="F560" s="153"/>
      <c r="G560" s="154"/>
      <c r="H560" s="183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1"/>
    </row>
    <row r="561" spans="1:20" ht="10.7" customHeight="1" x14ac:dyDescent="0.2">
      <c r="B561" s="49" t="s">
        <v>88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3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149</v>
      </c>
      <c r="Q561" s="191"/>
    </row>
    <row r="562" spans="1:20" ht="10.7" customHeight="1" x14ac:dyDescent="0.2">
      <c r="B562" s="49" t="s">
        <v>89</v>
      </c>
      <c r="C562" s="151">
        <v>0</v>
      </c>
      <c r="D562" s="152"/>
      <c r="E562" s="152"/>
      <c r="F562" s="153"/>
      <c r="G562" s="154"/>
      <c r="H562" s="183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1"/>
    </row>
    <row r="563" spans="1:20" ht="10.7" customHeight="1" x14ac:dyDescent="0.2">
      <c r="B563" s="49"/>
      <c r="C563" s="154"/>
      <c r="D563" s="152"/>
      <c r="E563" s="152"/>
      <c r="F563" s="153"/>
      <c r="G563" s="154"/>
      <c r="H563" s="183"/>
      <c r="I563" s="153"/>
      <c r="J563" s="154"/>
      <c r="K563" s="154"/>
      <c r="L563" s="154"/>
      <c r="M563" s="154"/>
      <c r="N563" s="46"/>
      <c r="O563" s="154"/>
      <c r="P563" s="41"/>
      <c r="Q563" s="191"/>
      <c r="T563" s="48"/>
    </row>
    <row r="564" spans="1:20" ht="10.7" customHeight="1" x14ac:dyDescent="0.2">
      <c r="B564" s="40" t="s">
        <v>90</v>
      </c>
      <c r="C564" s="151"/>
      <c r="D564" s="152"/>
      <c r="E564" s="152"/>
      <c r="F564" s="211">
        <v>0</v>
      </c>
      <c r="G564" s="154"/>
      <c r="H564" s="183"/>
      <c r="I564" s="153"/>
      <c r="J564" s="212"/>
      <c r="K564" s="212"/>
      <c r="L564" s="212"/>
      <c r="M564" s="212"/>
      <c r="N564" s="213"/>
      <c r="O564" s="212"/>
      <c r="P564" s="41"/>
      <c r="Q564" s="191"/>
    </row>
    <row r="565" spans="1:20" ht="10.7" customHeight="1" x14ac:dyDescent="0.2">
      <c r="B565" s="187" t="s">
        <v>91</v>
      </c>
      <c r="C565" s="157">
        <v>0</v>
      </c>
      <c r="D565" s="155">
        <v>0</v>
      </c>
      <c r="E565" s="155">
        <v>0</v>
      </c>
      <c r="F565" s="156">
        <v>0</v>
      </c>
      <c r="G565" s="155">
        <v>0</v>
      </c>
      <c r="H565" s="188">
        <v>0</v>
      </c>
      <c r="I565" s="156">
        <v>0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>
        <v>0</v>
      </c>
      <c r="Q565" s="191"/>
    </row>
    <row r="566" spans="1:20" ht="10.7" customHeight="1" x14ac:dyDescent="0.2">
      <c r="B566" s="198" t="s">
        <v>167</v>
      </c>
      <c r="C566" s="198"/>
      <c r="D566" s="191"/>
      <c r="E566" s="191"/>
      <c r="F566" s="199"/>
      <c r="G566" s="191"/>
      <c r="H566" s="191"/>
      <c r="I566" s="192"/>
      <c r="J566" s="191"/>
      <c r="K566" s="191"/>
      <c r="L566" s="191"/>
      <c r="M566" s="191"/>
      <c r="N566" s="194"/>
      <c r="O566" s="191"/>
      <c r="P566" s="194"/>
      <c r="Q566" s="191"/>
    </row>
    <row r="567" spans="1:20" ht="10.7" customHeight="1" x14ac:dyDescent="0.2">
      <c r="B567" s="198" t="s">
        <v>92</v>
      </c>
      <c r="C567" s="191"/>
      <c r="D567" s="191"/>
      <c r="E567" s="191"/>
      <c r="F567" s="192"/>
      <c r="G567" s="191"/>
      <c r="H567" s="191"/>
      <c r="I567" s="192"/>
      <c r="J567" s="191"/>
      <c r="K567" s="191"/>
      <c r="L567" s="191"/>
      <c r="M567" s="191"/>
      <c r="N567" s="194"/>
      <c r="O567" s="191"/>
      <c r="P567" s="194"/>
      <c r="Q567" s="191"/>
    </row>
    <row r="568" spans="1:20" ht="10.7" customHeight="1" x14ac:dyDescent="0.2">
      <c r="B568" s="198"/>
      <c r="C568" s="191"/>
      <c r="D568" s="191"/>
      <c r="E568" s="191"/>
      <c r="F568" s="192"/>
      <c r="G568" s="191"/>
      <c r="H568" s="191"/>
      <c r="I568" s="192"/>
      <c r="J568" s="191"/>
      <c r="K568" s="191"/>
      <c r="L568" s="191"/>
      <c r="M568" s="191"/>
      <c r="N568" s="194"/>
      <c r="O568" s="191"/>
      <c r="P568" s="194"/>
      <c r="Q568" s="191"/>
    </row>
    <row r="569" spans="1:20" s="191" customFormat="1" ht="12.75" x14ac:dyDescent="0.2">
      <c r="A569" s="190"/>
      <c r="B569" s="214"/>
      <c r="C569" s="214"/>
      <c r="D569" s="214"/>
      <c r="E569" s="214"/>
      <c r="F569" s="215"/>
      <c r="G569" s="214"/>
      <c r="H569" s="214"/>
      <c r="I569" s="215"/>
      <c r="J569" s="214"/>
      <c r="K569" s="214"/>
      <c r="L569" s="214"/>
      <c r="M569" s="214"/>
      <c r="N569" s="216"/>
      <c r="O569" s="214"/>
      <c r="P569" s="216"/>
      <c r="R569" s="185"/>
    </row>
    <row r="570" spans="1:20" s="191" customFormat="1" ht="10.7" customHeight="1" x14ac:dyDescent="0.2">
      <c r="A570" s="190"/>
      <c r="B570" s="14"/>
      <c r="C570" s="15" t="s">
        <v>147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5"/>
    </row>
    <row r="571" spans="1:20" s="191" customFormat="1" ht="10.7" customHeight="1" x14ac:dyDescent="0.2">
      <c r="A571" s="190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5"/>
    </row>
    <row r="572" spans="1:20" s="191" customFormat="1" ht="10.7" customHeight="1" x14ac:dyDescent="0.2">
      <c r="A572" s="190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44468</v>
      </c>
      <c r="K572" s="33">
        <v>44475</v>
      </c>
      <c r="L572" s="33">
        <v>44482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5"/>
    </row>
    <row r="573" spans="1:20" s="191" customFormat="1" ht="10.7" customHeight="1" x14ac:dyDescent="0.2">
      <c r="A573" s="190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5"/>
    </row>
    <row r="574" spans="1:20" s="191" customFormat="1" ht="10.7" customHeight="1" x14ac:dyDescent="0.2">
      <c r="A574" s="190"/>
      <c r="B574" s="40"/>
      <c r="C574" s="233" t="s">
        <v>143</v>
      </c>
      <c r="D574" s="235"/>
      <c r="E574" s="235"/>
      <c r="F574" s="235"/>
      <c r="G574" s="235"/>
      <c r="H574" s="235"/>
      <c r="I574" s="235"/>
      <c r="J574" s="235"/>
      <c r="K574" s="235"/>
      <c r="L574" s="235"/>
      <c r="M574" s="235"/>
      <c r="N574" s="235"/>
      <c r="O574" s="235"/>
      <c r="P574" s="41" t="s">
        <v>4</v>
      </c>
      <c r="R574" s="185"/>
    </row>
    <row r="575" spans="1:20" ht="10.7" customHeight="1" x14ac:dyDescent="0.2">
      <c r="A575" s="195"/>
      <c r="B575" s="40" t="s">
        <v>62</v>
      </c>
      <c r="C575" s="151">
        <v>3612.8</v>
      </c>
      <c r="D575" s="152">
        <v>0</v>
      </c>
      <c r="E575" s="152">
        <v>-3612</v>
      </c>
      <c r="F575" s="153">
        <v>0.8000000000001819</v>
      </c>
      <c r="G575" s="154">
        <v>0</v>
      </c>
      <c r="H575" s="183">
        <v>0</v>
      </c>
      <c r="I575" s="153">
        <v>0.8000000000001819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 t="s">
        <v>149</v>
      </c>
      <c r="Q575" s="191"/>
    </row>
    <row r="576" spans="1:20" ht="10.7" customHeight="1" x14ac:dyDescent="0.2">
      <c r="A576" s="190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3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1"/>
    </row>
    <row r="577" spans="1:18" ht="10.7" customHeight="1" x14ac:dyDescent="0.2">
      <c r="A577" s="190"/>
      <c r="B577" s="40" t="s">
        <v>66</v>
      </c>
      <c r="C577" s="151">
        <v>4300.26</v>
      </c>
      <c r="D577" s="152">
        <v>0</v>
      </c>
      <c r="E577" s="152">
        <v>0</v>
      </c>
      <c r="F577" s="153">
        <v>4300.26</v>
      </c>
      <c r="G577" s="154">
        <v>0</v>
      </c>
      <c r="H577" s="183">
        <v>0</v>
      </c>
      <c r="I577" s="153">
        <v>4300.26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 t="s">
        <v>149</v>
      </c>
      <c r="Q577" s="191"/>
    </row>
    <row r="578" spans="1:18" ht="10.7" customHeight="1" x14ac:dyDescent="0.2">
      <c r="A578" s="195"/>
      <c r="B578" s="40" t="s">
        <v>71</v>
      </c>
      <c r="C578" s="151">
        <v>3358.1</v>
      </c>
      <c r="D578" s="152">
        <v>0</v>
      </c>
      <c r="E578" s="152">
        <v>0</v>
      </c>
      <c r="F578" s="153">
        <v>3358.1</v>
      </c>
      <c r="G578" s="154">
        <v>0</v>
      </c>
      <c r="H578" s="183">
        <v>0</v>
      </c>
      <c r="I578" s="153">
        <v>3358.1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 t="s">
        <v>149</v>
      </c>
      <c r="Q578" s="191"/>
    </row>
    <row r="579" spans="1:18" s="191" customFormat="1" ht="10.7" customHeight="1" x14ac:dyDescent="0.2">
      <c r="A579" s="190"/>
      <c r="B579" s="40" t="s">
        <v>72</v>
      </c>
      <c r="C579" s="151">
        <v>638.9</v>
      </c>
      <c r="D579" s="152">
        <v>0</v>
      </c>
      <c r="E579" s="152">
        <v>-638.9</v>
      </c>
      <c r="F579" s="153">
        <v>0</v>
      </c>
      <c r="G579" s="154">
        <v>0</v>
      </c>
      <c r="H579" s="183">
        <v>0</v>
      </c>
      <c r="I579" s="153">
        <v>0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>
        <v>0</v>
      </c>
      <c r="R579" s="185"/>
    </row>
    <row r="580" spans="1:18" s="191" customFormat="1" ht="10.7" customHeight="1" x14ac:dyDescent="0.2">
      <c r="A580" s="190"/>
      <c r="B580" s="47" t="s">
        <v>73</v>
      </c>
      <c r="C580" s="151">
        <v>11910.06</v>
      </c>
      <c r="D580" s="152">
        <v>0</v>
      </c>
      <c r="E580" s="152">
        <v>-4250.8999999999996</v>
      </c>
      <c r="F580" s="153">
        <v>7659.16</v>
      </c>
      <c r="G580" s="154">
        <v>0</v>
      </c>
      <c r="H580" s="183">
        <v>0</v>
      </c>
      <c r="I580" s="153">
        <v>7659.16</v>
      </c>
      <c r="J580" s="154">
        <v>0</v>
      </c>
      <c r="K580" s="154">
        <v>0</v>
      </c>
      <c r="L580" s="154">
        <v>0</v>
      </c>
      <c r="M580" s="154">
        <v>0</v>
      </c>
      <c r="N580" s="46">
        <v>0</v>
      </c>
      <c r="O580" s="154">
        <v>0</v>
      </c>
      <c r="P580" s="41"/>
      <c r="R580" s="185"/>
    </row>
    <row r="581" spans="1:18" s="191" customFormat="1" ht="10.7" customHeight="1" x14ac:dyDescent="0.2">
      <c r="A581" s="190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3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5"/>
    </row>
    <row r="582" spans="1:18" s="191" customFormat="1" ht="10.7" customHeight="1" x14ac:dyDescent="0.2">
      <c r="A582" s="190"/>
      <c r="B582" s="40" t="s">
        <v>76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3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5"/>
    </row>
    <row r="583" spans="1:18" s="191" customFormat="1" ht="10.7" customHeight="1" x14ac:dyDescent="0.2">
      <c r="A583" s="217"/>
      <c r="B583" s="40" t="s">
        <v>77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3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4"/>
      <c r="R583" s="185"/>
    </row>
    <row r="584" spans="1:18" s="191" customFormat="1" ht="10.7" customHeight="1" x14ac:dyDescent="0.2">
      <c r="A584" s="190"/>
      <c r="B584" s="40" t="s">
        <v>78</v>
      </c>
      <c r="C584" s="151">
        <v>231.2</v>
      </c>
      <c r="D584" s="152">
        <v>0</v>
      </c>
      <c r="E584" s="152">
        <v>-231</v>
      </c>
      <c r="F584" s="153">
        <v>0.19999999999998863</v>
      </c>
      <c r="G584" s="154">
        <v>0</v>
      </c>
      <c r="H584" s="183">
        <v>0</v>
      </c>
      <c r="I584" s="153">
        <v>0.19999999999998863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149</v>
      </c>
      <c r="R584" s="185"/>
    </row>
    <row r="585" spans="1:18" s="191" customFormat="1" ht="10.7" customHeight="1" x14ac:dyDescent="0.2">
      <c r="A585" s="190"/>
      <c r="B585" s="40" t="s">
        <v>81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3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5"/>
    </row>
    <row r="586" spans="1:18" s="191" customFormat="1" ht="10.7" customHeight="1" x14ac:dyDescent="0.2">
      <c r="A586" s="190"/>
      <c r="B586" s="40" t="s">
        <v>84</v>
      </c>
      <c r="C586" s="151">
        <v>813.6</v>
      </c>
      <c r="D586" s="152">
        <v>0</v>
      </c>
      <c r="E586" s="152">
        <v>-813</v>
      </c>
      <c r="F586" s="153">
        <v>0.60000000000002274</v>
      </c>
      <c r="G586" s="154">
        <v>0</v>
      </c>
      <c r="H586" s="183">
        <v>0</v>
      </c>
      <c r="I586" s="153">
        <v>0.60000000000002274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 t="s">
        <v>149</v>
      </c>
      <c r="R586" s="185"/>
    </row>
    <row r="587" spans="1:18" s="191" customFormat="1" ht="10.7" customHeight="1" x14ac:dyDescent="0.2">
      <c r="A587" s="190"/>
      <c r="B587" s="40" t="s">
        <v>85</v>
      </c>
      <c r="C587" s="151">
        <v>0</v>
      </c>
      <c r="D587" s="152">
        <v>-230</v>
      </c>
      <c r="E587" s="152">
        <v>1</v>
      </c>
      <c r="F587" s="153">
        <v>1</v>
      </c>
      <c r="G587" s="154">
        <v>0</v>
      </c>
      <c r="H587" s="183">
        <v>0</v>
      </c>
      <c r="I587" s="153">
        <v>1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 t="s">
        <v>149</v>
      </c>
      <c r="R587" s="185"/>
    </row>
    <row r="588" spans="1:18" s="191" customFormat="1" ht="10.7" customHeight="1" x14ac:dyDescent="0.2">
      <c r="A588" s="190"/>
      <c r="B588" s="205" t="s">
        <v>148</v>
      </c>
      <c r="C588" s="191">
        <v>22</v>
      </c>
      <c r="D588" s="152">
        <v>22</v>
      </c>
      <c r="F588" s="192">
        <v>22</v>
      </c>
      <c r="I588" s="192">
        <v>22</v>
      </c>
      <c r="P588" s="218"/>
      <c r="R588" s="185"/>
    </row>
    <row r="589" spans="1:18" s="191" customFormat="1" ht="10.7" customHeight="1" x14ac:dyDescent="0.2">
      <c r="A589" s="190"/>
      <c r="B589" s="197" t="s">
        <v>91</v>
      </c>
      <c r="C589" s="157">
        <v>12976.859999999999</v>
      </c>
      <c r="D589" s="155">
        <v>-208</v>
      </c>
      <c r="E589" s="155">
        <v>-5293.9</v>
      </c>
      <c r="F589" s="156">
        <v>7682.96</v>
      </c>
      <c r="G589" s="155">
        <v>0</v>
      </c>
      <c r="H589" s="188">
        <v>0</v>
      </c>
      <c r="I589" s="156">
        <v>7682.96</v>
      </c>
      <c r="J589" s="155">
        <v>0</v>
      </c>
      <c r="K589" s="155">
        <v>0</v>
      </c>
      <c r="L589" s="155">
        <v>0</v>
      </c>
      <c r="M589" s="155">
        <v>0</v>
      </c>
      <c r="N589" s="58">
        <v>0</v>
      </c>
      <c r="O589" s="155">
        <v>0</v>
      </c>
      <c r="P589" s="54" t="s">
        <v>149</v>
      </c>
      <c r="R589" s="185"/>
    </row>
    <row r="590" spans="1:18" s="191" customFormat="1" ht="10.7" customHeight="1" x14ac:dyDescent="0.2">
      <c r="A590" s="190"/>
      <c r="B590" s="214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5"/>
    </row>
    <row r="591" spans="1:18" s="191" customFormat="1" ht="10.7" customHeight="1" x14ac:dyDescent="0.2">
      <c r="A591" s="190"/>
      <c r="B591" s="214"/>
      <c r="C591" s="238"/>
      <c r="D591" s="238"/>
      <c r="E591" s="238"/>
      <c r="F591" s="238"/>
      <c r="G591" s="238"/>
      <c r="H591" s="238"/>
      <c r="I591" s="238"/>
      <c r="J591" s="238"/>
      <c r="K591" s="238"/>
      <c r="L591" s="238"/>
      <c r="M591" s="238"/>
      <c r="N591" s="238"/>
      <c r="O591" s="238"/>
      <c r="P591" s="216"/>
      <c r="R591" s="185"/>
    </row>
    <row r="592" spans="1:18" s="191" customFormat="1" ht="10.7" customHeight="1" x14ac:dyDescent="0.2">
      <c r="A592" s="190"/>
      <c r="B592" s="14"/>
      <c r="C592" s="15" t="s">
        <v>147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5"/>
    </row>
    <row r="593" spans="1:18" s="191" customFormat="1" ht="10.7" customHeight="1" x14ac:dyDescent="0.2">
      <c r="A593" s="190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5"/>
    </row>
    <row r="594" spans="1:18" s="191" customFormat="1" ht="10.7" customHeight="1" x14ac:dyDescent="0.2">
      <c r="A594" s="190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44468</v>
      </c>
      <c r="K594" s="33">
        <v>44475</v>
      </c>
      <c r="L594" s="33">
        <v>44482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5"/>
    </row>
    <row r="595" spans="1:18" s="191" customFormat="1" ht="10.7" customHeight="1" x14ac:dyDescent="0.2">
      <c r="A595" s="190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5"/>
    </row>
    <row r="596" spans="1:18" s="191" customFormat="1" ht="10.7" customHeight="1" x14ac:dyDescent="0.2">
      <c r="A596" s="190"/>
      <c r="B596" s="40"/>
      <c r="C596" s="233" t="s">
        <v>107</v>
      </c>
      <c r="D596" s="235"/>
      <c r="E596" s="235"/>
      <c r="F596" s="235"/>
      <c r="G596" s="235"/>
      <c r="H596" s="235"/>
      <c r="I596" s="235"/>
      <c r="J596" s="235"/>
      <c r="K596" s="235"/>
      <c r="L596" s="235"/>
      <c r="M596" s="235"/>
      <c r="N596" s="235"/>
      <c r="O596" s="235"/>
      <c r="P596" s="41" t="s">
        <v>4</v>
      </c>
      <c r="R596" s="185"/>
    </row>
    <row r="597" spans="1:18" ht="10.7" customHeight="1" x14ac:dyDescent="0.2">
      <c r="A597" s="190"/>
      <c r="B597" s="40" t="s">
        <v>62</v>
      </c>
      <c r="C597" s="151">
        <v>3612.8</v>
      </c>
      <c r="D597" s="154">
        <v>0</v>
      </c>
      <c r="E597" s="154" t="s">
        <v>64</v>
      </c>
      <c r="F597" s="153">
        <v>0</v>
      </c>
      <c r="G597" s="154">
        <v>0</v>
      </c>
      <c r="H597" s="183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1"/>
    </row>
    <row r="598" spans="1:18" ht="10.7" customHeight="1" x14ac:dyDescent="0.2">
      <c r="A598" s="190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3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1"/>
    </row>
    <row r="599" spans="1:18" s="191" customFormat="1" ht="10.7" customHeight="1" x14ac:dyDescent="0.2">
      <c r="A599" s="217"/>
      <c r="B599" s="40" t="s">
        <v>66</v>
      </c>
      <c r="C599" s="151">
        <v>4300.26</v>
      </c>
      <c r="D599" s="154">
        <v>0</v>
      </c>
      <c r="E599" s="154" t="s">
        <v>64</v>
      </c>
      <c r="F599" s="153">
        <v>0</v>
      </c>
      <c r="G599" s="154">
        <v>0</v>
      </c>
      <c r="H599" s="183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14"/>
      <c r="R599" s="185"/>
    </row>
    <row r="600" spans="1:18" s="191" customFormat="1" ht="10.7" customHeight="1" x14ac:dyDescent="0.2">
      <c r="A600" s="217"/>
      <c r="B600" s="40" t="s">
        <v>71</v>
      </c>
      <c r="C600" s="151">
        <v>3358.1</v>
      </c>
      <c r="D600" s="154">
        <v>0</v>
      </c>
      <c r="E600" s="154" t="s">
        <v>64</v>
      </c>
      <c r="F600" s="153">
        <v>0</v>
      </c>
      <c r="G600" s="154">
        <v>0</v>
      </c>
      <c r="H600" s="183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14"/>
      <c r="R600" s="185"/>
    </row>
    <row r="601" spans="1:18" s="191" customFormat="1" ht="10.7" customHeight="1" x14ac:dyDescent="0.2">
      <c r="A601" s="190"/>
      <c r="B601" s="40" t="s">
        <v>72</v>
      </c>
      <c r="C601" s="151">
        <v>638.9</v>
      </c>
      <c r="D601" s="154">
        <v>0</v>
      </c>
      <c r="E601" s="154" t="s">
        <v>64</v>
      </c>
      <c r="F601" s="153">
        <v>0</v>
      </c>
      <c r="G601" s="154">
        <v>0</v>
      </c>
      <c r="H601" s="183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85"/>
    </row>
    <row r="602" spans="1:18" s="191" customFormat="1" ht="10.7" customHeight="1" x14ac:dyDescent="0.2">
      <c r="A602" s="190"/>
      <c r="B602" s="40"/>
      <c r="C602" s="151"/>
      <c r="D602" s="154"/>
      <c r="E602" s="154"/>
      <c r="F602" s="153"/>
      <c r="G602" s="154"/>
      <c r="H602" s="183"/>
      <c r="I602" s="153"/>
      <c r="J602" s="154"/>
      <c r="K602" s="154"/>
      <c r="L602" s="154"/>
      <c r="M602" s="154"/>
      <c r="N602" s="46"/>
      <c r="O602" s="154"/>
      <c r="P602" s="41"/>
      <c r="R602" s="185"/>
    </row>
    <row r="603" spans="1:18" s="191" customFormat="1" ht="10.7" customHeight="1" x14ac:dyDescent="0.2">
      <c r="A603" s="190"/>
      <c r="B603" s="47" t="s">
        <v>73</v>
      </c>
      <c r="C603" s="151">
        <v>11910.06</v>
      </c>
      <c r="D603" s="154">
        <v>0</v>
      </c>
      <c r="E603" s="152">
        <v>0</v>
      </c>
      <c r="F603" s="153">
        <v>0</v>
      </c>
      <c r="G603" s="154">
        <v>0</v>
      </c>
      <c r="H603" s="183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85"/>
    </row>
    <row r="604" spans="1:18" s="191" customFormat="1" ht="10.7" customHeight="1" x14ac:dyDescent="0.2">
      <c r="A604" s="190"/>
      <c r="B604" s="40"/>
      <c r="C604" s="151"/>
      <c r="D604" s="154"/>
      <c r="E604" s="154"/>
      <c r="F604" s="153"/>
      <c r="G604" s="154"/>
      <c r="H604" s="183"/>
      <c r="I604" s="153"/>
      <c r="J604" s="154"/>
      <c r="K604" s="154"/>
      <c r="L604" s="154"/>
      <c r="M604" s="154"/>
      <c r="N604" s="46"/>
      <c r="O604" s="154"/>
      <c r="P604" s="41"/>
      <c r="R604" s="185"/>
    </row>
    <row r="605" spans="1:18" s="191" customFormat="1" ht="10.7" customHeight="1" x14ac:dyDescent="0.2">
      <c r="A605" s="190"/>
      <c r="B605" s="40" t="s">
        <v>76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3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5"/>
    </row>
    <row r="606" spans="1:18" s="191" customFormat="1" ht="10.7" customHeight="1" x14ac:dyDescent="0.2">
      <c r="A606" s="190"/>
      <c r="B606" s="40" t="s">
        <v>77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3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5"/>
    </row>
    <row r="607" spans="1:18" s="191" customFormat="1" ht="10.7" customHeight="1" x14ac:dyDescent="0.2">
      <c r="A607" s="190"/>
      <c r="B607" s="40" t="s">
        <v>78</v>
      </c>
      <c r="C607" s="151">
        <v>231.2</v>
      </c>
      <c r="D607" s="154">
        <v>0</v>
      </c>
      <c r="E607" s="154"/>
      <c r="F607" s="153">
        <v>0</v>
      </c>
      <c r="G607" s="154">
        <v>0</v>
      </c>
      <c r="H607" s="183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5"/>
    </row>
    <row r="608" spans="1:18" s="191" customFormat="1" ht="10.7" customHeight="1" x14ac:dyDescent="0.2">
      <c r="A608" s="190"/>
      <c r="B608" s="40" t="s">
        <v>84</v>
      </c>
      <c r="C608" s="151">
        <v>813.6</v>
      </c>
      <c r="D608" s="154">
        <v>0</v>
      </c>
      <c r="E608" s="154" t="s">
        <v>64</v>
      </c>
      <c r="F608" s="153">
        <v>0</v>
      </c>
      <c r="G608" s="154">
        <v>0</v>
      </c>
      <c r="H608" s="183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85"/>
    </row>
    <row r="609" spans="1:18" s="191" customFormat="1" ht="10.7" customHeight="1" x14ac:dyDescent="0.2">
      <c r="A609" s="190"/>
      <c r="B609" s="197" t="s">
        <v>91</v>
      </c>
      <c r="C609" s="157">
        <v>12954.859999999999</v>
      </c>
      <c r="D609" s="155">
        <v>0</v>
      </c>
      <c r="E609" s="155">
        <v>0</v>
      </c>
      <c r="F609" s="156">
        <v>0</v>
      </c>
      <c r="G609" s="155">
        <v>0</v>
      </c>
      <c r="H609" s="183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85"/>
    </row>
    <row r="610" spans="1:18" s="191" customFormat="1" ht="10.7" customHeight="1" x14ac:dyDescent="0.2">
      <c r="A610" s="190"/>
      <c r="B610" s="214"/>
      <c r="C610" s="45"/>
      <c r="D610" s="45"/>
      <c r="E610" s="45"/>
      <c r="F610" s="44"/>
      <c r="G610" s="45"/>
      <c r="H610" s="219"/>
      <c r="I610" s="74"/>
      <c r="J610" s="45"/>
      <c r="K610" s="45"/>
      <c r="L610" s="45"/>
      <c r="M610" s="45"/>
      <c r="N610" s="46"/>
      <c r="O610" s="45"/>
      <c r="P610" s="48"/>
      <c r="R610" s="185"/>
    </row>
    <row r="611" spans="1:18" s="191" customFormat="1" ht="10.7" customHeight="1" x14ac:dyDescent="0.2">
      <c r="A611" s="190"/>
      <c r="B611" s="214"/>
      <c r="C611" s="230"/>
      <c r="D611" s="230"/>
      <c r="E611" s="230"/>
      <c r="F611" s="230"/>
      <c r="G611" s="230"/>
      <c r="H611" s="230"/>
      <c r="I611" s="230"/>
      <c r="J611" s="230"/>
      <c r="K611" s="230"/>
      <c r="L611" s="230"/>
      <c r="M611" s="230"/>
      <c r="N611" s="230"/>
      <c r="O611" s="230"/>
      <c r="P611" s="216"/>
      <c r="R611" s="185"/>
    </row>
    <row r="612" spans="1:18" s="191" customFormat="1" ht="10.7" customHeight="1" x14ac:dyDescent="0.2">
      <c r="A612" s="190"/>
      <c r="B612" s="14"/>
      <c r="C612" s="15" t="s">
        <v>147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5"/>
    </row>
    <row r="613" spans="1:18" s="191" customFormat="1" ht="10.7" customHeight="1" x14ac:dyDescent="0.2">
      <c r="A613" s="190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5"/>
    </row>
    <row r="614" spans="1:18" s="191" customFormat="1" ht="10.7" customHeight="1" x14ac:dyDescent="0.2">
      <c r="A614" s="190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44468</v>
      </c>
      <c r="K614" s="33">
        <v>44475</v>
      </c>
      <c r="L614" s="33">
        <v>44482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5"/>
    </row>
    <row r="615" spans="1:18" s="191" customFormat="1" ht="10.7" customHeight="1" x14ac:dyDescent="0.2">
      <c r="A615" s="190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5"/>
    </row>
    <row r="616" spans="1:18" s="191" customFormat="1" ht="10.7" customHeight="1" x14ac:dyDescent="0.2">
      <c r="A616" s="190"/>
      <c r="B616" s="40"/>
      <c r="C616" s="233" t="s">
        <v>108</v>
      </c>
      <c r="D616" s="235"/>
      <c r="E616" s="235"/>
      <c r="F616" s="235"/>
      <c r="G616" s="235"/>
      <c r="H616" s="235"/>
      <c r="I616" s="235"/>
      <c r="J616" s="235"/>
      <c r="K616" s="235"/>
      <c r="L616" s="235"/>
      <c r="M616" s="235"/>
      <c r="N616" s="235"/>
      <c r="O616" s="235"/>
      <c r="P616" s="41" t="s">
        <v>4</v>
      </c>
      <c r="R616" s="185"/>
    </row>
    <row r="617" spans="1:18" ht="10.7" customHeight="1" x14ac:dyDescent="0.2">
      <c r="A617" s="190"/>
      <c r="B617" s="40" t="s">
        <v>62</v>
      </c>
      <c r="C617" s="151">
        <v>3612.8</v>
      </c>
      <c r="D617" s="152">
        <v>0</v>
      </c>
      <c r="E617" s="154" t="s">
        <v>64</v>
      </c>
      <c r="F617" s="159">
        <v>0</v>
      </c>
      <c r="G617" s="154">
        <v>0</v>
      </c>
      <c r="H617" s="183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1"/>
    </row>
    <row r="618" spans="1:18" ht="10.7" customHeight="1" x14ac:dyDescent="0.2">
      <c r="A618" s="190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3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1"/>
    </row>
    <row r="619" spans="1:18" s="191" customFormat="1" ht="10.7" customHeight="1" x14ac:dyDescent="0.2">
      <c r="A619" s="217"/>
      <c r="B619" s="40" t="s">
        <v>66</v>
      </c>
      <c r="C619" s="151">
        <v>4300.26</v>
      </c>
      <c r="D619" s="154">
        <v>0</v>
      </c>
      <c r="E619" s="154" t="s">
        <v>64</v>
      </c>
      <c r="F619" s="153">
        <v>0</v>
      </c>
      <c r="G619" s="154">
        <v>0</v>
      </c>
      <c r="H619" s="183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14"/>
      <c r="R619" s="185"/>
    </row>
    <row r="620" spans="1:18" s="191" customFormat="1" ht="10.7" customHeight="1" x14ac:dyDescent="0.2">
      <c r="A620" s="217"/>
      <c r="B620" s="40" t="s">
        <v>71</v>
      </c>
      <c r="C620" s="151">
        <v>3358.1</v>
      </c>
      <c r="D620" s="154">
        <v>0</v>
      </c>
      <c r="E620" s="154" t="s">
        <v>64</v>
      </c>
      <c r="F620" s="153">
        <v>0</v>
      </c>
      <c r="G620" s="154">
        <v>0</v>
      </c>
      <c r="H620" s="183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14"/>
      <c r="R620" s="185"/>
    </row>
    <row r="621" spans="1:18" s="191" customFormat="1" ht="10.7" customHeight="1" x14ac:dyDescent="0.2">
      <c r="A621" s="190"/>
      <c r="B621" s="40" t="s">
        <v>72</v>
      </c>
      <c r="C621" s="151">
        <v>638.9</v>
      </c>
      <c r="D621" s="154">
        <v>0</v>
      </c>
      <c r="E621" s="154" t="s">
        <v>64</v>
      </c>
      <c r="F621" s="153">
        <v>0</v>
      </c>
      <c r="G621" s="154">
        <v>0</v>
      </c>
      <c r="H621" s="183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85"/>
    </row>
    <row r="622" spans="1:18" s="191" customFormat="1" ht="10.7" customHeight="1" x14ac:dyDescent="0.2">
      <c r="A622" s="190"/>
      <c r="B622" s="40"/>
      <c r="C622" s="151"/>
      <c r="D622" s="154"/>
      <c r="E622" s="154"/>
      <c r="F622" s="153"/>
      <c r="G622" s="154"/>
      <c r="H622" s="183">
        <v>0</v>
      </c>
      <c r="I622" s="153"/>
      <c r="J622" s="154"/>
      <c r="K622" s="154"/>
      <c r="L622" s="154"/>
      <c r="M622" s="154"/>
      <c r="N622" s="46"/>
      <c r="O622" s="154"/>
      <c r="P622" s="41"/>
      <c r="R622" s="185"/>
    </row>
    <row r="623" spans="1:18" s="191" customFormat="1" ht="10.7" customHeight="1" x14ac:dyDescent="0.2">
      <c r="A623" s="190"/>
      <c r="B623" s="47" t="s">
        <v>73</v>
      </c>
      <c r="C623" s="151">
        <v>11910.06</v>
      </c>
      <c r="D623" s="152">
        <v>0</v>
      </c>
      <c r="E623" s="152">
        <v>0</v>
      </c>
      <c r="F623" s="153">
        <v>0</v>
      </c>
      <c r="G623" s="154">
        <v>0</v>
      </c>
      <c r="H623" s="183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85"/>
    </row>
    <row r="624" spans="1:18" s="191" customFormat="1" ht="10.7" customHeight="1" x14ac:dyDescent="0.2">
      <c r="A624" s="190"/>
      <c r="B624" s="40"/>
      <c r="C624" s="151"/>
      <c r="D624" s="154"/>
      <c r="E624" s="154"/>
      <c r="F624" s="153"/>
      <c r="G624" s="154"/>
      <c r="H624" s="183">
        <v>0</v>
      </c>
      <c r="I624" s="153"/>
      <c r="J624" s="154"/>
      <c r="K624" s="154"/>
      <c r="L624" s="154"/>
      <c r="M624" s="154"/>
      <c r="N624" s="46"/>
      <c r="O624" s="154"/>
      <c r="P624" s="41"/>
      <c r="R624" s="185"/>
    </row>
    <row r="625" spans="1:254" s="191" customFormat="1" ht="10.7" customHeight="1" x14ac:dyDescent="0.2">
      <c r="A625" s="190"/>
      <c r="B625" s="40" t="s">
        <v>76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3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5"/>
    </row>
    <row r="626" spans="1:254" s="191" customFormat="1" ht="10.7" customHeight="1" x14ac:dyDescent="0.2">
      <c r="A626" s="190"/>
      <c r="B626" s="40" t="s">
        <v>77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3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5"/>
    </row>
    <row r="627" spans="1:254" s="191" customFormat="1" ht="10.7" customHeight="1" x14ac:dyDescent="0.2">
      <c r="A627" s="190"/>
      <c r="B627" s="40" t="s">
        <v>84</v>
      </c>
      <c r="C627" s="151">
        <v>813.6</v>
      </c>
      <c r="D627" s="154">
        <v>0</v>
      </c>
      <c r="E627" s="154" t="s">
        <v>64</v>
      </c>
      <c r="F627" s="153">
        <v>0</v>
      </c>
      <c r="G627" s="154">
        <v>0</v>
      </c>
      <c r="H627" s="183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85"/>
    </row>
    <row r="628" spans="1:254" s="191" customFormat="1" ht="10.7" customHeight="1" x14ac:dyDescent="0.2">
      <c r="A628" s="190"/>
      <c r="B628" s="197" t="s">
        <v>91</v>
      </c>
      <c r="C628" s="157">
        <v>12723.66</v>
      </c>
      <c r="D628" s="155">
        <v>0</v>
      </c>
      <c r="E628" s="155">
        <v>0</v>
      </c>
      <c r="F628" s="156">
        <v>0</v>
      </c>
      <c r="G628" s="155">
        <v>0</v>
      </c>
      <c r="H628" s="188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85"/>
    </row>
    <row r="629" spans="1:254" s="191" customFormat="1" ht="10.7" customHeight="1" x14ac:dyDescent="0.2">
      <c r="A629" s="190"/>
      <c r="B629" s="214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5"/>
    </row>
    <row r="630" spans="1:254" s="191" customFormat="1" ht="10.7" customHeight="1" x14ac:dyDescent="0.2">
      <c r="A630" s="190"/>
      <c r="B630" s="214"/>
      <c r="C630" s="238"/>
      <c r="D630" s="238"/>
      <c r="E630" s="238"/>
      <c r="F630" s="238"/>
      <c r="G630" s="238"/>
      <c r="H630" s="238"/>
      <c r="I630" s="238"/>
      <c r="J630" s="238"/>
      <c r="K630" s="238"/>
      <c r="L630" s="238"/>
      <c r="M630" s="238"/>
      <c r="N630" s="238"/>
      <c r="O630" s="238"/>
      <c r="P630" s="216"/>
      <c r="R630" s="185"/>
    </row>
    <row r="631" spans="1:254" s="191" customFormat="1" ht="10.7" customHeight="1" x14ac:dyDescent="0.2">
      <c r="A631" s="190"/>
      <c r="B631" s="14"/>
      <c r="C631" s="15" t="s">
        <v>147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5"/>
    </row>
    <row r="632" spans="1:254" s="191" customFormat="1" ht="10.7" customHeight="1" x14ac:dyDescent="0.2">
      <c r="A632" s="190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5"/>
    </row>
    <row r="633" spans="1:254" s="191" customFormat="1" ht="10.7" customHeight="1" x14ac:dyDescent="0.2">
      <c r="A633" s="190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44468</v>
      </c>
      <c r="K633" s="33">
        <v>44475</v>
      </c>
      <c r="L633" s="33">
        <v>44482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5"/>
    </row>
    <row r="634" spans="1:254" s="191" customFormat="1" ht="10.7" customHeight="1" x14ac:dyDescent="0.2">
      <c r="A634" s="190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5"/>
    </row>
    <row r="635" spans="1:254" s="191" customFormat="1" ht="10.7" customHeight="1" x14ac:dyDescent="0.2">
      <c r="A635" s="190"/>
      <c r="B635" s="40"/>
      <c r="C635" s="233" t="s">
        <v>109</v>
      </c>
      <c r="D635" s="235"/>
      <c r="E635" s="235"/>
      <c r="F635" s="235"/>
      <c r="G635" s="235"/>
      <c r="H635" s="235"/>
      <c r="I635" s="235"/>
      <c r="J635" s="235"/>
      <c r="K635" s="235"/>
      <c r="L635" s="235"/>
      <c r="M635" s="235"/>
      <c r="N635" s="235"/>
      <c r="O635" s="235"/>
      <c r="P635" s="41" t="s">
        <v>4</v>
      </c>
      <c r="R635" s="185"/>
    </row>
    <row r="636" spans="1:254" ht="10.7" customHeight="1" x14ac:dyDescent="0.2">
      <c r="A636" s="190"/>
      <c r="B636" s="40" t="s">
        <v>62</v>
      </c>
      <c r="C636" s="151">
        <v>0</v>
      </c>
      <c r="D636" s="152">
        <v>0</v>
      </c>
      <c r="E636" s="152">
        <v>0</v>
      </c>
      <c r="F636" s="153">
        <v>0</v>
      </c>
      <c r="G636" s="154">
        <v>0</v>
      </c>
      <c r="H636" s="183">
        <v>0</v>
      </c>
      <c r="I636" s="153">
        <v>0</v>
      </c>
      <c r="J636" s="154">
        <v>0</v>
      </c>
      <c r="K636" s="154">
        <v>0</v>
      </c>
      <c r="L636" s="154">
        <v>0</v>
      </c>
      <c r="M636" s="154">
        <v>0</v>
      </c>
      <c r="N636" s="46" t="s">
        <v>64</v>
      </c>
      <c r="O636" s="154">
        <v>0</v>
      </c>
      <c r="P636" s="41">
        <v>0</v>
      </c>
      <c r="Q636" s="191"/>
    </row>
    <row r="637" spans="1:254" ht="10.7" customHeight="1" x14ac:dyDescent="0.2">
      <c r="A637" s="190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3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1"/>
    </row>
    <row r="638" spans="1:254" ht="10.7" customHeight="1" x14ac:dyDescent="0.2">
      <c r="B638" s="40" t="s">
        <v>66</v>
      </c>
      <c r="C638" s="151">
        <v>0</v>
      </c>
      <c r="D638" s="152">
        <v>0</v>
      </c>
      <c r="E638" s="152">
        <v>0</v>
      </c>
      <c r="F638" s="153">
        <v>0</v>
      </c>
      <c r="G638" s="154">
        <v>0</v>
      </c>
      <c r="H638" s="183">
        <v>0</v>
      </c>
      <c r="I638" s="153">
        <v>0</v>
      </c>
      <c r="J638" s="154">
        <v>0</v>
      </c>
      <c r="K638" s="154">
        <v>0</v>
      </c>
      <c r="L638" s="154">
        <v>0</v>
      </c>
      <c r="M638" s="154">
        <v>0</v>
      </c>
      <c r="N638" s="46" t="s">
        <v>64</v>
      </c>
      <c r="O638" s="154">
        <v>0</v>
      </c>
      <c r="P638" s="41">
        <v>0</v>
      </c>
      <c r="Q638" s="198"/>
      <c r="S638" s="198"/>
      <c r="T638" s="198"/>
      <c r="U638" s="198"/>
      <c r="V638" s="198"/>
      <c r="W638" s="198"/>
      <c r="X638" s="198"/>
      <c r="Y638" s="198"/>
      <c r="Z638" s="198"/>
      <c r="AA638" s="198"/>
      <c r="AB638" s="198"/>
      <c r="AC638" s="198"/>
      <c r="AD638" s="198"/>
      <c r="AE638" s="198"/>
      <c r="AF638" s="198"/>
      <c r="AG638" s="198"/>
      <c r="AH638" s="198"/>
      <c r="AI638" s="198"/>
      <c r="AJ638" s="198"/>
      <c r="AK638" s="198"/>
      <c r="AL638" s="198"/>
      <c r="AM638" s="198"/>
      <c r="AN638" s="198"/>
      <c r="AO638" s="198"/>
      <c r="AP638" s="198"/>
      <c r="AQ638" s="198"/>
      <c r="AR638" s="198"/>
      <c r="AS638" s="198"/>
      <c r="AT638" s="198"/>
      <c r="AU638" s="198"/>
      <c r="AV638" s="198"/>
      <c r="AW638" s="198"/>
      <c r="AX638" s="198"/>
      <c r="AY638" s="198"/>
      <c r="AZ638" s="19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  <c r="BZ638" s="198"/>
      <c r="CA638" s="198"/>
      <c r="CB638" s="198"/>
      <c r="CC638" s="198"/>
      <c r="CD638" s="198"/>
      <c r="CE638" s="198"/>
      <c r="CF638" s="198"/>
      <c r="CG638" s="198"/>
      <c r="CH638" s="198"/>
      <c r="CI638" s="198"/>
      <c r="CJ638" s="198"/>
      <c r="CK638" s="198"/>
      <c r="CL638" s="198"/>
      <c r="CM638" s="198"/>
      <c r="CN638" s="198"/>
      <c r="CO638" s="198"/>
      <c r="CP638" s="198"/>
      <c r="CQ638" s="198"/>
      <c r="CR638" s="198"/>
      <c r="CS638" s="198"/>
      <c r="CT638" s="198"/>
      <c r="CU638" s="198"/>
      <c r="CV638" s="198"/>
      <c r="CW638" s="198"/>
      <c r="CX638" s="198"/>
      <c r="CY638" s="198"/>
      <c r="CZ638" s="198"/>
      <c r="DA638" s="198"/>
      <c r="DB638" s="198"/>
      <c r="DC638" s="198"/>
      <c r="DD638" s="198"/>
      <c r="DE638" s="198"/>
      <c r="DF638" s="198"/>
      <c r="DG638" s="198"/>
      <c r="DH638" s="198"/>
      <c r="DI638" s="198"/>
      <c r="DJ638" s="198"/>
      <c r="DK638" s="198"/>
      <c r="DL638" s="198"/>
      <c r="DM638" s="198"/>
      <c r="DN638" s="198"/>
      <c r="DO638" s="198"/>
      <c r="DP638" s="198"/>
      <c r="DQ638" s="198"/>
      <c r="DR638" s="198"/>
      <c r="DS638" s="198"/>
      <c r="DT638" s="198"/>
      <c r="DU638" s="198"/>
      <c r="DV638" s="198"/>
      <c r="DW638" s="198"/>
      <c r="DX638" s="198"/>
      <c r="DY638" s="198"/>
      <c r="DZ638" s="198"/>
      <c r="EA638" s="198"/>
      <c r="EB638" s="198"/>
      <c r="EC638" s="198"/>
      <c r="ED638" s="198"/>
      <c r="EE638" s="198"/>
      <c r="EF638" s="198"/>
      <c r="EG638" s="198"/>
      <c r="EH638" s="198"/>
      <c r="EI638" s="198"/>
      <c r="EJ638" s="198"/>
      <c r="EK638" s="198"/>
      <c r="EL638" s="198"/>
      <c r="EM638" s="198"/>
      <c r="EN638" s="198"/>
      <c r="EO638" s="198"/>
      <c r="EP638" s="198"/>
      <c r="EQ638" s="198"/>
      <c r="ER638" s="198"/>
      <c r="ES638" s="198"/>
      <c r="ET638" s="198"/>
      <c r="EU638" s="198"/>
      <c r="EV638" s="198"/>
      <c r="EW638" s="198"/>
      <c r="EX638" s="198"/>
      <c r="EY638" s="198"/>
      <c r="EZ638" s="198"/>
      <c r="FA638" s="198"/>
      <c r="FB638" s="198"/>
      <c r="FC638" s="198"/>
      <c r="FD638" s="198"/>
      <c r="FE638" s="198"/>
      <c r="FF638" s="198"/>
      <c r="FG638" s="198"/>
      <c r="FH638" s="198"/>
      <c r="FI638" s="198"/>
      <c r="FJ638" s="198"/>
      <c r="FK638" s="198"/>
      <c r="FL638" s="198"/>
      <c r="FM638" s="198"/>
      <c r="FN638" s="198"/>
      <c r="FO638" s="198"/>
      <c r="FP638" s="198"/>
      <c r="FQ638" s="198"/>
      <c r="FR638" s="198"/>
      <c r="FS638" s="198"/>
      <c r="FT638" s="198"/>
      <c r="FU638" s="198"/>
      <c r="FV638" s="198"/>
      <c r="FW638" s="198"/>
      <c r="FX638" s="198"/>
      <c r="FY638" s="198"/>
      <c r="FZ638" s="198"/>
      <c r="GA638" s="198"/>
      <c r="GB638" s="198"/>
      <c r="GC638" s="198"/>
      <c r="GD638" s="198"/>
      <c r="GE638" s="198"/>
      <c r="GF638" s="198"/>
      <c r="GG638" s="198"/>
      <c r="GH638" s="198"/>
      <c r="GI638" s="198"/>
      <c r="GJ638" s="198"/>
      <c r="GK638" s="198"/>
      <c r="GL638" s="198"/>
      <c r="GM638" s="198"/>
      <c r="GN638" s="198"/>
      <c r="GO638" s="198"/>
      <c r="GP638" s="198"/>
      <c r="GQ638" s="198"/>
      <c r="GR638" s="198"/>
      <c r="GS638" s="198"/>
      <c r="GT638" s="198"/>
      <c r="GU638" s="198"/>
      <c r="GV638" s="198"/>
      <c r="GW638" s="198"/>
      <c r="GX638" s="198"/>
      <c r="GY638" s="198"/>
      <c r="GZ638" s="198"/>
      <c r="HA638" s="198"/>
      <c r="HB638" s="198"/>
      <c r="HC638" s="198"/>
      <c r="HD638" s="198"/>
      <c r="HE638" s="198"/>
      <c r="HF638" s="198"/>
      <c r="HG638" s="198"/>
      <c r="HH638" s="198"/>
      <c r="HI638" s="198"/>
      <c r="HJ638" s="198"/>
      <c r="HK638" s="198"/>
      <c r="HL638" s="198"/>
      <c r="HM638" s="198"/>
      <c r="HN638" s="198"/>
      <c r="HO638" s="198"/>
      <c r="HP638" s="198"/>
      <c r="HQ638" s="198"/>
      <c r="HR638" s="198"/>
      <c r="HS638" s="198"/>
      <c r="HT638" s="198"/>
      <c r="HU638" s="198"/>
      <c r="HV638" s="198"/>
      <c r="HW638" s="198"/>
      <c r="HX638" s="198"/>
      <c r="HY638" s="198"/>
      <c r="HZ638" s="198"/>
      <c r="IA638" s="198"/>
      <c r="IB638" s="198"/>
      <c r="IC638" s="198"/>
      <c r="ID638" s="198"/>
      <c r="IE638" s="198"/>
      <c r="IF638" s="198"/>
      <c r="IG638" s="198"/>
      <c r="IH638" s="198"/>
      <c r="II638" s="198"/>
      <c r="IJ638" s="198"/>
      <c r="IK638" s="198"/>
      <c r="IL638" s="198"/>
      <c r="IM638" s="198"/>
      <c r="IN638" s="198"/>
      <c r="IO638" s="198"/>
      <c r="IP638" s="198"/>
      <c r="IQ638" s="198"/>
      <c r="IR638" s="198"/>
      <c r="IS638" s="198"/>
      <c r="IT638" s="198"/>
    </row>
    <row r="639" spans="1:254" ht="10.7" customHeight="1" x14ac:dyDescent="0.2">
      <c r="B639" s="40" t="s">
        <v>71</v>
      </c>
      <c r="C639" s="151">
        <v>0</v>
      </c>
      <c r="D639" s="152">
        <v>0</v>
      </c>
      <c r="E639" s="152">
        <v>0</v>
      </c>
      <c r="F639" s="153">
        <v>0</v>
      </c>
      <c r="G639" s="154">
        <v>0</v>
      </c>
      <c r="H639" s="183">
        <v>0</v>
      </c>
      <c r="I639" s="153">
        <v>0</v>
      </c>
      <c r="J639" s="154">
        <v>0</v>
      </c>
      <c r="K639" s="154">
        <v>0</v>
      </c>
      <c r="L639" s="154">
        <v>0</v>
      </c>
      <c r="M639" s="154">
        <v>0</v>
      </c>
      <c r="N639" s="46" t="s">
        <v>64</v>
      </c>
      <c r="O639" s="154">
        <v>0</v>
      </c>
      <c r="P639" s="41">
        <v>0</v>
      </c>
      <c r="Q639" s="198"/>
      <c r="S639" s="198"/>
      <c r="T639" s="198"/>
      <c r="U639" s="198"/>
      <c r="V639" s="198"/>
      <c r="W639" s="198"/>
      <c r="X639" s="198"/>
      <c r="Y639" s="198"/>
      <c r="Z639" s="198"/>
      <c r="AA639" s="198"/>
      <c r="AB639" s="198"/>
      <c r="AC639" s="198"/>
      <c r="AD639" s="198"/>
      <c r="AE639" s="198"/>
      <c r="AF639" s="198"/>
      <c r="AG639" s="198"/>
      <c r="AH639" s="198"/>
      <c r="AI639" s="198"/>
      <c r="AJ639" s="198"/>
      <c r="AK639" s="198"/>
      <c r="AL639" s="198"/>
      <c r="AM639" s="198"/>
      <c r="AN639" s="198"/>
      <c r="AO639" s="198"/>
      <c r="AP639" s="198"/>
      <c r="AQ639" s="198"/>
      <c r="AR639" s="198"/>
      <c r="AS639" s="198"/>
      <c r="AT639" s="198"/>
      <c r="AU639" s="198"/>
      <c r="AV639" s="198"/>
      <c r="AW639" s="198"/>
      <c r="AX639" s="198"/>
      <c r="AY639" s="198"/>
      <c r="AZ639" s="19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  <c r="BZ639" s="198"/>
      <c r="CA639" s="198"/>
      <c r="CB639" s="198"/>
      <c r="CC639" s="198"/>
      <c r="CD639" s="198"/>
      <c r="CE639" s="198"/>
      <c r="CF639" s="198"/>
      <c r="CG639" s="198"/>
      <c r="CH639" s="198"/>
      <c r="CI639" s="198"/>
      <c r="CJ639" s="198"/>
      <c r="CK639" s="198"/>
      <c r="CL639" s="198"/>
      <c r="CM639" s="198"/>
      <c r="CN639" s="198"/>
      <c r="CO639" s="198"/>
      <c r="CP639" s="198"/>
      <c r="CQ639" s="198"/>
      <c r="CR639" s="198"/>
      <c r="CS639" s="198"/>
      <c r="CT639" s="198"/>
      <c r="CU639" s="198"/>
      <c r="CV639" s="198"/>
      <c r="CW639" s="198"/>
      <c r="CX639" s="198"/>
      <c r="CY639" s="198"/>
      <c r="CZ639" s="198"/>
      <c r="DA639" s="198"/>
      <c r="DB639" s="198"/>
      <c r="DC639" s="198"/>
      <c r="DD639" s="198"/>
      <c r="DE639" s="198"/>
      <c r="DF639" s="198"/>
      <c r="DG639" s="198"/>
      <c r="DH639" s="198"/>
      <c r="DI639" s="198"/>
      <c r="DJ639" s="198"/>
      <c r="DK639" s="198"/>
      <c r="DL639" s="198"/>
      <c r="DM639" s="198"/>
      <c r="DN639" s="198"/>
      <c r="DO639" s="198"/>
      <c r="DP639" s="198"/>
      <c r="DQ639" s="198"/>
      <c r="DR639" s="198"/>
      <c r="DS639" s="198"/>
      <c r="DT639" s="198"/>
      <c r="DU639" s="198"/>
      <c r="DV639" s="198"/>
      <c r="DW639" s="198"/>
      <c r="DX639" s="198"/>
      <c r="DY639" s="198"/>
      <c r="DZ639" s="198"/>
      <c r="EA639" s="198"/>
      <c r="EB639" s="198"/>
      <c r="EC639" s="198"/>
      <c r="ED639" s="198"/>
      <c r="EE639" s="198"/>
      <c r="EF639" s="198"/>
      <c r="EG639" s="198"/>
      <c r="EH639" s="198"/>
      <c r="EI639" s="198"/>
      <c r="EJ639" s="198"/>
      <c r="EK639" s="198"/>
      <c r="EL639" s="198"/>
      <c r="EM639" s="198"/>
      <c r="EN639" s="198"/>
      <c r="EO639" s="198"/>
      <c r="EP639" s="198"/>
      <c r="EQ639" s="198"/>
      <c r="ER639" s="198"/>
      <c r="ES639" s="198"/>
      <c r="ET639" s="198"/>
      <c r="EU639" s="198"/>
      <c r="EV639" s="198"/>
      <c r="EW639" s="198"/>
      <c r="EX639" s="198"/>
      <c r="EY639" s="198"/>
      <c r="EZ639" s="198"/>
      <c r="FA639" s="198"/>
      <c r="FB639" s="198"/>
      <c r="FC639" s="198"/>
      <c r="FD639" s="198"/>
      <c r="FE639" s="198"/>
      <c r="FF639" s="198"/>
      <c r="FG639" s="198"/>
      <c r="FH639" s="198"/>
      <c r="FI639" s="198"/>
      <c r="FJ639" s="198"/>
      <c r="FK639" s="198"/>
      <c r="FL639" s="198"/>
      <c r="FM639" s="198"/>
      <c r="FN639" s="198"/>
      <c r="FO639" s="198"/>
      <c r="FP639" s="198"/>
      <c r="FQ639" s="198"/>
      <c r="FR639" s="198"/>
      <c r="FS639" s="198"/>
      <c r="FT639" s="198"/>
      <c r="FU639" s="198"/>
      <c r="FV639" s="198"/>
      <c r="FW639" s="198"/>
      <c r="FX639" s="198"/>
      <c r="FY639" s="198"/>
      <c r="FZ639" s="198"/>
      <c r="GA639" s="198"/>
      <c r="GB639" s="198"/>
      <c r="GC639" s="198"/>
      <c r="GD639" s="198"/>
      <c r="GE639" s="198"/>
      <c r="GF639" s="198"/>
      <c r="GG639" s="198"/>
      <c r="GH639" s="198"/>
      <c r="GI639" s="198"/>
      <c r="GJ639" s="198"/>
      <c r="GK639" s="198"/>
      <c r="GL639" s="198"/>
      <c r="GM639" s="198"/>
      <c r="GN639" s="198"/>
      <c r="GO639" s="198"/>
      <c r="GP639" s="198"/>
      <c r="GQ639" s="198"/>
      <c r="GR639" s="198"/>
      <c r="GS639" s="198"/>
      <c r="GT639" s="198"/>
      <c r="GU639" s="198"/>
      <c r="GV639" s="198"/>
      <c r="GW639" s="198"/>
      <c r="GX639" s="198"/>
      <c r="GY639" s="198"/>
      <c r="GZ639" s="198"/>
      <c r="HA639" s="198"/>
      <c r="HB639" s="198"/>
      <c r="HC639" s="198"/>
      <c r="HD639" s="198"/>
      <c r="HE639" s="198"/>
      <c r="HF639" s="198"/>
      <c r="HG639" s="198"/>
      <c r="HH639" s="198"/>
      <c r="HI639" s="198"/>
      <c r="HJ639" s="198"/>
      <c r="HK639" s="198"/>
      <c r="HL639" s="198"/>
      <c r="HM639" s="198"/>
      <c r="HN639" s="198"/>
      <c r="HO639" s="198"/>
      <c r="HP639" s="198"/>
      <c r="HQ639" s="198"/>
      <c r="HR639" s="198"/>
      <c r="HS639" s="198"/>
      <c r="HT639" s="198"/>
      <c r="HU639" s="198"/>
      <c r="HV639" s="198"/>
      <c r="HW639" s="198"/>
      <c r="HX639" s="198"/>
      <c r="HY639" s="198"/>
      <c r="HZ639" s="198"/>
      <c r="IA639" s="198"/>
      <c r="IB639" s="198"/>
      <c r="IC639" s="198"/>
      <c r="ID639" s="198"/>
      <c r="IE639" s="198"/>
      <c r="IF639" s="198"/>
      <c r="IG639" s="198"/>
      <c r="IH639" s="198"/>
      <c r="II639" s="198"/>
      <c r="IJ639" s="198"/>
      <c r="IK639" s="198"/>
      <c r="IL639" s="198"/>
      <c r="IM639" s="198"/>
      <c r="IN639" s="198"/>
      <c r="IO639" s="198"/>
      <c r="IP639" s="198"/>
      <c r="IQ639" s="198"/>
      <c r="IR639" s="198"/>
      <c r="IS639" s="198"/>
      <c r="IT639" s="198"/>
    </row>
    <row r="640" spans="1:254" ht="10.7" customHeight="1" x14ac:dyDescent="0.2">
      <c r="A640" s="190"/>
      <c r="B640" s="40" t="s">
        <v>72</v>
      </c>
      <c r="C640" s="151">
        <v>0</v>
      </c>
      <c r="D640" s="152">
        <v>0</v>
      </c>
      <c r="E640" s="152">
        <v>0</v>
      </c>
      <c r="F640" s="153">
        <v>0</v>
      </c>
      <c r="G640" s="154">
        <v>0</v>
      </c>
      <c r="H640" s="183">
        <v>0</v>
      </c>
      <c r="I640" s="153">
        <v>0</v>
      </c>
      <c r="J640" s="154">
        <v>0</v>
      </c>
      <c r="K640" s="154">
        <v>0</v>
      </c>
      <c r="L640" s="154">
        <v>0</v>
      </c>
      <c r="M640" s="154">
        <v>0</v>
      </c>
      <c r="N640" s="46" t="s">
        <v>64</v>
      </c>
      <c r="O640" s="154">
        <v>0</v>
      </c>
      <c r="P640" s="41">
        <v>0</v>
      </c>
      <c r="Q640" s="214"/>
    </row>
    <row r="641" spans="1:254" ht="10.7" customHeight="1" x14ac:dyDescent="0.2">
      <c r="A641" s="190"/>
      <c r="B641" s="40"/>
      <c r="C641" s="151"/>
      <c r="D641" s="154"/>
      <c r="E641" s="154"/>
      <c r="F641" s="153"/>
      <c r="G641" s="154"/>
      <c r="H641" s="183"/>
      <c r="I641" s="153"/>
      <c r="J641" s="154"/>
      <c r="K641" s="154"/>
      <c r="L641" s="154"/>
      <c r="M641" s="154"/>
      <c r="N641" s="46"/>
      <c r="O641" s="154"/>
      <c r="P641" s="41"/>
      <c r="Q641" s="214"/>
    </row>
    <row r="642" spans="1:254" ht="10.7" customHeight="1" x14ac:dyDescent="0.2">
      <c r="A642" s="190"/>
      <c r="B642" s="47" t="s">
        <v>73</v>
      </c>
      <c r="C642" s="151">
        <v>0</v>
      </c>
      <c r="D642" s="152">
        <v>0</v>
      </c>
      <c r="E642" s="152">
        <v>0</v>
      </c>
      <c r="F642" s="153">
        <v>0</v>
      </c>
      <c r="G642" s="154">
        <v>0</v>
      </c>
      <c r="H642" s="183">
        <v>0</v>
      </c>
      <c r="I642" s="153">
        <v>0</v>
      </c>
      <c r="J642" s="154">
        <v>0</v>
      </c>
      <c r="K642" s="154">
        <v>0</v>
      </c>
      <c r="L642" s="154">
        <v>0</v>
      </c>
      <c r="M642" s="154">
        <v>0</v>
      </c>
      <c r="N642" s="46" t="s">
        <v>64</v>
      </c>
      <c r="O642" s="154">
        <v>0</v>
      </c>
      <c r="P642" s="41">
        <v>0</v>
      </c>
      <c r="Q642" s="214"/>
    </row>
    <row r="643" spans="1:254" ht="10.7" customHeight="1" x14ac:dyDescent="0.2">
      <c r="A643" s="190"/>
      <c r="B643" s="40"/>
      <c r="C643" s="151"/>
      <c r="D643" s="154"/>
      <c r="E643" s="154"/>
      <c r="F643" s="153"/>
      <c r="G643" s="154"/>
      <c r="H643" s="183"/>
      <c r="I643" s="153"/>
      <c r="J643" s="154"/>
      <c r="K643" s="154"/>
      <c r="L643" s="154"/>
      <c r="M643" s="154"/>
      <c r="N643" s="46"/>
      <c r="O643" s="154"/>
      <c r="P643" s="41"/>
      <c r="Q643" s="214"/>
    </row>
    <row r="644" spans="1:254" ht="10.7" customHeight="1" x14ac:dyDescent="0.2">
      <c r="B644" s="40" t="s">
        <v>76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3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2"/>
      <c r="S644" s="202"/>
      <c r="T644" s="202"/>
      <c r="U644" s="202"/>
      <c r="V644" s="202"/>
      <c r="W644" s="202"/>
      <c r="X644" s="202"/>
      <c r="Y644" s="202"/>
      <c r="Z644" s="202"/>
      <c r="AA644" s="202"/>
      <c r="AB644" s="202"/>
      <c r="AC644" s="202"/>
      <c r="AD644" s="202"/>
      <c r="AE644" s="202"/>
      <c r="AF644" s="202"/>
      <c r="AG644" s="202"/>
      <c r="AH644" s="202"/>
      <c r="AI644" s="202"/>
      <c r="AJ644" s="202"/>
      <c r="AK644" s="202"/>
      <c r="AL644" s="202"/>
      <c r="AM644" s="202"/>
      <c r="AN644" s="202"/>
      <c r="AO644" s="202"/>
      <c r="AP644" s="202"/>
      <c r="AQ644" s="202"/>
      <c r="AR644" s="202"/>
      <c r="AS644" s="202"/>
      <c r="AT644" s="202"/>
      <c r="AU644" s="202"/>
      <c r="AV644" s="202"/>
      <c r="AW644" s="202"/>
      <c r="AX644" s="202"/>
      <c r="AY644" s="202"/>
      <c r="AZ644" s="202"/>
      <c r="BA644" s="202"/>
      <c r="BB644" s="202"/>
      <c r="BC644" s="202"/>
      <c r="BD644" s="202"/>
      <c r="BE644" s="202"/>
      <c r="BF644" s="202"/>
      <c r="BG644" s="202"/>
      <c r="BH644" s="202"/>
      <c r="BI644" s="202"/>
      <c r="BJ644" s="202"/>
      <c r="BK644" s="202"/>
      <c r="BL644" s="202"/>
      <c r="BM644" s="202"/>
      <c r="BN644" s="202"/>
      <c r="BO644" s="202"/>
      <c r="BP644" s="202"/>
      <c r="BQ644" s="202"/>
      <c r="BR644" s="202"/>
      <c r="BS644" s="202"/>
      <c r="BT644" s="202"/>
      <c r="BU644" s="202"/>
      <c r="BV644" s="202"/>
      <c r="BW644" s="202"/>
      <c r="BX644" s="202"/>
      <c r="BY644" s="202"/>
      <c r="BZ644" s="202"/>
      <c r="CA644" s="202"/>
      <c r="CB644" s="202"/>
      <c r="CC644" s="202"/>
      <c r="CD644" s="202"/>
      <c r="CE644" s="202"/>
      <c r="CF644" s="202"/>
      <c r="CG644" s="202"/>
      <c r="CH644" s="202"/>
      <c r="CI644" s="202"/>
      <c r="CJ644" s="202"/>
      <c r="CK644" s="202"/>
      <c r="CL644" s="202"/>
      <c r="CM644" s="202"/>
      <c r="CN644" s="202"/>
      <c r="CO644" s="202"/>
      <c r="CP644" s="202"/>
      <c r="CQ644" s="202"/>
      <c r="CR644" s="202"/>
      <c r="CS644" s="202"/>
      <c r="CT644" s="202"/>
      <c r="CU644" s="202"/>
      <c r="CV644" s="202"/>
      <c r="CW644" s="202"/>
      <c r="CX644" s="202"/>
      <c r="CY644" s="202"/>
      <c r="CZ644" s="202"/>
      <c r="DA644" s="202"/>
      <c r="DB644" s="202"/>
      <c r="DC644" s="202"/>
      <c r="DD644" s="202"/>
      <c r="DE644" s="202"/>
      <c r="DF644" s="202"/>
      <c r="DG644" s="202"/>
      <c r="DH644" s="202"/>
      <c r="DI644" s="202"/>
      <c r="DJ644" s="202"/>
      <c r="DK644" s="202"/>
      <c r="DL644" s="202"/>
      <c r="DM644" s="202"/>
      <c r="DN644" s="202"/>
      <c r="DO644" s="202"/>
      <c r="DP644" s="202"/>
      <c r="DQ644" s="202"/>
      <c r="DR644" s="202"/>
      <c r="DS644" s="202"/>
      <c r="DT644" s="202"/>
      <c r="DU644" s="202"/>
      <c r="DV644" s="202"/>
      <c r="DW644" s="202"/>
      <c r="DX644" s="202"/>
      <c r="DY644" s="202"/>
      <c r="DZ644" s="202"/>
      <c r="EA644" s="202"/>
      <c r="EB644" s="202"/>
      <c r="EC644" s="202"/>
      <c r="ED644" s="202"/>
      <c r="EE644" s="202"/>
      <c r="EF644" s="202"/>
      <c r="EG644" s="202"/>
      <c r="EH644" s="202"/>
      <c r="EI644" s="202"/>
      <c r="EJ644" s="202"/>
      <c r="EK644" s="202"/>
      <c r="EL644" s="202"/>
      <c r="EM644" s="202"/>
      <c r="EN644" s="202"/>
      <c r="EO644" s="202"/>
      <c r="EP644" s="202"/>
      <c r="EQ644" s="202"/>
      <c r="ER644" s="202"/>
      <c r="ES644" s="202"/>
      <c r="ET644" s="202"/>
      <c r="EU644" s="202"/>
      <c r="EV644" s="202"/>
      <c r="EW644" s="202"/>
      <c r="EX644" s="202"/>
      <c r="EY644" s="202"/>
      <c r="EZ644" s="202"/>
      <c r="FA644" s="202"/>
      <c r="FB644" s="202"/>
      <c r="FC644" s="202"/>
      <c r="FD644" s="202"/>
      <c r="FE644" s="202"/>
      <c r="FF644" s="202"/>
      <c r="FG644" s="202"/>
      <c r="FH644" s="202"/>
      <c r="FI644" s="202"/>
      <c r="FJ644" s="202"/>
      <c r="FK644" s="202"/>
      <c r="FL644" s="202"/>
      <c r="FM644" s="202"/>
      <c r="FN644" s="202"/>
      <c r="FO644" s="202"/>
      <c r="FP644" s="202"/>
      <c r="FQ644" s="202"/>
      <c r="FR644" s="202"/>
      <c r="FS644" s="202"/>
      <c r="FT644" s="202"/>
      <c r="FU644" s="202"/>
      <c r="FV644" s="202"/>
      <c r="FW644" s="202"/>
      <c r="FX644" s="202"/>
      <c r="FY644" s="202"/>
      <c r="FZ644" s="202"/>
      <c r="GA644" s="202"/>
      <c r="GB644" s="202"/>
      <c r="GC644" s="202"/>
      <c r="GD644" s="202"/>
      <c r="GE644" s="202"/>
      <c r="GF644" s="202"/>
      <c r="GG644" s="202"/>
      <c r="GH644" s="202"/>
      <c r="GI644" s="202"/>
      <c r="GJ644" s="202"/>
      <c r="GK644" s="202"/>
      <c r="GL644" s="202"/>
      <c r="GM644" s="202"/>
      <c r="GN644" s="202"/>
      <c r="GO644" s="202"/>
      <c r="GP644" s="202"/>
      <c r="GQ644" s="202"/>
      <c r="GR644" s="202"/>
      <c r="GS644" s="202"/>
      <c r="GT644" s="202"/>
      <c r="GU644" s="202"/>
      <c r="GV644" s="202"/>
      <c r="GW644" s="202"/>
      <c r="GX644" s="202"/>
      <c r="GY644" s="202"/>
      <c r="GZ644" s="202"/>
      <c r="HA644" s="202"/>
      <c r="HB644" s="202"/>
      <c r="HC644" s="202"/>
      <c r="HD644" s="202"/>
      <c r="HE644" s="202"/>
      <c r="HF644" s="202"/>
      <c r="HG644" s="202"/>
      <c r="HH644" s="202"/>
      <c r="HI644" s="202"/>
      <c r="HJ644" s="202"/>
      <c r="HK644" s="202"/>
      <c r="HL644" s="202"/>
      <c r="HM644" s="202"/>
      <c r="HN644" s="202"/>
      <c r="HO644" s="202"/>
      <c r="HP644" s="202"/>
      <c r="HQ644" s="202"/>
      <c r="HR644" s="202"/>
      <c r="HS644" s="202"/>
      <c r="HT644" s="202"/>
      <c r="HU644" s="202"/>
      <c r="HV644" s="202"/>
      <c r="HW644" s="202"/>
      <c r="HX644" s="202"/>
      <c r="HY644" s="202"/>
      <c r="HZ644" s="202"/>
      <c r="IA644" s="202"/>
      <c r="IB644" s="202"/>
      <c r="IC644" s="202"/>
      <c r="ID644" s="202"/>
      <c r="IE644" s="202"/>
      <c r="IF644" s="202"/>
      <c r="IG644" s="202"/>
      <c r="IH644" s="202"/>
      <c r="II644" s="202"/>
      <c r="IJ644" s="202"/>
      <c r="IK644" s="202"/>
      <c r="IL644" s="202"/>
      <c r="IM644" s="202"/>
      <c r="IN644" s="202"/>
      <c r="IO644" s="202"/>
      <c r="IP644" s="202"/>
      <c r="IQ644" s="202"/>
      <c r="IR644" s="202"/>
      <c r="IS644" s="202"/>
      <c r="IT644" s="202"/>
    </row>
    <row r="645" spans="1:254" ht="10.7" customHeight="1" x14ac:dyDescent="0.2">
      <c r="B645" s="40" t="s">
        <v>77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3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1"/>
    </row>
    <row r="646" spans="1:254" ht="10.7" customHeight="1" x14ac:dyDescent="0.2">
      <c r="A646" s="190"/>
      <c r="B646" s="40" t="s">
        <v>78</v>
      </c>
      <c r="C646" s="151">
        <v>0</v>
      </c>
      <c r="D646" s="152">
        <v>0</v>
      </c>
      <c r="E646" s="152">
        <v>0</v>
      </c>
      <c r="F646" s="153">
        <v>0</v>
      </c>
      <c r="G646" s="154">
        <v>0</v>
      </c>
      <c r="H646" s="183">
        <v>0</v>
      </c>
      <c r="I646" s="153">
        <v>0</v>
      </c>
      <c r="J646" s="154">
        <v>0</v>
      </c>
      <c r="K646" s="154">
        <v>0</v>
      </c>
      <c r="L646" s="154">
        <v>0</v>
      </c>
      <c r="M646" s="154">
        <v>0</v>
      </c>
      <c r="N646" s="46" t="s">
        <v>64</v>
      </c>
      <c r="O646" s="154">
        <v>0</v>
      </c>
      <c r="P646" s="41">
        <v>0</v>
      </c>
      <c r="Q646" s="214"/>
    </row>
    <row r="647" spans="1:254" ht="10.7" customHeight="1" x14ac:dyDescent="0.2">
      <c r="A647" s="190"/>
      <c r="B647" s="40" t="s">
        <v>84</v>
      </c>
      <c r="C647" s="151">
        <v>0</v>
      </c>
      <c r="D647" s="152">
        <v>0</v>
      </c>
      <c r="E647" s="152">
        <v>0</v>
      </c>
      <c r="F647" s="153">
        <v>0</v>
      </c>
      <c r="G647" s="154">
        <v>0</v>
      </c>
      <c r="H647" s="183">
        <v>0</v>
      </c>
      <c r="I647" s="153">
        <v>0</v>
      </c>
      <c r="J647" s="154">
        <v>0</v>
      </c>
      <c r="K647" s="154">
        <v>0</v>
      </c>
      <c r="L647" s="154">
        <v>0</v>
      </c>
      <c r="M647" s="154">
        <v>0</v>
      </c>
      <c r="N647" s="46" t="s">
        <v>64</v>
      </c>
      <c r="O647" s="154">
        <v>0</v>
      </c>
      <c r="P647" s="41">
        <v>0</v>
      </c>
      <c r="Q647" s="214"/>
    </row>
    <row r="648" spans="1:254" ht="10.7" customHeight="1" x14ac:dyDescent="0.2">
      <c r="A648" s="190"/>
      <c r="B648" s="197" t="s">
        <v>91</v>
      </c>
      <c r="C648" s="157">
        <v>0</v>
      </c>
      <c r="D648" s="160">
        <v>0</v>
      </c>
      <c r="E648" s="155">
        <v>0</v>
      </c>
      <c r="F648" s="156">
        <v>0</v>
      </c>
      <c r="G648" s="155">
        <v>0</v>
      </c>
      <c r="H648" s="188">
        <v>0</v>
      </c>
      <c r="I648" s="156">
        <v>0</v>
      </c>
      <c r="J648" s="155">
        <v>0</v>
      </c>
      <c r="K648" s="155">
        <v>0</v>
      </c>
      <c r="L648" s="155">
        <v>0</v>
      </c>
      <c r="M648" s="155">
        <v>0</v>
      </c>
      <c r="N648" s="58" t="s">
        <v>64</v>
      </c>
      <c r="O648" s="155">
        <v>0</v>
      </c>
      <c r="P648" s="54">
        <v>0</v>
      </c>
      <c r="Q648" s="214"/>
    </row>
    <row r="649" spans="1:254" ht="12.75" x14ac:dyDescent="0.2">
      <c r="A649" s="190"/>
      <c r="B649" s="198" t="s">
        <v>167</v>
      </c>
      <c r="C649" s="198"/>
      <c r="D649" s="198"/>
      <c r="E649" s="198"/>
      <c r="F649" s="199"/>
      <c r="G649" s="198"/>
      <c r="H649" s="198"/>
      <c r="I649" s="199"/>
      <c r="J649" s="198"/>
      <c r="K649" s="198"/>
      <c r="L649" s="198"/>
      <c r="M649" s="198"/>
      <c r="N649" s="201"/>
      <c r="O649" s="198"/>
      <c r="P649" s="201"/>
      <c r="Q649" s="214"/>
    </row>
    <row r="650" spans="1:254" ht="12.75" x14ac:dyDescent="0.2">
      <c r="A650" s="190"/>
      <c r="B650" s="198"/>
      <c r="C650" s="202"/>
      <c r="D650" s="202"/>
      <c r="E650" s="202"/>
      <c r="F650" s="203"/>
      <c r="G650" s="202"/>
      <c r="H650" s="202"/>
      <c r="I650" s="203"/>
      <c r="J650" s="202"/>
      <c r="K650" s="202"/>
      <c r="L650" s="202"/>
      <c r="M650" s="202"/>
      <c r="N650" s="194"/>
      <c r="O650" s="202"/>
      <c r="P650" s="194"/>
      <c r="Q650" s="214"/>
    </row>
    <row r="651" spans="1:254" ht="12.75" x14ac:dyDescent="0.2">
      <c r="A651" s="190"/>
      <c r="B651" s="198"/>
      <c r="C651" s="202"/>
      <c r="D651" s="202"/>
      <c r="E651" s="202"/>
      <c r="F651" s="203"/>
      <c r="G651" s="202"/>
      <c r="H651" s="202"/>
      <c r="I651" s="203"/>
      <c r="J651" s="202"/>
      <c r="K651" s="202"/>
      <c r="L651" s="202"/>
      <c r="M651" s="202"/>
      <c r="N651" s="194"/>
      <c r="O651" s="202"/>
      <c r="P651" s="194"/>
      <c r="Q651" s="214"/>
    </row>
    <row r="652" spans="1:254" s="185" customFormat="1" ht="10.7" customHeight="1" x14ac:dyDescent="0.2">
      <c r="A652" s="220"/>
      <c r="B652" s="2"/>
      <c r="C652" s="2"/>
      <c r="D652" s="2"/>
      <c r="E652" s="2"/>
      <c r="F652" s="55"/>
      <c r="G652" s="2"/>
      <c r="H652" s="214"/>
      <c r="I652" s="44"/>
      <c r="J652" s="45"/>
      <c r="K652" s="45"/>
      <c r="L652" s="45"/>
      <c r="M652" s="45"/>
      <c r="N652" s="48"/>
      <c r="O652" s="45"/>
      <c r="P652" s="48"/>
    </row>
    <row r="653" spans="1:254" s="191" customFormat="1" ht="10.7" customHeight="1" x14ac:dyDescent="0.2">
      <c r="A653" s="190"/>
      <c r="B653" s="14"/>
      <c r="C653" s="15" t="s">
        <v>147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254" s="191" customFormat="1" ht="10.7" customHeight="1" x14ac:dyDescent="0.2">
      <c r="A654" s="190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254" s="191" customFormat="1" ht="11.25" x14ac:dyDescent="0.2">
      <c r="A655" s="190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44468</v>
      </c>
      <c r="K655" s="33">
        <v>44475</v>
      </c>
      <c r="L655" s="33">
        <v>44482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1.25" x14ac:dyDescent="0.2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1"/>
      <c r="R656" s="191"/>
    </row>
    <row r="657" spans="2:18" s="2" customFormat="1" ht="11.25" x14ac:dyDescent="0.2">
      <c r="B657" s="40"/>
      <c r="C657" s="239" t="s">
        <v>110</v>
      </c>
      <c r="D657" s="240"/>
      <c r="E657" s="240"/>
      <c r="F657" s="240"/>
      <c r="G657" s="240"/>
      <c r="H657" s="240"/>
      <c r="I657" s="240"/>
      <c r="J657" s="240"/>
      <c r="K657" s="240"/>
      <c r="L657" s="240"/>
      <c r="M657" s="240"/>
      <c r="N657" s="240"/>
      <c r="O657" s="240"/>
      <c r="P657" s="41" t="s">
        <v>4</v>
      </c>
      <c r="Q657" s="191"/>
      <c r="R657" s="191"/>
    </row>
    <row r="658" spans="2:18" s="2" customFormat="1" ht="11.25" x14ac:dyDescent="0.2">
      <c r="B658" s="221" t="s">
        <v>62</v>
      </c>
      <c r="C658" s="151">
        <v>0</v>
      </c>
      <c r="D658" s="152">
        <v>0</v>
      </c>
      <c r="E658" s="152">
        <v>0</v>
      </c>
      <c r="F658" s="153">
        <v>0</v>
      </c>
      <c r="G658" s="154">
        <v>0</v>
      </c>
      <c r="H658" s="183">
        <v>0</v>
      </c>
      <c r="I658" s="153">
        <v>0</v>
      </c>
      <c r="J658" s="154">
        <v>0</v>
      </c>
      <c r="K658" s="154">
        <v>0</v>
      </c>
      <c r="L658" s="154">
        <v>0</v>
      </c>
      <c r="M658" s="154">
        <v>0</v>
      </c>
      <c r="N658" s="46" t="s">
        <v>64</v>
      </c>
      <c r="O658" s="154">
        <v>0</v>
      </c>
      <c r="P658" s="41">
        <v>0</v>
      </c>
      <c r="Q658" s="191"/>
      <c r="R658" s="191"/>
    </row>
    <row r="659" spans="2:18" s="2" customFormat="1" ht="11.25" x14ac:dyDescent="0.2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3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150</v>
      </c>
      <c r="Q659" s="191"/>
      <c r="R659" s="191"/>
    </row>
    <row r="660" spans="2:18" s="2" customFormat="1" ht="11.25" x14ac:dyDescent="0.2">
      <c r="B660" s="40" t="s">
        <v>65</v>
      </c>
      <c r="C660" s="151">
        <v>0</v>
      </c>
      <c r="D660" s="152">
        <v>0</v>
      </c>
      <c r="E660" s="152">
        <v>0</v>
      </c>
      <c r="F660" s="153">
        <v>0</v>
      </c>
      <c r="G660" s="154">
        <v>0</v>
      </c>
      <c r="H660" s="183">
        <v>0</v>
      </c>
      <c r="I660" s="153">
        <v>0</v>
      </c>
      <c r="J660" s="154">
        <v>0</v>
      </c>
      <c r="K660" s="154">
        <v>0</v>
      </c>
      <c r="L660" s="154">
        <v>0</v>
      </c>
      <c r="M660" s="154">
        <v>0</v>
      </c>
      <c r="N660" s="46" t="s">
        <v>64</v>
      </c>
      <c r="O660" s="154">
        <v>0</v>
      </c>
      <c r="P660" s="41" t="s">
        <v>150</v>
      </c>
      <c r="Q660" s="191"/>
      <c r="R660" s="191"/>
    </row>
    <row r="661" spans="2:18" s="2" customFormat="1" ht="11.25" x14ac:dyDescent="0.2">
      <c r="B661" s="40" t="s">
        <v>66</v>
      </c>
      <c r="C661" s="151">
        <v>0</v>
      </c>
      <c r="D661" s="152">
        <v>0</v>
      </c>
      <c r="E661" s="152">
        <v>0</v>
      </c>
      <c r="F661" s="153">
        <v>0</v>
      </c>
      <c r="G661" s="154">
        <v>0</v>
      </c>
      <c r="H661" s="183">
        <v>0</v>
      </c>
      <c r="I661" s="153">
        <v>0</v>
      </c>
      <c r="J661" s="154">
        <v>0</v>
      </c>
      <c r="K661" s="154">
        <v>0</v>
      </c>
      <c r="L661" s="154">
        <v>0</v>
      </c>
      <c r="M661" s="154">
        <v>0</v>
      </c>
      <c r="N661" s="46" t="s">
        <v>64</v>
      </c>
      <c r="O661" s="154">
        <v>0</v>
      </c>
      <c r="P661" s="41" t="s">
        <v>150</v>
      </c>
      <c r="Q661" s="191"/>
      <c r="R661" s="191"/>
    </row>
    <row r="662" spans="2:18" s="2" customFormat="1" ht="11.25" x14ac:dyDescent="0.2">
      <c r="B662" s="40" t="s">
        <v>67</v>
      </c>
      <c r="C662" s="151">
        <v>0</v>
      </c>
      <c r="D662" s="152">
        <v>0</v>
      </c>
      <c r="E662" s="152">
        <v>0</v>
      </c>
      <c r="F662" s="153">
        <v>0</v>
      </c>
      <c r="G662" s="154">
        <v>0</v>
      </c>
      <c r="H662" s="183">
        <v>0</v>
      </c>
      <c r="I662" s="153">
        <v>0</v>
      </c>
      <c r="J662" s="154">
        <v>0</v>
      </c>
      <c r="K662" s="154">
        <v>0</v>
      </c>
      <c r="L662" s="154">
        <v>0</v>
      </c>
      <c r="M662" s="154">
        <v>0</v>
      </c>
      <c r="N662" s="46" t="s">
        <v>64</v>
      </c>
      <c r="O662" s="154">
        <v>0</v>
      </c>
      <c r="P662" s="41" t="s">
        <v>150</v>
      </c>
      <c r="Q662" s="191"/>
      <c r="R662" s="191"/>
    </row>
    <row r="663" spans="2:18" s="2" customFormat="1" ht="11.25" x14ac:dyDescent="0.2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3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150</v>
      </c>
      <c r="Q663" s="191"/>
      <c r="R663" s="191"/>
    </row>
    <row r="664" spans="2:18" s="2" customFormat="1" ht="11.25" x14ac:dyDescent="0.2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3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150</v>
      </c>
      <c r="Q664" s="191"/>
      <c r="R664" s="191"/>
    </row>
    <row r="665" spans="2:18" s="2" customFormat="1" ht="11.25" x14ac:dyDescent="0.2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3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150</v>
      </c>
      <c r="Q665" s="191"/>
      <c r="R665" s="191"/>
    </row>
    <row r="666" spans="2:18" s="2" customFormat="1" ht="11.25" x14ac:dyDescent="0.2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3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1"/>
      <c r="R666" s="191"/>
    </row>
    <row r="667" spans="2:18" s="2" customFormat="1" ht="11.25" x14ac:dyDescent="0.2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3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1"/>
      <c r="R667" s="191"/>
    </row>
    <row r="668" spans="2:18" s="2" customFormat="1" ht="11.25" x14ac:dyDescent="0.2">
      <c r="B668" s="47" t="s">
        <v>73</v>
      </c>
      <c r="C668" s="151">
        <v>0</v>
      </c>
      <c r="D668" s="152">
        <v>0</v>
      </c>
      <c r="E668" s="152">
        <v>0</v>
      </c>
      <c r="F668" s="153">
        <v>0</v>
      </c>
      <c r="G668" s="154">
        <v>0</v>
      </c>
      <c r="H668" s="183">
        <v>0</v>
      </c>
      <c r="I668" s="153">
        <v>0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>
        <v>0</v>
      </c>
      <c r="Q668" s="191"/>
      <c r="R668" s="191"/>
    </row>
    <row r="669" spans="2:18" s="2" customFormat="1" ht="11.25" x14ac:dyDescent="0.2">
      <c r="B669" s="40"/>
      <c r="C669" s="151"/>
      <c r="D669" s="152"/>
      <c r="E669" s="152"/>
      <c r="F669" s="153"/>
      <c r="G669" s="154"/>
      <c r="H669" s="183"/>
      <c r="I669" s="153"/>
      <c r="J669" s="154"/>
      <c r="K669" s="154"/>
      <c r="L669" s="154"/>
      <c r="M669" s="154"/>
      <c r="N669" s="46"/>
      <c r="O669" s="154"/>
      <c r="P669" s="41"/>
      <c r="Q669" s="191"/>
      <c r="R669" s="191"/>
    </row>
    <row r="670" spans="2:18" s="2" customFormat="1" ht="11.25" x14ac:dyDescent="0.2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3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1"/>
      <c r="R670" s="191"/>
    </row>
    <row r="671" spans="2:18" s="2" customFormat="1" ht="11.25" x14ac:dyDescent="0.2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3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1"/>
      <c r="R671" s="191"/>
    </row>
    <row r="672" spans="2:18" s="2" customFormat="1" ht="11.25" x14ac:dyDescent="0.2">
      <c r="B672" s="40" t="s">
        <v>157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3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150</v>
      </c>
      <c r="Q672" s="191"/>
      <c r="R672" s="191"/>
    </row>
    <row r="673" spans="2:18" s="2" customFormat="1" ht="11.25" x14ac:dyDescent="0.2">
      <c r="B673" s="40" t="s">
        <v>76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3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150</v>
      </c>
      <c r="Q673" s="191"/>
      <c r="R673" s="191"/>
    </row>
    <row r="674" spans="2:18" s="2" customFormat="1" ht="11.25" x14ac:dyDescent="0.2">
      <c r="B674" s="40" t="s">
        <v>77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3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1"/>
      <c r="R674" s="191"/>
    </row>
    <row r="675" spans="2:18" s="2" customFormat="1" ht="11.25" x14ac:dyDescent="0.2">
      <c r="B675" s="40" t="s">
        <v>78</v>
      </c>
      <c r="C675" s="151">
        <v>0</v>
      </c>
      <c r="D675" s="152">
        <v>0</v>
      </c>
      <c r="E675" s="152">
        <v>0</v>
      </c>
      <c r="F675" s="153">
        <v>0</v>
      </c>
      <c r="G675" s="154">
        <v>0</v>
      </c>
      <c r="H675" s="183">
        <v>0</v>
      </c>
      <c r="I675" s="153">
        <v>0</v>
      </c>
      <c r="J675" s="154">
        <v>0</v>
      </c>
      <c r="K675" s="154">
        <v>0</v>
      </c>
      <c r="L675" s="154">
        <v>0</v>
      </c>
      <c r="M675" s="154">
        <v>0</v>
      </c>
      <c r="N675" s="46" t="s">
        <v>64</v>
      </c>
      <c r="O675" s="154">
        <v>0</v>
      </c>
      <c r="P675" s="41">
        <v>0</v>
      </c>
      <c r="Q675" s="191"/>
      <c r="R675" s="191"/>
    </row>
    <row r="676" spans="2:18" s="2" customFormat="1" ht="11.25" x14ac:dyDescent="0.2">
      <c r="B676" s="40" t="s">
        <v>79</v>
      </c>
      <c r="C676" s="151">
        <v>0</v>
      </c>
      <c r="D676" s="152">
        <v>0</v>
      </c>
      <c r="E676" s="152">
        <v>0</v>
      </c>
      <c r="F676" s="153">
        <v>0</v>
      </c>
      <c r="G676" s="154">
        <v>0</v>
      </c>
      <c r="H676" s="183">
        <v>0</v>
      </c>
      <c r="I676" s="153">
        <v>0</v>
      </c>
      <c r="J676" s="154">
        <v>0</v>
      </c>
      <c r="K676" s="154">
        <v>0</v>
      </c>
      <c r="L676" s="154">
        <v>0</v>
      </c>
      <c r="M676" s="154">
        <v>0</v>
      </c>
      <c r="N676" s="46" t="s">
        <v>64</v>
      </c>
      <c r="O676" s="154">
        <v>0</v>
      </c>
      <c r="P676" s="41">
        <v>0</v>
      </c>
      <c r="Q676" s="191"/>
      <c r="R676" s="191"/>
    </row>
    <row r="677" spans="2:18" s="2" customFormat="1" ht="11.25" x14ac:dyDescent="0.2">
      <c r="B677" s="40" t="s">
        <v>80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3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150</v>
      </c>
      <c r="Q677" s="191"/>
      <c r="R677" s="191"/>
    </row>
    <row r="678" spans="2:18" s="2" customFormat="1" ht="11.25" x14ac:dyDescent="0.2">
      <c r="B678" s="40" t="s">
        <v>81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3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150</v>
      </c>
      <c r="Q678" s="191"/>
      <c r="R678" s="191"/>
    </row>
    <row r="679" spans="2:18" s="2" customFormat="1" ht="11.25" x14ac:dyDescent="0.2">
      <c r="B679" s="184" t="s">
        <v>82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3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150</v>
      </c>
      <c r="Q679" s="191"/>
      <c r="R679" s="191"/>
    </row>
    <row r="680" spans="2:18" s="2" customFormat="1" ht="11.25" x14ac:dyDescent="0.2">
      <c r="B680" s="221" t="s">
        <v>111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3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1"/>
      <c r="R680" s="191"/>
    </row>
    <row r="681" spans="2:18" s="2" customFormat="1" ht="11.25" x14ac:dyDescent="0.2">
      <c r="B681" s="205" t="s">
        <v>84</v>
      </c>
      <c r="C681" s="151">
        <v>0</v>
      </c>
      <c r="D681" s="152">
        <v>0</v>
      </c>
      <c r="E681" s="152">
        <v>0</v>
      </c>
      <c r="F681" s="153">
        <v>0</v>
      </c>
      <c r="G681" s="154">
        <v>0</v>
      </c>
      <c r="H681" s="183">
        <v>0</v>
      </c>
      <c r="I681" s="153">
        <v>0</v>
      </c>
      <c r="J681" s="154">
        <v>0</v>
      </c>
      <c r="K681" s="154">
        <v>0</v>
      </c>
      <c r="L681" s="154">
        <v>0</v>
      </c>
      <c r="M681" s="154">
        <v>0</v>
      </c>
      <c r="N681" s="46" t="s">
        <v>64</v>
      </c>
      <c r="O681" s="154">
        <v>0</v>
      </c>
      <c r="P681" s="41">
        <v>0</v>
      </c>
      <c r="Q681" s="191"/>
      <c r="R681" s="191"/>
    </row>
    <row r="682" spans="2:18" s="2" customFormat="1" ht="11.25" x14ac:dyDescent="0.2">
      <c r="B682" s="40" t="s">
        <v>85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3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150</v>
      </c>
      <c r="Q682" s="191"/>
      <c r="R682" s="191"/>
    </row>
    <row r="683" spans="2:18" s="2" customFormat="1" ht="11.25" x14ac:dyDescent="0.2">
      <c r="B683" s="196" t="s">
        <v>86</v>
      </c>
      <c r="C683" s="151">
        <v>0</v>
      </c>
      <c r="D683" s="152">
        <v>0</v>
      </c>
      <c r="E683" s="152">
        <v>0</v>
      </c>
      <c r="F683" s="153">
        <v>0</v>
      </c>
      <c r="G683" s="154">
        <v>0</v>
      </c>
      <c r="H683" s="183">
        <v>0</v>
      </c>
      <c r="I683" s="153">
        <v>0</v>
      </c>
      <c r="J683" s="154">
        <v>0</v>
      </c>
      <c r="K683" s="154">
        <v>0</v>
      </c>
      <c r="L683" s="154">
        <v>0</v>
      </c>
      <c r="M683" s="154">
        <v>0</v>
      </c>
      <c r="N683" s="46" t="s">
        <v>64</v>
      </c>
      <c r="O683" s="154">
        <v>0</v>
      </c>
      <c r="P683" s="41">
        <v>0</v>
      </c>
      <c r="Q683" s="191"/>
      <c r="R683" s="191"/>
    </row>
    <row r="684" spans="2:18" s="2" customFormat="1" ht="11.25" x14ac:dyDescent="0.2">
      <c r="B684" s="205"/>
      <c r="C684" s="151"/>
      <c r="D684" s="152"/>
      <c r="E684" s="152"/>
      <c r="F684" s="153"/>
      <c r="G684" s="154"/>
      <c r="H684" s="183"/>
      <c r="I684" s="153"/>
      <c r="J684" s="154"/>
      <c r="K684" s="154"/>
      <c r="L684" s="154"/>
      <c r="M684" s="154"/>
      <c r="N684" s="46"/>
      <c r="O684" s="154"/>
      <c r="P684" s="41"/>
      <c r="Q684" s="191"/>
      <c r="R684" s="191"/>
    </row>
    <row r="685" spans="2:18" s="2" customFormat="1" ht="11.25" x14ac:dyDescent="0.2">
      <c r="B685" s="57" t="s">
        <v>87</v>
      </c>
      <c r="C685" s="151">
        <v>0</v>
      </c>
      <c r="D685" s="152"/>
      <c r="E685" s="152"/>
      <c r="F685" s="153">
        <v>0</v>
      </c>
      <c r="G685" s="154"/>
      <c r="H685" s="183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150</v>
      </c>
      <c r="Q685" s="191"/>
      <c r="R685" s="191"/>
    </row>
    <row r="686" spans="2:18" s="2" customFormat="1" ht="11.25" x14ac:dyDescent="0.2">
      <c r="B686" s="49" t="s">
        <v>88</v>
      </c>
      <c r="C686" s="151">
        <v>0</v>
      </c>
      <c r="D686" s="152">
        <v>0</v>
      </c>
      <c r="E686" s="152">
        <v>0</v>
      </c>
      <c r="F686" s="153">
        <v>0</v>
      </c>
      <c r="G686" s="154">
        <v>0</v>
      </c>
      <c r="H686" s="183">
        <v>0</v>
      </c>
      <c r="I686" s="153">
        <v>0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150</v>
      </c>
      <c r="Q686" s="191"/>
      <c r="R686" s="191"/>
    </row>
    <row r="687" spans="2:18" s="2" customFormat="1" ht="11.25" x14ac:dyDescent="0.2">
      <c r="B687" s="49" t="s">
        <v>89</v>
      </c>
      <c r="C687" s="151"/>
      <c r="D687" s="152"/>
      <c r="E687" s="152"/>
      <c r="F687" s="153"/>
      <c r="G687" s="154"/>
      <c r="H687" s="183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150</v>
      </c>
      <c r="Q687" s="191"/>
      <c r="R687" s="191"/>
    </row>
    <row r="688" spans="2:18" s="2" customFormat="1" ht="11.25" x14ac:dyDescent="0.2">
      <c r="B688" s="49"/>
      <c r="C688" s="151"/>
      <c r="D688" s="152"/>
      <c r="E688" s="152"/>
      <c r="F688" s="153"/>
      <c r="G688" s="154"/>
      <c r="H688" s="183"/>
      <c r="I688" s="153"/>
      <c r="J688" s="154"/>
      <c r="K688" s="154"/>
      <c r="L688" s="154"/>
      <c r="M688" s="154"/>
      <c r="N688" s="46"/>
      <c r="O688" s="154"/>
      <c r="P688" s="41"/>
      <c r="Q688" s="191"/>
      <c r="R688" s="191"/>
    </row>
    <row r="689" spans="2:18" s="2" customFormat="1" ht="11.25" x14ac:dyDescent="0.2">
      <c r="B689" s="40" t="s">
        <v>90</v>
      </c>
      <c r="C689" s="151">
        <v>0</v>
      </c>
      <c r="D689" s="152"/>
      <c r="E689" s="152"/>
      <c r="F689" s="153">
        <v>0</v>
      </c>
      <c r="G689" s="154"/>
      <c r="H689" s="183"/>
      <c r="I689" s="153">
        <v>0</v>
      </c>
      <c r="J689" s="154"/>
      <c r="K689" s="154"/>
      <c r="L689" s="154"/>
      <c r="M689" s="154"/>
      <c r="N689" s="46"/>
      <c r="O689" s="154"/>
      <c r="P689" s="41"/>
      <c r="Q689" s="191"/>
      <c r="R689" s="191"/>
    </row>
    <row r="690" spans="2:18" s="2" customFormat="1" ht="11.25" x14ac:dyDescent="0.2">
      <c r="B690" s="197" t="s">
        <v>91</v>
      </c>
      <c r="C690" s="157">
        <v>0</v>
      </c>
      <c r="D690" s="155">
        <v>0</v>
      </c>
      <c r="E690" s="155">
        <v>0</v>
      </c>
      <c r="F690" s="156">
        <v>0</v>
      </c>
      <c r="G690" s="155">
        <v>0</v>
      </c>
      <c r="H690" s="188">
        <v>0</v>
      </c>
      <c r="I690" s="156">
        <v>0</v>
      </c>
      <c r="J690" s="155">
        <v>0</v>
      </c>
      <c r="K690" s="155">
        <v>0</v>
      </c>
      <c r="L690" s="155">
        <v>0</v>
      </c>
      <c r="M690" s="155">
        <v>0</v>
      </c>
      <c r="N690" s="58" t="s">
        <v>64</v>
      </c>
      <c r="O690" s="155">
        <v>0</v>
      </c>
      <c r="P690" s="54" t="s">
        <v>150</v>
      </c>
      <c r="Q690" s="191"/>
      <c r="R690" s="191"/>
    </row>
    <row r="691" spans="2:18" s="2" customFormat="1" ht="11.25" x14ac:dyDescent="0.2">
      <c r="B691" s="191"/>
      <c r="C691" s="191"/>
      <c r="D691" s="191"/>
      <c r="E691" s="191"/>
      <c r="F691" s="192"/>
      <c r="G691" s="191"/>
      <c r="H691" s="191"/>
      <c r="I691" s="192"/>
      <c r="J691" s="191"/>
      <c r="K691" s="191"/>
      <c r="L691" s="191"/>
      <c r="M691" s="191"/>
      <c r="N691" s="194"/>
      <c r="O691" s="191"/>
      <c r="P691" s="194"/>
      <c r="Q691" s="191"/>
      <c r="R691" s="191"/>
    </row>
    <row r="692" spans="2:18" s="2" customFormat="1" ht="11.25" x14ac:dyDescent="0.2">
      <c r="B692" s="191"/>
      <c r="C692" s="191"/>
      <c r="D692" s="191"/>
      <c r="E692" s="191"/>
      <c r="F692" s="192"/>
      <c r="G692" s="191"/>
      <c r="H692" s="191"/>
      <c r="I692" s="192"/>
      <c r="J692" s="191"/>
      <c r="K692" s="191"/>
      <c r="L692" s="191"/>
      <c r="M692" s="191"/>
      <c r="N692" s="194"/>
      <c r="O692" s="191"/>
      <c r="P692" s="194"/>
      <c r="Q692" s="191"/>
      <c r="R692" s="191"/>
    </row>
    <row r="693" spans="2:18" s="2" customFormat="1" ht="11.25" x14ac:dyDescent="0.2">
      <c r="B693" s="14"/>
      <c r="C693" s="15" t="s">
        <v>147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1"/>
      <c r="R693" s="191"/>
    </row>
    <row r="694" spans="2:18" s="2" customFormat="1" ht="11.25" x14ac:dyDescent="0.2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1"/>
      <c r="R694" s="191"/>
    </row>
    <row r="695" spans="2:18" s="2" customFormat="1" ht="11.25" x14ac:dyDescent="0.2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44468</v>
      </c>
      <c r="K695" s="33">
        <v>44475</v>
      </c>
      <c r="L695" s="33">
        <v>44482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1"/>
      <c r="R695" s="191"/>
    </row>
    <row r="696" spans="2:18" s="2" customFormat="1" ht="11.25" x14ac:dyDescent="0.2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1"/>
      <c r="R696" s="191"/>
    </row>
    <row r="697" spans="2:18" s="2" customFormat="1" ht="11.25" x14ac:dyDescent="0.2">
      <c r="B697" s="40"/>
      <c r="C697" s="233" t="s">
        <v>112</v>
      </c>
      <c r="D697" s="235"/>
      <c r="E697" s="235"/>
      <c r="F697" s="235"/>
      <c r="G697" s="235"/>
      <c r="H697" s="235"/>
      <c r="I697" s="235"/>
      <c r="J697" s="235"/>
      <c r="K697" s="235"/>
      <c r="L697" s="235"/>
      <c r="M697" s="235"/>
      <c r="N697" s="235"/>
      <c r="O697" s="235"/>
      <c r="P697" s="41" t="s">
        <v>4</v>
      </c>
      <c r="Q697" s="191"/>
      <c r="R697" s="191"/>
    </row>
    <row r="698" spans="2:18" s="2" customFormat="1" ht="11.25" x14ac:dyDescent="0.2">
      <c r="B698" s="40" t="s">
        <v>62</v>
      </c>
      <c r="C698" s="151">
        <v>0</v>
      </c>
      <c r="D698" s="152">
        <v>0</v>
      </c>
      <c r="E698" s="152">
        <v>0</v>
      </c>
      <c r="F698" s="153">
        <v>0</v>
      </c>
      <c r="G698" s="154">
        <v>0</v>
      </c>
      <c r="H698" s="183">
        <v>0</v>
      </c>
      <c r="I698" s="153">
        <v>0</v>
      </c>
      <c r="J698" s="154">
        <v>0</v>
      </c>
      <c r="K698" s="154">
        <v>0</v>
      </c>
      <c r="L698" s="154">
        <v>0</v>
      </c>
      <c r="M698" s="154">
        <v>0</v>
      </c>
      <c r="N698" s="46" t="s">
        <v>64</v>
      </c>
      <c r="O698" s="154">
        <v>0</v>
      </c>
      <c r="P698" s="41">
        <v>0</v>
      </c>
      <c r="Q698" s="191"/>
      <c r="R698" s="191"/>
    </row>
    <row r="699" spans="2:18" s="2" customFormat="1" ht="11.25" x14ac:dyDescent="0.2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3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150</v>
      </c>
      <c r="Q699" s="191"/>
      <c r="R699" s="191"/>
    </row>
    <row r="700" spans="2:18" s="2" customFormat="1" ht="11.25" x14ac:dyDescent="0.2">
      <c r="B700" s="40" t="s">
        <v>65</v>
      </c>
      <c r="C700" s="151">
        <v>0</v>
      </c>
      <c r="D700" s="152">
        <v>0</v>
      </c>
      <c r="E700" s="152">
        <v>0</v>
      </c>
      <c r="F700" s="153">
        <v>0</v>
      </c>
      <c r="G700" s="154">
        <v>0</v>
      </c>
      <c r="H700" s="183">
        <v>0</v>
      </c>
      <c r="I700" s="153">
        <v>0</v>
      </c>
      <c r="J700" s="154">
        <v>0</v>
      </c>
      <c r="K700" s="154">
        <v>0</v>
      </c>
      <c r="L700" s="154">
        <v>0</v>
      </c>
      <c r="M700" s="154">
        <v>0</v>
      </c>
      <c r="N700" s="46" t="s">
        <v>64</v>
      </c>
      <c r="O700" s="154">
        <v>0</v>
      </c>
      <c r="P700" s="41" t="s">
        <v>150</v>
      </c>
      <c r="Q700" s="191"/>
      <c r="R700" s="191"/>
    </row>
    <row r="701" spans="2:18" s="2" customFormat="1" ht="11.25" x14ac:dyDescent="0.2">
      <c r="B701" s="40" t="s">
        <v>66</v>
      </c>
      <c r="C701" s="151">
        <v>0</v>
      </c>
      <c r="D701" s="152">
        <v>0</v>
      </c>
      <c r="E701" s="152">
        <v>0</v>
      </c>
      <c r="F701" s="153">
        <v>0</v>
      </c>
      <c r="G701" s="154">
        <v>0</v>
      </c>
      <c r="H701" s="183">
        <v>0</v>
      </c>
      <c r="I701" s="153">
        <v>0</v>
      </c>
      <c r="J701" s="154">
        <v>0</v>
      </c>
      <c r="K701" s="154">
        <v>0</v>
      </c>
      <c r="L701" s="154">
        <v>0</v>
      </c>
      <c r="M701" s="154">
        <v>0</v>
      </c>
      <c r="N701" s="46" t="s">
        <v>64</v>
      </c>
      <c r="O701" s="154">
        <v>0</v>
      </c>
      <c r="P701" s="41" t="s">
        <v>150</v>
      </c>
      <c r="Q701" s="191"/>
      <c r="R701" s="191"/>
    </row>
    <row r="702" spans="2:18" s="2" customFormat="1" ht="11.25" x14ac:dyDescent="0.2">
      <c r="B702" s="40" t="s">
        <v>67</v>
      </c>
      <c r="C702" s="151">
        <v>0</v>
      </c>
      <c r="D702" s="152">
        <v>0</v>
      </c>
      <c r="E702" s="152">
        <v>0</v>
      </c>
      <c r="F702" s="153">
        <v>0</v>
      </c>
      <c r="G702" s="154">
        <v>0</v>
      </c>
      <c r="H702" s="183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150</v>
      </c>
      <c r="Q702" s="191"/>
      <c r="R702" s="191"/>
    </row>
    <row r="703" spans="2:18" s="2" customFormat="1" ht="11.25" x14ac:dyDescent="0.2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3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150</v>
      </c>
      <c r="Q703" s="191"/>
      <c r="R703" s="191"/>
    </row>
    <row r="704" spans="2:18" s="2" customFormat="1" ht="11.25" x14ac:dyDescent="0.2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3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150</v>
      </c>
      <c r="Q704" s="191"/>
      <c r="R704" s="191"/>
    </row>
    <row r="705" spans="2:18" s="2" customFormat="1" ht="11.25" x14ac:dyDescent="0.2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3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150</v>
      </c>
      <c r="Q705" s="191"/>
      <c r="R705" s="191"/>
    </row>
    <row r="706" spans="2:18" s="2" customFormat="1" ht="11.25" x14ac:dyDescent="0.2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3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1"/>
      <c r="R706" s="191"/>
    </row>
    <row r="707" spans="2:18" s="2" customFormat="1" ht="11.25" x14ac:dyDescent="0.2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3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1"/>
      <c r="R707" s="191"/>
    </row>
    <row r="708" spans="2:18" s="2" customFormat="1" ht="11.25" x14ac:dyDescent="0.2">
      <c r="B708" s="47" t="s">
        <v>73</v>
      </c>
      <c r="C708" s="151">
        <v>0</v>
      </c>
      <c r="D708" s="152">
        <v>0</v>
      </c>
      <c r="E708" s="152">
        <v>0</v>
      </c>
      <c r="F708" s="153">
        <v>0</v>
      </c>
      <c r="G708" s="154">
        <v>0</v>
      </c>
      <c r="H708" s="183">
        <v>0</v>
      </c>
      <c r="I708" s="153">
        <v>0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>
        <v>0</v>
      </c>
      <c r="Q708" s="191"/>
      <c r="R708" s="191"/>
    </row>
    <row r="709" spans="2:18" s="2" customFormat="1" ht="11.25" x14ac:dyDescent="0.2">
      <c r="B709" s="40"/>
      <c r="C709" s="151"/>
      <c r="D709" s="154"/>
      <c r="E709" s="152"/>
      <c r="F709" s="153"/>
      <c r="G709" s="154"/>
      <c r="H709" s="183"/>
      <c r="I709" s="153"/>
      <c r="J709" s="154"/>
      <c r="K709" s="154"/>
      <c r="L709" s="154"/>
      <c r="M709" s="154"/>
      <c r="N709" s="46"/>
      <c r="O709" s="154"/>
      <c r="P709" s="41"/>
      <c r="Q709" s="191"/>
      <c r="R709" s="191"/>
    </row>
    <row r="710" spans="2:18" s="2" customFormat="1" ht="11.25" x14ac:dyDescent="0.2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3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1"/>
      <c r="R710" s="191"/>
    </row>
    <row r="711" spans="2:18" s="2" customFormat="1" ht="11.25" x14ac:dyDescent="0.2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3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1"/>
      <c r="R711" s="191"/>
    </row>
    <row r="712" spans="2:18" s="2" customFormat="1" ht="11.25" x14ac:dyDescent="0.2">
      <c r="B712" s="40" t="s">
        <v>157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3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150</v>
      </c>
      <c r="Q712" s="191"/>
      <c r="R712" s="191"/>
    </row>
    <row r="713" spans="2:18" s="2" customFormat="1" ht="11.25" x14ac:dyDescent="0.2">
      <c r="B713" s="40" t="s">
        <v>76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3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150</v>
      </c>
      <c r="Q713" s="191"/>
      <c r="R713" s="191"/>
    </row>
    <row r="714" spans="2:18" s="2" customFormat="1" ht="11.25" x14ac:dyDescent="0.2">
      <c r="B714" s="40" t="s">
        <v>77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3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1"/>
      <c r="R714" s="191"/>
    </row>
    <row r="715" spans="2:18" s="2" customFormat="1" ht="11.25" x14ac:dyDescent="0.2">
      <c r="B715" s="40" t="s">
        <v>78</v>
      </c>
      <c r="C715" s="151">
        <v>0</v>
      </c>
      <c r="D715" s="152">
        <v>0</v>
      </c>
      <c r="E715" s="152">
        <v>0</v>
      </c>
      <c r="F715" s="153">
        <v>0</v>
      </c>
      <c r="G715" s="154">
        <v>0</v>
      </c>
      <c r="H715" s="183">
        <v>0</v>
      </c>
      <c r="I715" s="153">
        <v>0</v>
      </c>
      <c r="J715" s="154">
        <v>0</v>
      </c>
      <c r="K715" s="154">
        <v>0</v>
      </c>
      <c r="L715" s="154">
        <v>0</v>
      </c>
      <c r="M715" s="154">
        <v>0</v>
      </c>
      <c r="N715" s="46" t="s">
        <v>64</v>
      </c>
      <c r="O715" s="154">
        <v>0</v>
      </c>
      <c r="P715" s="41">
        <v>0</v>
      </c>
      <c r="Q715" s="191"/>
      <c r="R715" s="191"/>
    </row>
    <row r="716" spans="2:18" s="2" customFormat="1" ht="11.25" x14ac:dyDescent="0.2">
      <c r="B716" s="40" t="s">
        <v>79</v>
      </c>
      <c r="C716" s="151">
        <v>0</v>
      </c>
      <c r="D716" s="152">
        <v>0</v>
      </c>
      <c r="E716" s="152">
        <v>0</v>
      </c>
      <c r="F716" s="153">
        <v>0</v>
      </c>
      <c r="G716" s="154">
        <v>0</v>
      </c>
      <c r="H716" s="183">
        <v>0</v>
      </c>
      <c r="I716" s="153">
        <v>0</v>
      </c>
      <c r="J716" s="154">
        <v>0</v>
      </c>
      <c r="K716" s="154">
        <v>0</v>
      </c>
      <c r="L716" s="154">
        <v>0</v>
      </c>
      <c r="M716" s="154">
        <v>0</v>
      </c>
      <c r="N716" s="46" t="s">
        <v>64</v>
      </c>
      <c r="O716" s="154">
        <v>0</v>
      </c>
      <c r="P716" s="41">
        <v>0</v>
      </c>
      <c r="Q716" s="191"/>
      <c r="R716" s="191"/>
    </row>
    <row r="717" spans="2:18" s="2" customFormat="1" ht="11.25" x14ac:dyDescent="0.2">
      <c r="B717" s="40" t="s">
        <v>80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3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150</v>
      </c>
      <c r="Q717" s="191"/>
      <c r="R717" s="191"/>
    </row>
    <row r="718" spans="2:18" s="2" customFormat="1" ht="11.25" x14ac:dyDescent="0.2">
      <c r="B718" s="40" t="s">
        <v>81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3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150</v>
      </c>
      <c r="Q718" s="191"/>
      <c r="R718" s="191"/>
    </row>
    <row r="719" spans="2:18" s="2" customFormat="1" ht="11.25" x14ac:dyDescent="0.2">
      <c r="B719" s="184" t="s">
        <v>82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3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150</v>
      </c>
      <c r="Q719" s="191"/>
      <c r="R719" s="191"/>
    </row>
    <row r="720" spans="2:18" s="2" customFormat="1" ht="11.25" x14ac:dyDescent="0.2">
      <c r="B720" s="221" t="s">
        <v>111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3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1"/>
      <c r="R720" s="191"/>
    </row>
    <row r="721" spans="2:18" s="2" customFormat="1" ht="11.25" x14ac:dyDescent="0.2">
      <c r="B721" s="205" t="s">
        <v>84</v>
      </c>
      <c r="C721" s="151">
        <v>0</v>
      </c>
      <c r="D721" s="152">
        <v>0</v>
      </c>
      <c r="E721" s="152">
        <v>0</v>
      </c>
      <c r="F721" s="153">
        <v>0</v>
      </c>
      <c r="G721" s="154">
        <v>0</v>
      </c>
      <c r="H721" s="183">
        <v>0</v>
      </c>
      <c r="I721" s="153">
        <v>0</v>
      </c>
      <c r="J721" s="154">
        <v>0</v>
      </c>
      <c r="K721" s="154">
        <v>0</v>
      </c>
      <c r="L721" s="154">
        <v>0</v>
      </c>
      <c r="M721" s="154">
        <v>0</v>
      </c>
      <c r="N721" s="46" t="s">
        <v>64</v>
      </c>
      <c r="O721" s="154">
        <v>0</v>
      </c>
      <c r="P721" s="41">
        <v>0</v>
      </c>
      <c r="Q721" s="191"/>
      <c r="R721" s="191"/>
    </row>
    <row r="722" spans="2:18" s="2" customFormat="1" ht="11.25" x14ac:dyDescent="0.2">
      <c r="B722" s="40" t="s">
        <v>85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3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150</v>
      </c>
      <c r="Q722" s="191"/>
      <c r="R722" s="191"/>
    </row>
    <row r="723" spans="2:18" s="2" customFormat="1" ht="11.25" x14ac:dyDescent="0.2">
      <c r="B723" s="196" t="s">
        <v>86</v>
      </c>
      <c r="C723" s="151">
        <v>0</v>
      </c>
      <c r="D723" s="154">
        <v>0</v>
      </c>
      <c r="E723" s="152">
        <v>0</v>
      </c>
      <c r="F723" s="153">
        <v>0</v>
      </c>
      <c r="G723" s="154">
        <v>0</v>
      </c>
      <c r="H723" s="183">
        <v>0</v>
      </c>
      <c r="I723" s="153">
        <v>0</v>
      </c>
      <c r="J723" s="154">
        <v>0</v>
      </c>
      <c r="K723" s="154">
        <v>0</v>
      </c>
      <c r="L723" s="154">
        <v>0</v>
      </c>
      <c r="M723" s="154">
        <v>0</v>
      </c>
      <c r="N723" s="46" t="s">
        <v>64</v>
      </c>
      <c r="O723" s="154">
        <v>0</v>
      </c>
      <c r="P723" s="41">
        <v>0</v>
      </c>
      <c r="Q723" s="191"/>
      <c r="R723" s="191"/>
    </row>
    <row r="724" spans="2:18" s="2" customFormat="1" ht="11.25" x14ac:dyDescent="0.2">
      <c r="B724" s="205"/>
      <c r="C724" s="151"/>
      <c r="D724" s="154"/>
      <c r="E724" s="152"/>
      <c r="F724" s="153"/>
      <c r="G724" s="154"/>
      <c r="H724" s="183"/>
      <c r="I724" s="153"/>
      <c r="J724" s="154"/>
      <c r="K724" s="154"/>
      <c r="L724" s="154"/>
      <c r="M724" s="154"/>
      <c r="N724" s="46"/>
      <c r="O724" s="154"/>
      <c r="P724" s="41"/>
      <c r="Q724" s="191"/>
      <c r="R724" s="191"/>
    </row>
    <row r="725" spans="2:18" s="2" customFormat="1" ht="11.25" x14ac:dyDescent="0.2">
      <c r="B725" s="57" t="s">
        <v>87</v>
      </c>
      <c r="C725" s="151">
        <v>0</v>
      </c>
      <c r="D725" s="152"/>
      <c r="E725" s="152"/>
      <c r="F725" s="153">
        <v>0</v>
      </c>
      <c r="G725" s="154"/>
      <c r="H725" s="183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150</v>
      </c>
      <c r="Q725" s="191"/>
      <c r="R725" s="191"/>
    </row>
    <row r="726" spans="2:18" s="2" customFormat="1" ht="11.25" x14ac:dyDescent="0.2">
      <c r="B726" s="49" t="s">
        <v>88</v>
      </c>
      <c r="C726" s="151">
        <v>0</v>
      </c>
      <c r="D726" s="152">
        <v>0</v>
      </c>
      <c r="E726" s="152">
        <v>0</v>
      </c>
      <c r="F726" s="153">
        <v>0</v>
      </c>
      <c r="G726" s="154">
        <v>0</v>
      </c>
      <c r="H726" s="183">
        <v>0</v>
      </c>
      <c r="I726" s="153">
        <v>0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150</v>
      </c>
      <c r="Q726" s="191"/>
      <c r="R726" s="191"/>
    </row>
    <row r="727" spans="2:18" s="2" customFormat="1" ht="11.25" x14ac:dyDescent="0.2">
      <c r="B727" s="49" t="s">
        <v>89</v>
      </c>
      <c r="C727" s="151"/>
      <c r="D727" s="152"/>
      <c r="E727" s="152"/>
      <c r="F727" s="153"/>
      <c r="G727" s="154"/>
      <c r="H727" s="183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150</v>
      </c>
      <c r="Q727" s="191"/>
      <c r="R727" s="191"/>
    </row>
    <row r="728" spans="2:18" s="2" customFormat="1" ht="11.25" x14ac:dyDescent="0.2">
      <c r="B728" s="49"/>
      <c r="C728" s="151"/>
      <c r="D728" s="152"/>
      <c r="E728" s="152"/>
      <c r="F728" s="153"/>
      <c r="G728" s="154"/>
      <c r="H728" s="183"/>
      <c r="I728" s="153"/>
      <c r="J728" s="154"/>
      <c r="K728" s="154"/>
      <c r="L728" s="154"/>
      <c r="M728" s="154"/>
      <c r="N728" s="46"/>
      <c r="O728" s="154"/>
      <c r="P728" s="41"/>
      <c r="Q728" s="191"/>
      <c r="R728" s="191"/>
    </row>
    <row r="729" spans="2:18" s="2" customFormat="1" ht="11.25" x14ac:dyDescent="0.2">
      <c r="B729" s="40" t="s">
        <v>90</v>
      </c>
      <c r="C729" s="151">
        <v>0</v>
      </c>
      <c r="D729" s="152"/>
      <c r="E729" s="152"/>
      <c r="F729" s="153">
        <v>0</v>
      </c>
      <c r="G729" s="154"/>
      <c r="H729" s="183"/>
      <c r="I729" s="153">
        <v>0</v>
      </c>
      <c r="J729" s="154"/>
      <c r="K729" s="154"/>
      <c r="L729" s="154"/>
      <c r="M729" s="154"/>
      <c r="N729" s="46"/>
      <c r="O729" s="154"/>
      <c r="P729" s="41"/>
      <c r="Q729" s="191"/>
      <c r="R729" s="191"/>
    </row>
    <row r="730" spans="2:18" s="2" customFormat="1" ht="11.25" x14ac:dyDescent="0.2">
      <c r="B730" s="197" t="s">
        <v>91</v>
      </c>
      <c r="C730" s="157">
        <v>0</v>
      </c>
      <c r="D730" s="160">
        <v>0</v>
      </c>
      <c r="E730" s="160">
        <v>0</v>
      </c>
      <c r="F730" s="167">
        <v>0</v>
      </c>
      <c r="G730" s="155">
        <v>0</v>
      </c>
      <c r="H730" s="188">
        <v>0</v>
      </c>
      <c r="I730" s="156">
        <v>0</v>
      </c>
      <c r="J730" s="155">
        <v>0</v>
      </c>
      <c r="K730" s="155">
        <v>0</v>
      </c>
      <c r="L730" s="155">
        <v>0</v>
      </c>
      <c r="M730" s="155">
        <v>0</v>
      </c>
      <c r="N730" s="58" t="s">
        <v>64</v>
      </c>
      <c r="O730" s="155">
        <v>0</v>
      </c>
      <c r="P730" s="54" t="s">
        <v>150</v>
      </c>
      <c r="Q730" s="191"/>
      <c r="R730" s="191"/>
    </row>
    <row r="731" spans="2:18" s="2" customFormat="1" ht="11.25" x14ac:dyDescent="0.2">
      <c r="B731" s="191"/>
      <c r="C731" s="191"/>
      <c r="D731" s="191"/>
      <c r="E731" s="191"/>
      <c r="F731" s="192"/>
      <c r="G731" s="191"/>
      <c r="H731" s="191"/>
      <c r="I731" s="192"/>
      <c r="J731" s="191"/>
      <c r="K731" s="191"/>
      <c r="L731" s="191"/>
      <c r="M731" s="191"/>
      <c r="N731" s="194"/>
      <c r="O731" s="191"/>
      <c r="P731" s="194"/>
      <c r="Q731" s="191"/>
      <c r="R731" s="191"/>
    </row>
    <row r="732" spans="2:18" s="2" customFormat="1" ht="11.25" x14ac:dyDescent="0.2">
      <c r="B732" s="191"/>
      <c r="C732" s="191"/>
      <c r="D732" s="191"/>
      <c r="E732" s="191"/>
      <c r="F732" s="192"/>
      <c r="G732" s="191"/>
      <c r="H732" s="191"/>
      <c r="I732" s="192"/>
      <c r="J732" s="191"/>
      <c r="K732" s="191"/>
      <c r="L732" s="191"/>
      <c r="M732" s="191"/>
      <c r="N732" s="194"/>
      <c r="O732" s="191"/>
      <c r="P732" s="194"/>
      <c r="Q732" s="191"/>
      <c r="R732" s="191"/>
    </row>
    <row r="733" spans="2:18" s="2" customFormat="1" ht="11.25" x14ac:dyDescent="0.2">
      <c r="B733" s="14"/>
      <c r="C733" s="15" t="s">
        <v>147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1"/>
      <c r="R733" s="191"/>
    </row>
    <row r="734" spans="2:18" s="2" customFormat="1" ht="11.25" x14ac:dyDescent="0.2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1"/>
      <c r="R734" s="191"/>
    </row>
    <row r="735" spans="2:18" s="2" customFormat="1" ht="11.25" x14ac:dyDescent="0.2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44468</v>
      </c>
      <c r="K735" s="33">
        <v>44475</v>
      </c>
      <c r="L735" s="33">
        <v>44482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1"/>
      <c r="R735" s="191"/>
    </row>
    <row r="736" spans="2:18" s="2" customFormat="1" ht="10.7" customHeight="1" x14ac:dyDescent="0.2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1"/>
      <c r="R736" s="191"/>
    </row>
    <row r="737" spans="2:18" s="2" customFormat="1" ht="10.7" customHeight="1" x14ac:dyDescent="0.2">
      <c r="B737" s="40"/>
      <c r="C737" s="233" t="s">
        <v>113</v>
      </c>
      <c r="D737" s="235"/>
      <c r="E737" s="235"/>
      <c r="F737" s="235"/>
      <c r="G737" s="235"/>
      <c r="H737" s="235"/>
      <c r="I737" s="235"/>
      <c r="J737" s="235"/>
      <c r="K737" s="235"/>
      <c r="L737" s="235"/>
      <c r="M737" s="235"/>
      <c r="N737" s="235"/>
      <c r="O737" s="235"/>
      <c r="P737" s="41" t="s">
        <v>4</v>
      </c>
      <c r="Q737" s="191"/>
      <c r="R737" s="191"/>
    </row>
    <row r="738" spans="2:18" s="2" customFormat="1" ht="10.7" customHeight="1" x14ac:dyDescent="0.2">
      <c r="B738" s="40" t="s">
        <v>62</v>
      </c>
      <c r="C738" s="151">
        <v>0</v>
      </c>
      <c r="D738" s="152">
        <v>0</v>
      </c>
      <c r="E738" s="152">
        <v>0</v>
      </c>
      <c r="F738" s="153">
        <v>0</v>
      </c>
      <c r="G738" s="154">
        <v>0</v>
      </c>
      <c r="H738" s="183">
        <v>0</v>
      </c>
      <c r="I738" s="153">
        <v>0</v>
      </c>
      <c r="J738" s="154">
        <v>0</v>
      </c>
      <c r="K738" s="154">
        <v>0</v>
      </c>
      <c r="L738" s="154">
        <v>0</v>
      </c>
      <c r="M738" s="154">
        <v>0</v>
      </c>
      <c r="N738" s="46" t="s">
        <v>64</v>
      </c>
      <c r="O738" s="154">
        <v>0</v>
      </c>
      <c r="P738" s="41">
        <v>0</v>
      </c>
      <c r="Q738" s="191"/>
      <c r="R738" s="191"/>
    </row>
    <row r="739" spans="2:18" s="2" customFormat="1" ht="10.7" customHeight="1" x14ac:dyDescent="0.2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3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150</v>
      </c>
      <c r="Q739" s="191"/>
      <c r="R739" s="191"/>
    </row>
    <row r="740" spans="2:18" s="2" customFormat="1" ht="10.7" customHeight="1" x14ac:dyDescent="0.2">
      <c r="B740" s="40" t="s">
        <v>65</v>
      </c>
      <c r="C740" s="151">
        <v>0</v>
      </c>
      <c r="D740" s="152">
        <v>0</v>
      </c>
      <c r="E740" s="152">
        <v>0</v>
      </c>
      <c r="F740" s="153">
        <v>0</v>
      </c>
      <c r="G740" s="154">
        <v>0</v>
      </c>
      <c r="H740" s="183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 t="s">
        <v>64</v>
      </c>
      <c r="O740" s="154">
        <v>0</v>
      </c>
      <c r="P740" s="41" t="s">
        <v>150</v>
      </c>
      <c r="Q740" s="191"/>
      <c r="R740" s="191"/>
    </row>
    <row r="741" spans="2:18" s="2" customFormat="1" ht="10.7" customHeight="1" x14ac:dyDescent="0.2">
      <c r="B741" s="40" t="s">
        <v>66</v>
      </c>
      <c r="C741" s="151">
        <v>0</v>
      </c>
      <c r="D741" s="152">
        <v>0</v>
      </c>
      <c r="E741" s="152">
        <v>0</v>
      </c>
      <c r="F741" s="153">
        <v>0</v>
      </c>
      <c r="G741" s="154">
        <v>0</v>
      </c>
      <c r="H741" s="183">
        <v>0</v>
      </c>
      <c r="I741" s="153">
        <v>0</v>
      </c>
      <c r="J741" s="154">
        <v>0</v>
      </c>
      <c r="K741" s="154">
        <v>0</v>
      </c>
      <c r="L741" s="154">
        <v>0</v>
      </c>
      <c r="M741" s="154">
        <v>0</v>
      </c>
      <c r="N741" s="46" t="s">
        <v>64</v>
      </c>
      <c r="O741" s="154">
        <v>0</v>
      </c>
      <c r="P741" s="41" t="s">
        <v>150</v>
      </c>
      <c r="Q741" s="191"/>
      <c r="R741" s="191"/>
    </row>
    <row r="742" spans="2:18" s="2" customFormat="1" ht="10.7" customHeight="1" x14ac:dyDescent="0.2">
      <c r="B742" s="40" t="s">
        <v>67</v>
      </c>
      <c r="C742" s="151">
        <v>0</v>
      </c>
      <c r="D742" s="152">
        <v>0</v>
      </c>
      <c r="E742" s="152">
        <v>0</v>
      </c>
      <c r="F742" s="153">
        <v>0</v>
      </c>
      <c r="G742" s="154">
        <v>0</v>
      </c>
      <c r="H742" s="183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150</v>
      </c>
      <c r="Q742" s="191"/>
      <c r="R742" s="191"/>
    </row>
    <row r="743" spans="2:18" s="2" customFormat="1" ht="10.7" customHeight="1" x14ac:dyDescent="0.2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3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150</v>
      </c>
      <c r="Q743" s="191"/>
      <c r="R743" s="191"/>
    </row>
    <row r="744" spans="2:18" s="2" customFormat="1" ht="10.7" customHeight="1" x14ac:dyDescent="0.2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3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150</v>
      </c>
      <c r="Q744" s="191"/>
      <c r="R744" s="191"/>
    </row>
    <row r="745" spans="2:18" s="2" customFormat="1" ht="10.7" customHeight="1" x14ac:dyDescent="0.2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3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150</v>
      </c>
      <c r="Q745" s="191"/>
      <c r="R745" s="191"/>
    </row>
    <row r="746" spans="2:18" s="2" customFormat="1" ht="10.7" customHeight="1" x14ac:dyDescent="0.2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3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1"/>
      <c r="R746" s="191"/>
    </row>
    <row r="747" spans="2:18" s="2" customFormat="1" ht="10.7" customHeight="1" x14ac:dyDescent="0.2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3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1"/>
      <c r="R747" s="191"/>
    </row>
    <row r="748" spans="2:18" s="2" customFormat="1" ht="10.7" customHeight="1" x14ac:dyDescent="0.2">
      <c r="B748" s="47" t="s">
        <v>73</v>
      </c>
      <c r="C748" s="151">
        <v>0</v>
      </c>
      <c r="D748" s="152">
        <v>0</v>
      </c>
      <c r="E748" s="152">
        <v>0</v>
      </c>
      <c r="F748" s="153">
        <v>0</v>
      </c>
      <c r="G748" s="154">
        <v>0</v>
      </c>
      <c r="H748" s="183">
        <v>0</v>
      </c>
      <c r="I748" s="153">
        <v>0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>
        <v>0</v>
      </c>
      <c r="Q748" s="191"/>
      <c r="R748" s="191"/>
    </row>
    <row r="749" spans="2:18" s="2" customFormat="1" ht="10.7" customHeight="1" x14ac:dyDescent="0.2">
      <c r="B749" s="40"/>
      <c r="C749" s="151"/>
      <c r="D749" s="154"/>
      <c r="E749" s="152"/>
      <c r="F749" s="153"/>
      <c r="G749" s="154"/>
      <c r="H749" s="183"/>
      <c r="I749" s="153"/>
      <c r="J749" s="154"/>
      <c r="K749" s="154"/>
      <c r="L749" s="154"/>
      <c r="M749" s="154"/>
      <c r="N749" s="46"/>
      <c r="O749" s="154"/>
      <c r="P749" s="41"/>
      <c r="Q749" s="191"/>
      <c r="R749" s="191"/>
    </row>
    <row r="750" spans="2:18" s="2" customFormat="1" ht="10.7" customHeight="1" x14ac:dyDescent="0.2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3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1"/>
      <c r="R750" s="191"/>
    </row>
    <row r="751" spans="2:18" s="2" customFormat="1" ht="10.7" customHeight="1" x14ac:dyDescent="0.2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3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1"/>
      <c r="R751" s="191"/>
    </row>
    <row r="752" spans="2:18" s="2" customFormat="1" ht="10.7" customHeight="1" x14ac:dyDescent="0.2">
      <c r="B752" s="40" t="s">
        <v>157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3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150</v>
      </c>
      <c r="Q752" s="191"/>
      <c r="R752" s="191"/>
    </row>
    <row r="753" spans="2:18" s="2" customFormat="1" ht="10.7" customHeight="1" x14ac:dyDescent="0.2">
      <c r="B753" s="40" t="s">
        <v>76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3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150</v>
      </c>
      <c r="Q753" s="191"/>
      <c r="R753" s="191"/>
    </row>
    <row r="754" spans="2:18" s="2" customFormat="1" ht="10.7" customHeight="1" x14ac:dyDescent="0.2">
      <c r="B754" s="40" t="s">
        <v>77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3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1"/>
      <c r="R754" s="191"/>
    </row>
    <row r="755" spans="2:18" s="2" customFormat="1" ht="10.7" customHeight="1" x14ac:dyDescent="0.2">
      <c r="B755" s="40" t="s">
        <v>78</v>
      </c>
      <c r="C755" s="151">
        <v>0</v>
      </c>
      <c r="D755" s="152">
        <v>0</v>
      </c>
      <c r="E755" s="152">
        <v>0</v>
      </c>
      <c r="F755" s="153">
        <v>0</v>
      </c>
      <c r="G755" s="154">
        <v>0</v>
      </c>
      <c r="H755" s="183">
        <v>0</v>
      </c>
      <c r="I755" s="153">
        <v>0</v>
      </c>
      <c r="J755" s="154">
        <v>0</v>
      </c>
      <c r="K755" s="154">
        <v>0</v>
      </c>
      <c r="L755" s="154">
        <v>0</v>
      </c>
      <c r="M755" s="154">
        <v>0</v>
      </c>
      <c r="N755" s="46" t="s">
        <v>64</v>
      </c>
      <c r="O755" s="154">
        <v>0</v>
      </c>
      <c r="P755" s="41">
        <v>0</v>
      </c>
      <c r="Q755" s="191"/>
      <c r="R755" s="191"/>
    </row>
    <row r="756" spans="2:18" s="2" customFormat="1" ht="10.7" customHeight="1" x14ac:dyDescent="0.2">
      <c r="B756" s="40" t="s">
        <v>79</v>
      </c>
      <c r="C756" s="151">
        <v>0</v>
      </c>
      <c r="D756" s="152">
        <v>0</v>
      </c>
      <c r="E756" s="152">
        <v>0</v>
      </c>
      <c r="F756" s="153">
        <v>0</v>
      </c>
      <c r="G756" s="154">
        <v>0</v>
      </c>
      <c r="H756" s="183">
        <v>0</v>
      </c>
      <c r="I756" s="153">
        <v>0</v>
      </c>
      <c r="J756" s="154">
        <v>0</v>
      </c>
      <c r="K756" s="154">
        <v>0</v>
      </c>
      <c r="L756" s="154">
        <v>0</v>
      </c>
      <c r="M756" s="154">
        <v>0</v>
      </c>
      <c r="N756" s="46" t="s">
        <v>64</v>
      </c>
      <c r="O756" s="154">
        <v>0</v>
      </c>
      <c r="P756" s="41">
        <v>0</v>
      </c>
      <c r="Q756" s="191"/>
      <c r="R756" s="191"/>
    </row>
    <row r="757" spans="2:18" s="2" customFormat="1" ht="10.7" customHeight="1" x14ac:dyDescent="0.2">
      <c r="B757" s="40" t="s">
        <v>80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3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150</v>
      </c>
      <c r="Q757" s="191"/>
      <c r="R757" s="191"/>
    </row>
    <row r="758" spans="2:18" s="2" customFormat="1" ht="10.7" customHeight="1" x14ac:dyDescent="0.2">
      <c r="B758" s="40" t="s">
        <v>81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3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150</v>
      </c>
      <c r="Q758" s="191"/>
      <c r="R758" s="191"/>
    </row>
    <row r="759" spans="2:18" s="2" customFormat="1" ht="10.7" customHeight="1" x14ac:dyDescent="0.2">
      <c r="B759" s="184" t="s">
        <v>82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3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150</v>
      </c>
      <c r="Q759" s="191"/>
      <c r="R759" s="191"/>
    </row>
    <row r="760" spans="2:18" s="2" customFormat="1" ht="10.7" customHeight="1" x14ac:dyDescent="0.2">
      <c r="B760" s="221" t="s">
        <v>111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3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1"/>
      <c r="R760" s="191"/>
    </row>
    <row r="761" spans="2:18" s="2" customFormat="1" ht="10.7" customHeight="1" x14ac:dyDescent="0.2">
      <c r="B761" s="205" t="s">
        <v>84</v>
      </c>
      <c r="C761" s="151">
        <v>0</v>
      </c>
      <c r="D761" s="152">
        <v>0</v>
      </c>
      <c r="E761" s="152">
        <v>0</v>
      </c>
      <c r="F761" s="153">
        <v>0</v>
      </c>
      <c r="G761" s="154">
        <v>0</v>
      </c>
      <c r="H761" s="183">
        <v>0</v>
      </c>
      <c r="I761" s="153">
        <v>0</v>
      </c>
      <c r="J761" s="154">
        <v>0</v>
      </c>
      <c r="K761" s="154">
        <v>0</v>
      </c>
      <c r="L761" s="154">
        <v>0</v>
      </c>
      <c r="M761" s="154">
        <v>0</v>
      </c>
      <c r="N761" s="46" t="s">
        <v>64</v>
      </c>
      <c r="O761" s="154">
        <v>0</v>
      </c>
      <c r="P761" s="41">
        <v>0</v>
      </c>
      <c r="Q761" s="191"/>
      <c r="R761" s="191"/>
    </row>
    <row r="762" spans="2:18" s="2" customFormat="1" ht="10.7" customHeight="1" x14ac:dyDescent="0.2">
      <c r="B762" s="40" t="s">
        <v>85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3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150</v>
      </c>
      <c r="Q762" s="191"/>
      <c r="R762" s="191"/>
    </row>
    <row r="763" spans="2:18" s="2" customFormat="1" ht="10.7" customHeight="1" x14ac:dyDescent="0.2">
      <c r="B763" s="196" t="s">
        <v>86</v>
      </c>
      <c r="C763" s="151">
        <v>0</v>
      </c>
      <c r="D763" s="154">
        <v>0</v>
      </c>
      <c r="E763" s="152">
        <v>0</v>
      </c>
      <c r="F763" s="153">
        <v>0</v>
      </c>
      <c r="G763" s="154">
        <v>0</v>
      </c>
      <c r="H763" s="183">
        <v>0</v>
      </c>
      <c r="I763" s="153">
        <v>0</v>
      </c>
      <c r="J763" s="154">
        <v>0</v>
      </c>
      <c r="K763" s="154">
        <v>0</v>
      </c>
      <c r="L763" s="154">
        <v>0</v>
      </c>
      <c r="M763" s="154">
        <v>0</v>
      </c>
      <c r="N763" s="46" t="s">
        <v>64</v>
      </c>
      <c r="O763" s="154">
        <v>0</v>
      </c>
      <c r="P763" s="41">
        <v>0</v>
      </c>
      <c r="Q763" s="191"/>
      <c r="R763" s="191"/>
    </row>
    <row r="764" spans="2:18" s="2" customFormat="1" ht="10.7" customHeight="1" x14ac:dyDescent="0.2">
      <c r="B764" s="205"/>
      <c r="C764" s="151"/>
      <c r="D764" s="154"/>
      <c r="E764" s="152"/>
      <c r="F764" s="153"/>
      <c r="G764" s="154"/>
      <c r="H764" s="183"/>
      <c r="I764" s="153"/>
      <c r="J764" s="154"/>
      <c r="K764" s="154"/>
      <c r="L764" s="154"/>
      <c r="M764" s="154"/>
      <c r="N764" s="46"/>
      <c r="O764" s="154"/>
      <c r="P764" s="41"/>
      <c r="Q764" s="191"/>
      <c r="R764" s="191"/>
    </row>
    <row r="765" spans="2:18" s="2" customFormat="1" ht="10.7" customHeight="1" x14ac:dyDescent="0.2">
      <c r="B765" s="57" t="s">
        <v>87</v>
      </c>
      <c r="C765" s="151">
        <v>0</v>
      </c>
      <c r="D765" s="152"/>
      <c r="E765" s="152"/>
      <c r="F765" s="153">
        <v>0</v>
      </c>
      <c r="G765" s="154"/>
      <c r="H765" s="183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150</v>
      </c>
      <c r="Q765" s="191"/>
      <c r="R765" s="191"/>
    </row>
    <row r="766" spans="2:18" s="2" customFormat="1" ht="10.7" customHeight="1" x14ac:dyDescent="0.2">
      <c r="B766" s="49" t="s">
        <v>88</v>
      </c>
      <c r="C766" s="151">
        <v>0</v>
      </c>
      <c r="D766" s="152">
        <v>0</v>
      </c>
      <c r="E766" s="152">
        <v>0</v>
      </c>
      <c r="F766" s="153">
        <v>0</v>
      </c>
      <c r="G766" s="154">
        <v>0</v>
      </c>
      <c r="H766" s="183">
        <v>0</v>
      </c>
      <c r="I766" s="153">
        <v>0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150</v>
      </c>
      <c r="Q766" s="191"/>
      <c r="R766" s="191"/>
    </row>
    <row r="767" spans="2:18" s="2" customFormat="1" ht="10.7" customHeight="1" x14ac:dyDescent="0.2">
      <c r="B767" s="49" t="s">
        <v>89</v>
      </c>
      <c r="C767" s="151"/>
      <c r="D767" s="152"/>
      <c r="E767" s="152"/>
      <c r="F767" s="153"/>
      <c r="G767" s="154"/>
      <c r="H767" s="183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150</v>
      </c>
      <c r="Q767" s="191"/>
      <c r="R767" s="191"/>
    </row>
    <row r="768" spans="2:18" s="2" customFormat="1" ht="10.7" customHeight="1" x14ac:dyDescent="0.2">
      <c r="B768" s="49"/>
      <c r="C768" s="151"/>
      <c r="D768" s="152"/>
      <c r="E768" s="152"/>
      <c r="F768" s="153"/>
      <c r="G768" s="154"/>
      <c r="H768" s="183"/>
      <c r="I768" s="153"/>
      <c r="J768" s="154"/>
      <c r="K768" s="154"/>
      <c r="L768" s="154"/>
      <c r="M768" s="154"/>
      <c r="N768" s="46"/>
      <c r="O768" s="154"/>
      <c r="P768" s="41"/>
      <c r="Q768" s="191"/>
      <c r="R768" s="191"/>
    </row>
    <row r="769" spans="2:18" s="2" customFormat="1" ht="10.7" customHeight="1" x14ac:dyDescent="0.2">
      <c r="B769" s="40" t="s">
        <v>90</v>
      </c>
      <c r="C769" s="151">
        <v>0</v>
      </c>
      <c r="D769" s="152"/>
      <c r="E769" s="152"/>
      <c r="F769" s="153">
        <v>0</v>
      </c>
      <c r="G769" s="154"/>
      <c r="H769" s="183"/>
      <c r="I769" s="153">
        <v>0</v>
      </c>
      <c r="J769" s="154"/>
      <c r="K769" s="154"/>
      <c r="L769" s="154"/>
      <c r="M769" s="154"/>
      <c r="N769" s="46"/>
      <c r="O769" s="154"/>
      <c r="P769" s="41"/>
      <c r="Q769" s="191"/>
      <c r="R769" s="191"/>
    </row>
    <row r="770" spans="2:18" s="2" customFormat="1" ht="10.7" customHeight="1" x14ac:dyDescent="0.2">
      <c r="B770" s="197" t="s">
        <v>91</v>
      </c>
      <c r="C770" s="157">
        <v>0</v>
      </c>
      <c r="D770" s="160">
        <v>0</v>
      </c>
      <c r="E770" s="160">
        <v>0</v>
      </c>
      <c r="F770" s="167">
        <v>0</v>
      </c>
      <c r="G770" s="155">
        <v>0</v>
      </c>
      <c r="H770" s="188">
        <v>0</v>
      </c>
      <c r="I770" s="156">
        <v>0</v>
      </c>
      <c r="J770" s="155">
        <v>0</v>
      </c>
      <c r="K770" s="155">
        <v>0</v>
      </c>
      <c r="L770" s="155">
        <v>0</v>
      </c>
      <c r="M770" s="155">
        <v>0</v>
      </c>
      <c r="N770" s="58" t="s">
        <v>64</v>
      </c>
      <c r="O770" s="155">
        <v>0</v>
      </c>
      <c r="P770" s="54" t="s">
        <v>150</v>
      </c>
      <c r="Q770" s="191"/>
      <c r="R770" s="191"/>
    </row>
    <row r="771" spans="2:18" s="2" customFormat="1" ht="10.7" customHeight="1" x14ac:dyDescent="0.2">
      <c r="B771" s="191"/>
      <c r="C771" s="191"/>
      <c r="D771" s="191"/>
      <c r="E771" s="191"/>
      <c r="F771" s="192"/>
      <c r="G771" s="191"/>
      <c r="H771" s="191"/>
      <c r="I771" s="192"/>
      <c r="J771" s="191"/>
      <c r="K771" s="191"/>
      <c r="L771" s="191"/>
      <c r="M771" s="191"/>
      <c r="N771" s="194"/>
      <c r="O771" s="191"/>
      <c r="P771" s="194"/>
      <c r="Q771" s="191"/>
      <c r="R771" s="191"/>
    </row>
    <row r="772" spans="2:18" s="2" customFormat="1" ht="10.7" customHeight="1" x14ac:dyDescent="0.2">
      <c r="B772" s="191"/>
      <c r="C772" s="191"/>
      <c r="D772" s="191"/>
      <c r="E772" s="191"/>
      <c r="F772" s="192"/>
      <c r="G772" s="191"/>
      <c r="H772" s="191"/>
      <c r="I772" s="192"/>
      <c r="J772" s="191"/>
      <c r="K772" s="191"/>
      <c r="L772" s="191"/>
      <c r="M772" s="191"/>
      <c r="N772" s="194"/>
      <c r="O772" s="191"/>
      <c r="P772" s="194"/>
      <c r="Q772" s="191"/>
      <c r="R772" s="191"/>
    </row>
    <row r="773" spans="2:18" s="2" customFormat="1" ht="10.7" customHeight="1" x14ac:dyDescent="0.2">
      <c r="B773" s="14"/>
      <c r="C773" s="15" t="s">
        <v>147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1"/>
      <c r="R773" s="191"/>
    </row>
    <row r="774" spans="2:18" s="2" customFormat="1" ht="10.7" customHeight="1" x14ac:dyDescent="0.2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1"/>
      <c r="R774" s="191"/>
    </row>
    <row r="775" spans="2:18" s="2" customFormat="1" ht="10.7" customHeight="1" x14ac:dyDescent="0.2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44468</v>
      </c>
      <c r="K775" s="33">
        <v>44475</v>
      </c>
      <c r="L775" s="33">
        <v>44482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1"/>
      <c r="R775" s="191"/>
    </row>
    <row r="776" spans="2:18" s="2" customFormat="1" ht="10.7" customHeight="1" x14ac:dyDescent="0.2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1"/>
      <c r="R776" s="191"/>
    </row>
    <row r="777" spans="2:18" s="2" customFormat="1" ht="10.7" customHeight="1" x14ac:dyDescent="0.2">
      <c r="B777" s="40"/>
      <c r="C777" s="233" t="s">
        <v>114</v>
      </c>
      <c r="D777" s="235"/>
      <c r="E777" s="235"/>
      <c r="F777" s="235"/>
      <c r="G777" s="235"/>
      <c r="H777" s="235"/>
      <c r="I777" s="235"/>
      <c r="J777" s="235"/>
      <c r="K777" s="235"/>
      <c r="L777" s="235"/>
      <c r="M777" s="235"/>
      <c r="N777" s="235"/>
      <c r="O777" s="235"/>
      <c r="P777" s="41" t="s">
        <v>4</v>
      </c>
      <c r="Q777" s="191"/>
      <c r="R777" s="191"/>
    </row>
    <row r="778" spans="2:18" s="2" customFormat="1" ht="10.7" customHeight="1" x14ac:dyDescent="0.2">
      <c r="B778" s="40" t="s">
        <v>62</v>
      </c>
      <c r="C778" s="151">
        <v>0</v>
      </c>
      <c r="D778" s="152">
        <v>0</v>
      </c>
      <c r="E778" s="152">
        <v>0</v>
      </c>
      <c r="F778" s="153">
        <v>0</v>
      </c>
      <c r="G778" s="154">
        <v>0</v>
      </c>
      <c r="H778" s="183">
        <v>0</v>
      </c>
      <c r="I778" s="153">
        <v>0</v>
      </c>
      <c r="J778" s="154">
        <v>0</v>
      </c>
      <c r="K778" s="154">
        <v>0</v>
      </c>
      <c r="L778" s="154">
        <v>0</v>
      </c>
      <c r="M778" s="154">
        <v>0</v>
      </c>
      <c r="N778" s="46" t="s">
        <v>64</v>
      </c>
      <c r="O778" s="154">
        <v>0</v>
      </c>
      <c r="P778" s="41">
        <v>0</v>
      </c>
      <c r="Q778" s="191"/>
      <c r="R778" s="191"/>
    </row>
    <row r="779" spans="2:18" s="2" customFormat="1" ht="10.7" customHeight="1" x14ac:dyDescent="0.2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3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150</v>
      </c>
      <c r="Q779" s="191"/>
      <c r="R779" s="191"/>
    </row>
    <row r="780" spans="2:18" s="2" customFormat="1" ht="10.7" customHeight="1" x14ac:dyDescent="0.2">
      <c r="B780" s="40" t="s">
        <v>65</v>
      </c>
      <c r="C780" s="151">
        <v>0</v>
      </c>
      <c r="D780" s="152">
        <v>0</v>
      </c>
      <c r="E780" s="152">
        <v>0</v>
      </c>
      <c r="F780" s="153">
        <v>0</v>
      </c>
      <c r="G780" s="154">
        <v>0</v>
      </c>
      <c r="H780" s="183">
        <v>0</v>
      </c>
      <c r="I780" s="153">
        <v>0</v>
      </c>
      <c r="J780" s="154">
        <v>0</v>
      </c>
      <c r="K780" s="154">
        <v>0</v>
      </c>
      <c r="L780" s="154">
        <v>0</v>
      </c>
      <c r="M780" s="154">
        <v>0</v>
      </c>
      <c r="N780" s="46" t="s">
        <v>64</v>
      </c>
      <c r="O780" s="154">
        <v>0</v>
      </c>
      <c r="P780" s="41" t="s">
        <v>150</v>
      </c>
      <c r="Q780" s="191"/>
      <c r="R780" s="191"/>
    </row>
    <row r="781" spans="2:18" s="2" customFormat="1" ht="10.7" customHeight="1" x14ac:dyDescent="0.2">
      <c r="B781" s="40" t="s">
        <v>66</v>
      </c>
      <c r="C781" s="151">
        <v>0</v>
      </c>
      <c r="D781" s="152">
        <v>0</v>
      </c>
      <c r="E781" s="152">
        <v>0</v>
      </c>
      <c r="F781" s="153">
        <v>0</v>
      </c>
      <c r="G781" s="154">
        <v>0</v>
      </c>
      <c r="H781" s="183">
        <v>0</v>
      </c>
      <c r="I781" s="153">
        <v>0</v>
      </c>
      <c r="J781" s="154">
        <v>0</v>
      </c>
      <c r="K781" s="154">
        <v>0</v>
      </c>
      <c r="L781" s="154">
        <v>0</v>
      </c>
      <c r="M781" s="154">
        <v>0</v>
      </c>
      <c r="N781" s="46" t="s">
        <v>64</v>
      </c>
      <c r="O781" s="154">
        <v>0</v>
      </c>
      <c r="P781" s="41" t="s">
        <v>150</v>
      </c>
      <c r="Q781" s="191"/>
      <c r="R781" s="191"/>
    </row>
    <row r="782" spans="2:18" s="2" customFormat="1" ht="10.7" customHeight="1" x14ac:dyDescent="0.2">
      <c r="B782" s="40" t="s">
        <v>67</v>
      </c>
      <c r="C782" s="151">
        <v>0</v>
      </c>
      <c r="D782" s="152">
        <v>0</v>
      </c>
      <c r="E782" s="152">
        <v>0</v>
      </c>
      <c r="F782" s="153">
        <v>0</v>
      </c>
      <c r="G782" s="154">
        <v>0</v>
      </c>
      <c r="H782" s="183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150</v>
      </c>
      <c r="Q782" s="191"/>
      <c r="R782" s="191"/>
    </row>
    <row r="783" spans="2:18" s="2" customFormat="1" ht="10.7" customHeight="1" x14ac:dyDescent="0.2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3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150</v>
      </c>
      <c r="Q783" s="191"/>
      <c r="R783" s="191"/>
    </row>
    <row r="784" spans="2:18" s="2" customFormat="1" ht="10.7" customHeight="1" x14ac:dyDescent="0.2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3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150</v>
      </c>
      <c r="Q784" s="191"/>
      <c r="R784" s="191"/>
    </row>
    <row r="785" spans="2:18" s="2" customFormat="1" ht="10.7" customHeight="1" x14ac:dyDescent="0.2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3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150</v>
      </c>
      <c r="Q785" s="191"/>
      <c r="R785" s="191"/>
    </row>
    <row r="786" spans="2:18" s="2" customFormat="1" ht="10.7" customHeight="1" x14ac:dyDescent="0.2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3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1"/>
      <c r="R786" s="191"/>
    </row>
    <row r="787" spans="2:18" s="2" customFormat="1" ht="10.7" customHeight="1" x14ac:dyDescent="0.2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3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1"/>
      <c r="R787" s="191"/>
    </row>
    <row r="788" spans="2:18" s="2" customFormat="1" ht="10.7" customHeight="1" x14ac:dyDescent="0.2">
      <c r="B788" s="47" t="s">
        <v>73</v>
      </c>
      <c r="C788" s="151">
        <v>0</v>
      </c>
      <c r="D788" s="152">
        <v>0</v>
      </c>
      <c r="E788" s="152">
        <v>0</v>
      </c>
      <c r="F788" s="153">
        <v>0</v>
      </c>
      <c r="G788" s="154">
        <v>0</v>
      </c>
      <c r="H788" s="183">
        <v>0</v>
      </c>
      <c r="I788" s="153">
        <v>0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>
        <v>0</v>
      </c>
      <c r="Q788" s="191"/>
      <c r="R788" s="191"/>
    </row>
    <row r="789" spans="2:18" s="2" customFormat="1" ht="10.7" customHeight="1" x14ac:dyDescent="0.2">
      <c r="B789" s="40"/>
      <c r="C789" s="151"/>
      <c r="D789" s="154"/>
      <c r="E789" s="152"/>
      <c r="F789" s="153"/>
      <c r="G789" s="154"/>
      <c r="H789" s="183"/>
      <c r="I789" s="153"/>
      <c r="J789" s="154"/>
      <c r="K789" s="154"/>
      <c r="L789" s="154"/>
      <c r="M789" s="154"/>
      <c r="N789" s="46"/>
      <c r="O789" s="154"/>
      <c r="P789" s="41"/>
      <c r="Q789" s="191"/>
      <c r="R789" s="191"/>
    </row>
    <row r="790" spans="2:18" s="2" customFormat="1" ht="10.7" customHeight="1" x14ac:dyDescent="0.2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3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1"/>
      <c r="R790" s="191"/>
    </row>
    <row r="791" spans="2:18" s="2" customFormat="1" ht="10.7" customHeight="1" x14ac:dyDescent="0.2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3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1"/>
      <c r="R791" s="191"/>
    </row>
    <row r="792" spans="2:18" s="2" customFormat="1" ht="10.7" customHeight="1" x14ac:dyDescent="0.2">
      <c r="B792" s="40" t="s">
        <v>157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3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150</v>
      </c>
      <c r="Q792" s="191"/>
      <c r="R792" s="191"/>
    </row>
    <row r="793" spans="2:18" s="2" customFormat="1" ht="10.7" customHeight="1" x14ac:dyDescent="0.2">
      <c r="B793" s="40" t="s">
        <v>76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3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150</v>
      </c>
      <c r="Q793" s="191"/>
      <c r="R793" s="191"/>
    </row>
    <row r="794" spans="2:18" s="2" customFormat="1" ht="10.7" customHeight="1" x14ac:dyDescent="0.2">
      <c r="B794" s="40" t="s">
        <v>77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3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1"/>
      <c r="R794" s="191"/>
    </row>
    <row r="795" spans="2:18" s="2" customFormat="1" ht="10.7" customHeight="1" x14ac:dyDescent="0.2">
      <c r="B795" s="40" t="s">
        <v>78</v>
      </c>
      <c r="C795" s="151">
        <v>0</v>
      </c>
      <c r="D795" s="152">
        <v>0</v>
      </c>
      <c r="E795" s="152">
        <v>0</v>
      </c>
      <c r="F795" s="153">
        <v>0</v>
      </c>
      <c r="G795" s="154">
        <v>0</v>
      </c>
      <c r="H795" s="183">
        <v>0</v>
      </c>
      <c r="I795" s="153">
        <v>0</v>
      </c>
      <c r="J795" s="154">
        <v>0</v>
      </c>
      <c r="K795" s="154">
        <v>0</v>
      </c>
      <c r="L795" s="154">
        <v>0</v>
      </c>
      <c r="M795" s="154">
        <v>0</v>
      </c>
      <c r="N795" s="46" t="s">
        <v>64</v>
      </c>
      <c r="O795" s="154">
        <v>0</v>
      </c>
      <c r="P795" s="41">
        <v>0</v>
      </c>
      <c r="Q795" s="191"/>
      <c r="R795" s="191"/>
    </row>
    <row r="796" spans="2:18" s="2" customFormat="1" ht="10.7" customHeight="1" x14ac:dyDescent="0.2">
      <c r="B796" s="40" t="s">
        <v>79</v>
      </c>
      <c r="C796" s="151">
        <v>0</v>
      </c>
      <c r="D796" s="152">
        <v>0</v>
      </c>
      <c r="E796" s="152">
        <v>0</v>
      </c>
      <c r="F796" s="153">
        <v>0</v>
      </c>
      <c r="G796" s="154">
        <v>0</v>
      </c>
      <c r="H796" s="183">
        <v>0</v>
      </c>
      <c r="I796" s="153">
        <v>0</v>
      </c>
      <c r="J796" s="154">
        <v>0</v>
      </c>
      <c r="K796" s="154">
        <v>0</v>
      </c>
      <c r="L796" s="154">
        <v>0</v>
      </c>
      <c r="M796" s="154">
        <v>0</v>
      </c>
      <c r="N796" s="46" t="s">
        <v>64</v>
      </c>
      <c r="O796" s="154">
        <v>0</v>
      </c>
      <c r="P796" s="41">
        <v>0</v>
      </c>
      <c r="Q796" s="191"/>
      <c r="R796" s="191"/>
    </row>
    <row r="797" spans="2:18" s="2" customFormat="1" ht="10.7" customHeight="1" x14ac:dyDescent="0.2">
      <c r="B797" s="40" t="s">
        <v>80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3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150</v>
      </c>
      <c r="Q797" s="191"/>
      <c r="R797" s="191"/>
    </row>
    <row r="798" spans="2:18" s="2" customFormat="1" ht="10.7" customHeight="1" x14ac:dyDescent="0.2">
      <c r="B798" s="40" t="s">
        <v>81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3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150</v>
      </c>
      <c r="Q798" s="191"/>
      <c r="R798" s="191"/>
    </row>
    <row r="799" spans="2:18" s="2" customFormat="1" ht="10.7" customHeight="1" x14ac:dyDescent="0.2">
      <c r="B799" s="184" t="s">
        <v>82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3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150</v>
      </c>
      <c r="Q799" s="191"/>
      <c r="R799" s="191"/>
    </row>
    <row r="800" spans="2:18" s="2" customFormat="1" ht="10.7" customHeight="1" x14ac:dyDescent="0.2">
      <c r="B800" s="221" t="s">
        <v>111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3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1"/>
      <c r="R800" s="191"/>
    </row>
    <row r="801" spans="2:18" s="2" customFormat="1" ht="10.7" customHeight="1" x14ac:dyDescent="0.2">
      <c r="B801" s="205" t="s">
        <v>84</v>
      </c>
      <c r="C801" s="151">
        <v>0</v>
      </c>
      <c r="D801" s="152">
        <v>0</v>
      </c>
      <c r="E801" s="152">
        <v>0</v>
      </c>
      <c r="F801" s="153">
        <v>0</v>
      </c>
      <c r="G801" s="154">
        <v>0</v>
      </c>
      <c r="H801" s="183">
        <v>0</v>
      </c>
      <c r="I801" s="153">
        <v>0</v>
      </c>
      <c r="J801" s="154">
        <v>0</v>
      </c>
      <c r="K801" s="154">
        <v>0</v>
      </c>
      <c r="L801" s="154">
        <v>0</v>
      </c>
      <c r="M801" s="154">
        <v>0</v>
      </c>
      <c r="N801" s="46" t="s">
        <v>64</v>
      </c>
      <c r="O801" s="154">
        <v>0</v>
      </c>
      <c r="P801" s="41">
        <v>0</v>
      </c>
      <c r="Q801" s="191"/>
      <c r="R801" s="191"/>
    </row>
    <row r="802" spans="2:18" s="2" customFormat="1" ht="10.7" customHeight="1" x14ac:dyDescent="0.2">
      <c r="B802" s="40" t="s">
        <v>85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3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150</v>
      </c>
      <c r="Q802" s="191"/>
      <c r="R802" s="191"/>
    </row>
    <row r="803" spans="2:18" s="2" customFormat="1" ht="10.7" customHeight="1" x14ac:dyDescent="0.2">
      <c r="B803" s="196" t="s">
        <v>86</v>
      </c>
      <c r="C803" s="151">
        <v>0</v>
      </c>
      <c r="D803" s="154">
        <v>0</v>
      </c>
      <c r="E803" s="152">
        <v>0</v>
      </c>
      <c r="F803" s="153">
        <v>0</v>
      </c>
      <c r="G803" s="154">
        <v>0</v>
      </c>
      <c r="H803" s="183">
        <v>0</v>
      </c>
      <c r="I803" s="153">
        <v>0</v>
      </c>
      <c r="J803" s="154">
        <v>0</v>
      </c>
      <c r="K803" s="154">
        <v>0</v>
      </c>
      <c r="L803" s="154">
        <v>0</v>
      </c>
      <c r="M803" s="154">
        <v>0</v>
      </c>
      <c r="N803" s="46" t="s">
        <v>64</v>
      </c>
      <c r="O803" s="154">
        <v>0</v>
      </c>
      <c r="P803" s="41">
        <v>0</v>
      </c>
      <c r="Q803" s="191"/>
      <c r="R803" s="191"/>
    </row>
    <row r="804" spans="2:18" s="2" customFormat="1" ht="10.7" customHeight="1" x14ac:dyDescent="0.2">
      <c r="B804" s="205"/>
      <c r="C804" s="151"/>
      <c r="D804" s="154"/>
      <c r="E804" s="152"/>
      <c r="F804" s="153"/>
      <c r="G804" s="154"/>
      <c r="H804" s="183"/>
      <c r="I804" s="153"/>
      <c r="J804" s="154"/>
      <c r="K804" s="154"/>
      <c r="L804" s="154"/>
      <c r="M804" s="154"/>
      <c r="N804" s="46"/>
      <c r="O804" s="154"/>
      <c r="P804" s="41"/>
      <c r="Q804" s="191"/>
      <c r="R804" s="191"/>
    </row>
    <row r="805" spans="2:18" s="2" customFormat="1" ht="10.7" customHeight="1" x14ac:dyDescent="0.2">
      <c r="B805" s="57" t="s">
        <v>87</v>
      </c>
      <c r="C805" s="151">
        <v>0</v>
      </c>
      <c r="D805" s="152"/>
      <c r="E805" s="152"/>
      <c r="F805" s="153">
        <v>0</v>
      </c>
      <c r="G805" s="154"/>
      <c r="H805" s="183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150</v>
      </c>
      <c r="Q805" s="191"/>
      <c r="R805" s="191"/>
    </row>
    <row r="806" spans="2:18" s="2" customFormat="1" ht="10.7" customHeight="1" x14ac:dyDescent="0.2">
      <c r="B806" s="49" t="s">
        <v>88</v>
      </c>
      <c r="C806" s="151">
        <v>0</v>
      </c>
      <c r="D806" s="152">
        <v>0</v>
      </c>
      <c r="E806" s="152">
        <v>0</v>
      </c>
      <c r="F806" s="153">
        <v>0</v>
      </c>
      <c r="G806" s="154">
        <v>0</v>
      </c>
      <c r="H806" s="183">
        <v>0</v>
      </c>
      <c r="I806" s="153">
        <v>0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150</v>
      </c>
      <c r="Q806" s="191"/>
      <c r="R806" s="191"/>
    </row>
    <row r="807" spans="2:18" s="2" customFormat="1" ht="10.7" customHeight="1" x14ac:dyDescent="0.2">
      <c r="B807" s="49" t="s">
        <v>89</v>
      </c>
      <c r="C807" s="151"/>
      <c r="D807" s="152"/>
      <c r="E807" s="152"/>
      <c r="F807" s="153"/>
      <c r="G807" s="154"/>
      <c r="H807" s="183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150</v>
      </c>
      <c r="Q807" s="191"/>
      <c r="R807" s="191"/>
    </row>
    <row r="808" spans="2:18" s="2" customFormat="1" ht="10.7" customHeight="1" x14ac:dyDescent="0.2">
      <c r="B808" s="49"/>
      <c r="C808" s="151"/>
      <c r="D808" s="152"/>
      <c r="E808" s="152"/>
      <c r="F808" s="153"/>
      <c r="G808" s="154"/>
      <c r="H808" s="183"/>
      <c r="I808" s="153"/>
      <c r="J808" s="154"/>
      <c r="K808" s="154"/>
      <c r="L808" s="154"/>
      <c r="M808" s="154"/>
      <c r="N808" s="46"/>
      <c r="O808" s="154"/>
      <c r="P808" s="41"/>
      <c r="Q808" s="191"/>
      <c r="R808" s="191"/>
    </row>
    <row r="809" spans="2:18" s="2" customFormat="1" ht="10.7" customHeight="1" x14ac:dyDescent="0.2">
      <c r="B809" s="40" t="s">
        <v>90</v>
      </c>
      <c r="C809" s="151">
        <v>0</v>
      </c>
      <c r="D809" s="152"/>
      <c r="E809" s="152"/>
      <c r="F809" s="153">
        <v>0</v>
      </c>
      <c r="G809" s="154"/>
      <c r="H809" s="183"/>
      <c r="I809" s="153">
        <v>0</v>
      </c>
      <c r="J809" s="154"/>
      <c r="K809" s="154"/>
      <c r="L809" s="154"/>
      <c r="M809" s="154"/>
      <c r="N809" s="46"/>
      <c r="O809" s="154"/>
      <c r="P809" s="41"/>
      <c r="Q809" s="191"/>
      <c r="R809" s="191"/>
    </row>
    <row r="810" spans="2:18" s="2" customFormat="1" ht="10.7" customHeight="1" x14ac:dyDescent="0.2">
      <c r="B810" s="197" t="s">
        <v>91</v>
      </c>
      <c r="C810" s="157">
        <v>0</v>
      </c>
      <c r="D810" s="160">
        <v>0</v>
      </c>
      <c r="E810" s="160">
        <v>0</v>
      </c>
      <c r="F810" s="156">
        <v>0</v>
      </c>
      <c r="G810" s="155">
        <v>0</v>
      </c>
      <c r="H810" s="188">
        <v>0</v>
      </c>
      <c r="I810" s="156">
        <v>0</v>
      </c>
      <c r="J810" s="155">
        <v>0</v>
      </c>
      <c r="K810" s="155">
        <v>0</v>
      </c>
      <c r="L810" s="155">
        <v>0</v>
      </c>
      <c r="M810" s="155">
        <v>0</v>
      </c>
      <c r="N810" s="58" t="s">
        <v>64</v>
      </c>
      <c r="O810" s="155">
        <v>0</v>
      </c>
      <c r="P810" s="54" t="s">
        <v>150</v>
      </c>
      <c r="Q810" s="191"/>
      <c r="R810" s="191"/>
    </row>
    <row r="811" spans="2:18" s="2" customFormat="1" ht="10.7" customHeight="1" x14ac:dyDescent="0.2">
      <c r="B811" s="191"/>
      <c r="C811" s="191"/>
      <c r="D811" s="191"/>
      <c r="E811" s="191"/>
      <c r="F811" s="192"/>
      <c r="G811" s="191"/>
      <c r="H811" s="191"/>
      <c r="I811" s="192"/>
      <c r="J811" s="191"/>
      <c r="K811" s="191"/>
      <c r="L811" s="191"/>
      <c r="M811" s="191"/>
      <c r="N811" s="194"/>
      <c r="O811" s="191"/>
      <c r="P811" s="194"/>
      <c r="Q811" s="191"/>
      <c r="R811" s="191"/>
    </row>
    <row r="812" spans="2:18" s="2" customFormat="1" ht="10.7" customHeight="1" x14ac:dyDescent="0.2">
      <c r="B812" s="191"/>
      <c r="C812" s="191"/>
      <c r="D812" s="191"/>
      <c r="E812" s="191"/>
      <c r="F812" s="192"/>
      <c r="G812" s="191"/>
      <c r="H812" s="191"/>
      <c r="I812" s="192"/>
      <c r="J812" s="191"/>
      <c r="K812" s="191"/>
      <c r="L812" s="191"/>
      <c r="M812" s="191"/>
      <c r="N812" s="194"/>
      <c r="O812" s="191"/>
      <c r="P812" s="194"/>
      <c r="Q812" s="191"/>
      <c r="R812" s="191"/>
    </row>
    <row r="813" spans="2:18" s="2" customFormat="1" ht="10.7" customHeight="1" x14ac:dyDescent="0.2">
      <c r="B813" s="14"/>
      <c r="C813" s="15" t="s">
        <v>147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1"/>
      <c r="R813" s="191"/>
    </row>
    <row r="814" spans="2:18" s="2" customFormat="1" ht="10.7" customHeight="1" x14ac:dyDescent="0.2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1"/>
      <c r="R814" s="191"/>
    </row>
    <row r="815" spans="2:18" s="2" customFormat="1" ht="10.7" customHeight="1" x14ac:dyDescent="0.2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44468</v>
      </c>
      <c r="K815" s="33">
        <v>44475</v>
      </c>
      <c r="L815" s="33">
        <v>44482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1"/>
      <c r="R815" s="191"/>
    </row>
    <row r="816" spans="2:18" s="2" customFormat="1" ht="10.7" customHeight="1" x14ac:dyDescent="0.2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1"/>
      <c r="R816" s="191"/>
    </row>
    <row r="817" spans="2:18" s="2" customFormat="1" ht="10.7" customHeight="1" x14ac:dyDescent="0.2">
      <c r="B817" s="40"/>
      <c r="C817" s="233" t="s">
        <v>115</v>
      </c>
      <c r="D817" s="235"/>
      <c r="E817" s="235"/>
      <c r="F817" s="235"/>
      <c r="G817" s="235"/>
      <c r="H817" s="235"/>
      <c r="I817" s="235"/>
      <c r="J817" s="235"/>
      <c r="K817" s="235"/>
      <c r="L817" s="235"/>
      <c r="M817" s="235"/>
      <c r="N817" s="235"/>
      <c r="O817" s="235"/>
      <c r="P817" s="41" t="s">
        <v>4</v>
      </c>
      <c r="Q817" s="191"/>
      <c r="R817" s="191"/>
    </row>
    <row r="818" spans="2:18" s="2" customFormat="1" ht="10.7" customHeight="1" x14ac:dyDescent="0.2">
      <c r="B818" s="40" t="s">
        <v>62</v>
      </c>
      <c r="C818" s="151">
        <v>0</v>
      </c>
      <c r="D818" s="152">
        <v>0</v>
      </c>
      <c r="E818" s="152">
        <v>0</v>
      </c>
      <c r="F818" s="153">
        <v>0</v>
      </c>
      <c r="G818" s="154">
        <v>0</v>
      </c>
      <c r="H818" s="183">
        <v>0</v>
      </c>
      <c r="I818" s="153">
        <v>0</v>
      </c>
      <c r="J818" s="154">
        <v>0</v>
      </c>
      <c r="K818" s="154">
        <v>0</v>
      </c>
      <c r="L818" s="154">
        <v>0</v>
      </c>
      <c r="M818" s="154">
        <v>0</v>
      </c>
      <c r="N818" s="46" t="s">
        <v>64</v>
      </c>
      <c r="O818" s="154">
        <v>0</v>
      </c>
      <c r="P818" s="41">
        <v>0</v>
      </c>
      <c r="Q818" s="191"/>
      <c r="R818" s="191"/>
    </row>
    <row r="819" spans="2:18" s="2" customFormat="1" ht="10.7" customHeight="1" x14ac:dyDescent="0.2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3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150</v>
      </c>
      <c r="Q819" s="191"/>
      <c r="R819" s="191"/>
    </row>
    <row r="820" spans="2:18" s="2" customFormat="1" ht="10.7" customHeight="1" x14ac:dyDescent="0.2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3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150</v>
      </c>
      <c r="Q820" s="191"/>
      <c r="R820" s="191"/>
    </row>
    <row r="821" spans="2:18" s="2" customFormat="1" ht="10.7" customHeight="1" x14ac:dyDescent="0.2">
      <c r="B821" s="40" t="s">
        <v>66</v>
      </c>
      <c r="C821" s="151">
        <v>0</v>
      </c>
      <c r="D821" s="152">
        <v>0</v>
      </c>
      <c r="E821" s="152">
        <v>0</v>
      </c>
      <c r="F821" s="153">
        <v>0</v>
      </c>
      <c r="G821" s="154">
        <v>0</v>
      </c>
      <c r="H821" s="183">
        <v>0</v>
      </c>
      <c r="I821" s="153">
        <v>0</v>
      </c>
      <c r="J821" s="154">
        <v>0</v>
      </c>
      <c r="K821" s="154">
        <v>0</v>
      </c>
      <c r="L821" s="154">
        <v>0</v>
      </c>
      <c r="M821" s="154">
        <v>0</v>
      </c>
      <c r="N821" s="46" t="s">
        <v>64</v>
      </c>
      <c r="O821" s="154">
        <v>0</v>
      </c>
      <c r="P821" s="41" t="s">
        <v>150</v>
      </c>
      <c r="Q821" s="191"/>
      <c r="R821" s="191"/>
    </row>
    <row r="822" spans="2:18" s="2" customFormat="1" ht="10.7" customHeight="1" x14ac:dyDescent="0.2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3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150</v>
      </c>
      <c r="Q822" s="191"/>
      <c r="R822" s="191"/>
    </row>
    <row r="823" spans="2:18" s="2" customFormat="1" ht="10.7" customHeight="1" x14ac:dyDescent="0.2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3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150</v>
      </c>
      <c r="Q823" s="191"/>
      <c r="R823" s="191"/>
    </row>
    <row r="824" spans="2:18" s="2" customFormat="1" ht="10.7" customHeight="1" x14ac:dyDescent="0.2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3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150</v>
      </c>
      <c r="Q824" s="191"/>
      <c r="R824" s="191"/>
    </row>
    <row r="825" spans="2:18" s="2" customFormat="1" ht="10.7" customHeight="1" x14ac:dyDescent="0.2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3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150</v>
      </c>
      <c r="Q825" s="191"/>
      <c r="R825" s="191"/>
    </row>
    <row r="826" spans="2:18" s="2" customFormat="1" ht="10.7" customHeight="1" x14ac:dyDescent="0.2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3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1"/>
      <c r="R826" s="191"/>
    </row>
    <row r="827" spans="2:18" s="2" customFormat="1" ht="10.7" customHeight="1" x14ac:dyDescent="0.2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3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1"/>
      <c r="R827" s="191"/>
    </row>
    <row r="828" spans="2:18" s="2" customFormat="1" ht="10.7" customHeight="1" x14ac:dyDescent="0.2">
      <c r="B828" s="47" t="s">
        <v>73</v>
      </c>
      <c r="C828" s="151">
        <v>0</v>
      </c>
      <c r="D828" s="152">
        <v>0</v>
      </c>
      <c r="E828" s="152">
        <v>0</v>
      </c>
      <c r="F828" s="153">
        <v>0</v>
      </c>
      <c r="G828" s="154">
        <v>0</v>
      </c>
      <c r="H828" s="183">
        <v>0</v>
      </c>
      <c r="I828" s="153">
        <v>0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>
        <v>0</v>
      </c>
      <c r="Q828" s="191"/>
      <c r="R828" s="191"/>
    </row>
    <row r="829" spans="2:18" s="2" customFormat="1" ht="10.7" customHeight="1" x14ac:dyDescent="0.2">
      <c r="B829" s="40"/>
      <c r="C829" s="151"/>
      <c r="D829" s="154"/>
      <c r="E829" s="152"/>
      <c r="F829" s="153"/>
      <c r="G829" s="154"/>
      <c r="H829" s="183"/>
      <c r="I829" s="153"/>
      <c r="J829" s="154"/>
      <c r="K829" s="154"/>
      <c r="L829" s="154"/>
      <c r="M829" s="154"/>
      <c r="N829" s="46"/>
      <c r="O829" s="154"/>
      <c r="P829" s="41"/>
      <c r="Q829" s="191"/>
      <c r="R829" s="191"/>
    </row>
    <row r="830" spans="2:18" s="2" customFormat="1" ht="10.7" customHeight="1" x14ac:dyDescent="0.2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3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1"/>
      <c r="R830" s="191"/>
    </row>
    <row r="831" spans="2:18" s="2" customFormat="1" ht="10.7" customHeight="1" x14ac:dyDescent="0.2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3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1"/>
      <c r="R831" s="191"/>
    </row>
    <row r="832" spans="2:18" s="2" customFormat="1" ht="10.7" customHeight="1" x14ac:dyDescent="0.2">
      <c r="B832" s="40" t="s">
        <v>157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3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150</v>
      </c>
      <c r="Q832" s="191"/>
      <c r="R832" s="191"/>
    </row>
    <row r="833" spans="2:18" s="2" customFormat="1" ht="10.7" customHeight="1" x14ac:dyDescent="0.2">
      <c r="B833" s="40" t="s">
        <v>76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3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150</v>
      </c>
      <c r="Q833" s="191"/>
      <c r="R833" s="191"/>
    </row>
    <row r="834" spans="2:18" s="2" customFormat="1" ht="10.7" customHeight="1" x14ac:dyDescent="0.2">
      <c r="B834" s="40" t="s">
        <v>77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3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1"/>
      <c r="R834" s="191"/>
    </row>
    <row r="835" spans="2:18" s="2" customFormat="1" ht="10.7" customHeight="1" x14ac:dyDescent="0.2">
      <c r="B835" s="40" t="s">
        <v>78</v>
      </c>
      <c r="C835" s="151">
        <v>0</v>
      </c>
      <c r="D835" s="152">
        <v>0</v>
      </c>
      <c r="E835" s="152">
        <v>0</v>
      </c>
      <c r="F835" s="153">
        <v>0</v>
      </c>
      <c r="G835" s="154">
        <v>0</v>
      </c>
      <c r="H835" s="183">
        <v>0</v>
      </c>
      <c r="I835" s="153">
        <v>0</v>
      </c>
      <c r="J835" s="154">
        <v>0</v>
      </c>
      <c r="K835" s="154">
        <v>0</v>
      </c>
      <c r="L835" s="154">
        <v>0</v>
      </c>
      <c r="M835" s="154">
        <v>0</v>
      </c>
      <c r="N835" s="46" t="s">
        <v>64</v>
      </c>
      <c r="O835" s="154">
        <v>0</v>
      </c>
      <c r="P835" s="41">
        <v>0</v>
      </c>
      <c r="Q835" s="191"/>
      <c r="R835" s="191"/>
    </row>
    <row r="836" spans="2:18" s="2" customFormat="1" ht="10.7" customHeight="1" x14ac:dyDescent="0.2">
      <c r="B836" s="40" t="s">
        <v>79</v>
      </c>
      <c r="C836" s="151">
        <v>0</v>
      </c>
      <c r="D836" s="152">
        <v>0</v>
      </c>
      <c r="E836" s="152">
        <v>0</v>
      </c>
      <c r="F836" s="153">
        <v>0</v>
      </c>
      <c r="G836" s="154">
        <v>0</v>
      </c>
      <c r="H836" s="183">
        <v>0</v>
      </c>
      <c r="I836" s="153">
        <v>0</v>
      </c>
      <c r="J836" s="154">
        <v>0</v>
      </c>
      <c r="K836" s="154">
        <v>0</v>
      </c>
      <c r="L836" s="154">
        <v>0</v>
      </c>
      <c r="M836" s="154">
        <v>0</v>
      </c>
      <c r="N836" s="46" t="s">
        <v>64</v>
      </c>
      <c r="O836" s="154">
        <v>0</v>
      </c>
      <c r="P836" s="41">
        <v>0</v>
      </c>
      <c r="Q836" s="191"/>
      <c r="R836" s="191"/>
    </row>
    <row r="837" spans="2:18" s="2" customFormat="1" ht="10.7" customHeight="1" x14ac:dyDescent="0.2">
      <c r="B837" s="40" t="s">
        <v>80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3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150</v>
      </c>
      <c r="Q837" s="191"/>
      <c r="R837" s="191"/>
    </row>
    <row r="838" spans="2:18" s="2" customFormat="1" ht="10.7" customHeight="1" x14ac:dyDescent="0.2">
      <c r="B838" s="40" t="s">
        <v>81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3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150</v>
      </c>
      <c r="Q838" s="191"/>
      <c r="R838" s="191"/>
    </row>
    <row r="839" spans="2:18" s="2" customFormat="1" ht="10.7" customHeight="1" x14ac:dyDescent="0.2">
      <c r="B839" s="184" t="s">
        <v>82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3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150</v>
      </c>
      <c r="Q839" s="191"/>
      <c r="R839" s="191"/>
    </row>
    <row r="840" spans="2:18" s="2" customFormat="1" ht="10.7" customHeight="1" x14ac:dyDescent="0.2">
      <c r="B840" s="221" t="s">
        <v>111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3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1"/>
      <c r="R840" s="191"/>
    </row>
    <row r="841" spans="2:18" s="2" customFormat="1" ht="10.7" customHeight="1" x14ac:dyDescent="0.2">
      <c r="B841" s="205" t="s">
        <v>84</v>
      </c>
      <c r="C841" s="151">
        <v>0</v>
      </c>
      <c r="D841" s="152">
        <v>0</v>
      </c>
      <c r="E841" s="152">
        <v>0</v>
      </c>
      <c r="F841" s="153">
        <v>0</v>
      </c>
      <c r="G841" s="154">
        <v>0</v>
      </c>
      <c r="H841" s="183">
        <v>0</v>
      </c>
      <c r="I841" s="153">
        <v>0</v>
      </c>
      <c r="J841" s="154">
        <v>0</v>
      </c>
      <c r="K841" s="154">
        <v>0</v>
      </c>
      <c r="L841" s="154">
        <v>0</v>
      </c>
      <c r="M841" s="154">
        <v>0</v>
      </c>
      <c r="N841" s="46" t="s">
        <v>64</v>
      </c>
      <c r="O841" s="154">
        <v>0</v>
      </c>
      <c r="P841" s="41">
        <v>0</v>
      </c>
      <c r="Q841" s="191"/>
      <c r="R841" s="191"/>
    </row>
    <row r="842" spans="2:18" s="2" customFormat="1" ht="10.7" customHeight="1" x14ac:dyDescent="0.2">
      <c r="B842" s="40" t="s">
        <v>85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3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150</v>
      </c>
      <c r="Q842" s="191"/>
      <c r="R842" s="191"/>
    </row>
    <row r="843" spans="2:18" s="2" customFormat="1" ht="10.7" customHeight="1" x14ac:dyDescent="0.2">
      <c r="B843" s="196" t="s">
        <v>86</v>
      </c>
      <c r="C843" s="151">
        <v>0</v>
      </c>
      <c r="D843" s="154">
        <v>0</v>
      </c>
      <c r="E843" s="152">
        <v>0</v>
      </c>
      <c r="F843" s="153">
        <v>0</v>
      </c>
      <c r="G843" s="154">
        <v>0</v>
      </c>
      <c r="H843" s="183">
        <v>0</v>
      </c>
      <c r="I843" s="153">
        <v>0</v>
      </c>
      <c r="J843" s="154">
        <v>0</v>
      </c>
      <c r="K843" s="154">
        <v>0</v>
      </c>
      <c r="L843" s="154">
        <v>0</v>
      </c>
      <c r="M843" s="154">
        <v>0</v>
      </c>
      <c r="N843" s="46" t="s">
        <v>64</v>
      </c>
      <c r="O843" s="154">
        <v>0</v>
      </c>
      <c r="P843" s="41">
        <v>0</v>
      </c>
      <c r="Q843" s="191"/>
      <c r="R843" s="191"/>
    </row>
    <row r="844" spans="2:18" s="2" customFormat="1" ht="10.7" customHeight="1" x14ac:dyDescent="0.2">
      <c r="B844" s="205"/>
      <c r="C844" s="151"/>
      <c r="D844" s="154"/>
      <c r="E844" s="152"/>
      <c r="F844" s="153"/>
      <c r="G844" s="154"/>
      <c r="H844" s="183"/>
      <c r="I844" s="153"/>
      <c r="J844" s="154"/>
      <c r="K844" s="154"/>
      <c r="L844" s="154"/>
      <c r="M844" s="154"/>
      <c r="N844" s="46"/>
      <c r="O844" s="154"/>
      <c r="P844" s="41"/>
      <c r="Q844" s="191"/>
      <c r="R844" s="191"/>
    </row>
    <row r="845" spans="2:18" s="2" customFormat="1" ht="10.7" customHeight="1" x14ac:dyDescent="0.2">
      <c r="B845" s="57" t="s">
        <v>87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3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150</v>
      </c>
      <c r="Q845" s="191"/>
      <c r="R845" s="191"/>
    </row>
    <row r="846" spans="2:18" s="2" customFormat="1" ht="10.7" customHeight="1" x14ac:dyDescent="0.2">
      <c r="B846" s="49" t="s">
        <v>88</v>
      </c>
      <c r="C846" s="151">
        <v>0</v>
      </c>
      <c r="D846" s="152">
        <v>0</v>
      </c>
      <c r="E846" s="152">
        <v>0</v>
      </c>
      <c r="F846" s="153">
        <v>0</v>
      </c>
      <c r="G846" s="154">
        <v>0</v>
      </c>
      <c r="H846" s="183">
        <v>0</v>
      </c>
      <c r="I846" s="153">
        <v>0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150</v>
      </c>
      <c r="Q846" s="191"/>
      <c r="R846" s="191"/>
    </row>
    <row r="847" spans="2:18" s="2" customFormat="1" ht="10.7" customHeight="1" x14ac:dyDescent="0.2">
      <c r="B847" s="49" t="s">
        <v>89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3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150</v>
      </c>
      <c r="Q847" s="191"/>
      <c r="R847" s="191"/>
    </row>
    <row r="848" spans="2:18" s="2" customFormat="1" ht="10.7" customHeight="1" x14ac:dyDescent="0.2">
      <c r="B848" s="49"/>
      <c r="C848" s="151"/>
      <c r="D848" s="152"/>
      <c r="E848" s="152"/>
      <c r="F848" s="153"/>
      <c r="G848" s="154"/>
      <c r="H848" s="183"/>
      <c r="I848" s="153"/>
      <c r="J848" s="154"/>
      <c r="K848" s="154"/>
      <c r="L848" s="154"/>
      <c r="M848" s="154"/>
      <c r="N848" s="46"/>
      <c r="O848" s="154"/>
      <c r="P848" s="41"/>
      <c r="Q848" s="191"/>
      <c r="R848" s="191"/>
    </row>
    <row r="849" spans="1:18" ht="10.7" customHeight="1" x14ac:dyDescent="0.2">
      <c r="A849" s="2"/>
      <c r="B849" s="40" t="s">
        <v>90</v>
      </c>
      <c r="C849" s="151">
        <v>0</v>
      </c>
      <c r="D849" s="152"/>
      <c r="E849" s="152"/>
      <c r="F849" s="153">
        <v>0</v>
      </c>
      <c r="G849" s="154"/>
      <c r="H849" s="183"/>
      <c r="I849" s="153">
        <v>0</v>
      </c>
      <c r="J849" s="154"/>
      <c r="K849" s="154"/>
      <c r="L849" s="154"/>
      <c r="M849" s="154"/>
      <c r="N849" s="46"/>
      <c r="O849" s="154"/>
      <c r="P849" s="41"/>
      <c r="Q849" s="191"/>
      <c r="R849" s="191"/>
    </row>
    <row r="850" spans="1:18" ht="10.7" customHeight="1" x14ac:dyDescent="0.2">
      <c r="A850" s="2"/>
      <c r="B850" s="197" t="s">
        <v>91</v>
      </c>
      <c r="C850" s="157">
        <v>0</v>
      </c>
      <c r="D850" s="160"/>
      <c r="E850" s="160">
        <v>0</v>
      </c>
      <c r="F850" s="167">
        <v>0</v>
      </c>
      <c r="G850" s="155">
        <v>0</v>
      </c>
      <c r="H850" s="188">
        <v>0</v>
      </c>
      <c r="I850" s="156">
        <v>0</v>
      </c>
      <c r="J850" s="155">
        <v>0</v>
      </c>
      <c r="K850" s="155">
        <v>0</v>
      </c>
      <c r="L850" s="155">
        <v>0</v>
      </c>
      <c r="M850" s="155">
        <v>0</v>
      </c>
      <c r="N850" s="58" t="s">
        <v>64</v>
      </c>
      <c r="O850" s="155">
        <v>0</v>
      </c>
      <c r="P850" s="54" t="s">
        <v>150</v>
      </c>
      <c r="Q850" s="191"/>
      <c r="R850" s="191"/>
    </row>
    <row r="851" spans="1:18" ht="10.7" customHeight="1" x14ac:dyDescent="0.2">
      <c r="A851" s="2"/>
      <c r="B851" s="191"/>
      <c r="C851" s="191"/>
      <c r="D851" s="191"/>
      <c r="E851" s="191"/>
      <c r="F851" s="192"/>
      <c r="G851" s="191"/>
      <c r="H851" s="191"/>
      <c r="I851" s="192"/>
      <c r="J851" s="191"/>
      <c r="K851" s="191"/>
      <c r="L851" s="191"/>
      <c r="M851" s="191"/>
      <c r="N851" s="194"/>
      <c r="O851" s="191"/>
      <c r="P851" s="194"/>
      <c r="Q851" s="191"/>
      <c r="R851" s="191"/>
    </row>
    <row r="853" spans="1:18" ht="10.7" customHeight="1" x14ac:dyDescent="0.2">
      <c r="A853" s="2"/>
      <c r="B853" s="14"/>
      <c r="C853" s="15" t="s">
        <v>147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8" ht="10.7" customHeight="1" x14ac:dyDescent="0.2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8" ht="10.7" customHeight="1" x14ac:dyDescent="0.2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44468</v>
      </c>
      <c r="K855" s="33">
        <v>44475</v>
      </c>
      <c r="L855" s="33">
        <v>44482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8" ht="10.7" customHeight="1" x14ac:dyDescent="0.2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8" ht="10.7" customHeight="1" x14ac:dyDescent="0.2">
      <c r="A857" s="2"/>
      <c r="B857" s="40"/>
      <c r="C857" s="233" t="s">
        <v>144</v>
      </c>
      <c r="D857" s="234"/>
      <c r="E857" s="234"/>
      <c r="F857" s="234"/>
      <c r="G857" s="234"/>
      <c r="H857" s="234"/>
      <c r="I857" s="234"/>
      <c r="J857" s="234"/>
      <c r="K857" s="234"/>
      <c r="L857" s="234"/>
      <c r="M857" s="234"/>
      <c r="N857" s="234"/>
      <c r="O857" s="234"/>
      <c r="P857" s="41" t="s">
        <v>4</v>
      </c>
    </row>
    <row r="858" spans="1:18" ht="10.7" customHeight="1" x14ac:dyDescent="0.2">
      <c r="A858" s="2"/>
      <c r="B858" s="40" t="s">
        <v>62</v>
      </c>
      <c r="C858" s="151">
        <v>0</v>
      </c>
      <c r="D858" s="152">
        <v>0</v>
      </c>
      <c r="E858" s="152">
        <v>0</v>
      </c>
      <c r="F858" s="153">
        <v>0</v>
      </c>
      <c r="G858" s="154">
        <v>0</v>
      </c>
      <c r="H858" s="183">
        <v>0</v>
      </c>
      <c r="I858" s="153">
        <v>0</v>
      </c>
      <c r="J858" s="154">
        <v>0</v>
      </c>
      <c r="K858" s="154">
        <v>0</v>
      </c>
      <c r="L858" s="154">
        <v>0</v>
      </c>
      <c r="M858" s="154">
        <v>0</v>
      </c>
      <c r="N858" s="46" t="s">
        <v>64</v>
      </c>
      <c r="O858" s="154">
        <v>0</v>
      </c>
      <c r="P858" s="41">
        <v>0</v>
      </c>
    </row>
    <row r="859" spans="1:18" ht="10.7" customHeight="1" x14ac:dyDescent="0.2">
      <c r="A859" s="2"/>
      <c r="B859" s="40" t="s">
        <v>63</v>
      </c>
      <c r="C859" s="151">
        <v>0</v>
      </c>
      <c r="D859" s="152">
        <v>0</v>
      </c>
      <c r="E859" s="152">
        <v>0</v>
      </c>
      <c r="F859" s="153">
        <v>0</v>
      </c>
      <c r="G859" s="154">
        <v>0</v>
      </c>
      <c r="H859" s="183">
        <v>0</v>
      </c>
      <c r="I859" s="153">
        <v>0</v>
      </c>
      <c r="J859" s="154">
        <v>0</v>
      </c>
      <c r="K859" s="154">
        <v>0</v>
      </c>
      <c r="L859" s="154">
        <v>0</v>
      </c>
      <c r="M859" s="154">
        <v>0</v>
      </c>
      <c r="N859" s="46" t="s">
        <v>64</v>
      </c>
      <c r="O859" s="154">
        <v>0</v>
      </c>
      <c r="P859" s="41">
        <v>0</v>
      </c>
    </row>
    <row r="860" spans="1:18" ht="10.7" customHeight="1" x14ac:dyDescent="0.2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3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8" ht="10.7" customHeight="1" x14ac:dyDescent="0.2">
      <c r="A861" s="2"/>
      <c r="B861" s="40" t="s">
        <v>66</v>
      </c>
      <c r="C861" s="151">
        <v>0</v>
      </c>
      <c r="D861" s="152">
        <v>0</v>
      </c>
      <c r="E861" s="152">
        <v>0</v>
      </c>
      <c r="F861" s="153">
        <v>0</v>
      </c>
      <c r="G861" s="154">
        <v>0</v>
      </c>
      <c r="H861" s="183">
        <v>0</v>
      </c>
      <c r="I861" s="153">
        <v>0</v>
      </c>
      <c r="J861" s="154">
        <v>0</v>
      </c>
      <c r="K861" s="154">
        <v>0</v>
      </c>
      <c r="L861" s="154">
        <v>0</v>
      </c>
      <c r="M861" s="154">
        <v>0</v>
      </c>
      <c r="N861" s="46" t="s">
        <v>64</v>
      </c>
      <c r="O861" s="154">
        <v>0</v>
      </c>
      <c r="P861" s="41">
        <v>0</v>
      </c>
    </row>
    <row r="862" spans="1:18" ht="10.7" customHeight="1" x14ac:dyDescent="0.2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3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8" ht="10.7" customHeight="1" x14ac:dyDescent="0.2">
      <c r="A863" s="2"/>
      <c r="B863" s="40" t="s">
        <v>68</v>
      </c>
      <c r="C863" s="151">
        <v>0</v>
      </c>
      <c r="D863" s="152">
        <v>0</v>
      </c>
      <c r="E863" s="152">
        <v>0</v>
      </c>
      <c r="F863" s="153">
        <v>0</v>
      </c>
      <c r="G863" s="154">
        <v>0</v>
      </c>
      <c r="H863" s="183">
        <v>0</v>
      </c>
      <c r="I863" s="153">
        <v>0</v>
      </c>
      <c r="J863" s="154">
        <v>0</v>
      </c>
      <c r="K863" s="154">
        <v>0</v>
      </c>
      <c r="L863" s="154">
        <v>0</v>
      </c>
      <c r="M863" s="154">
        <v>0</v>
      </c>
      <c r="N863" s="46" t="s">
        <v>64</v>
      </c>
      <c r="O863" s="154">
        <v>0</v>
      </c>
      <c r="P863" s="41">
        <v>0</v>
      </c>
    </row>
    <row r="864" spans="1:18" ht="10.7" customHeight="1" x14ac:dyDescent="0.2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3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7" customHeight="1" x14ac:dyDescent="0.2">
      <c r="A865" s="168"/>
      <c r="B865" s="40" t="s">
        <v>70</v>
      </c>
      <c r="C865" s="151">
        <v>0</v>
      </c>
      <c r="D865" s="152">
        <v>0</v>
      </c>
      <c r="E865" s="152">
        <v>0</v>
      </c>
      <c r="F865" s="153">
        <v>0</v>
      </c>
      <c r="G865" s="154">
        <v>0</v>
      </c>
      <c r="H865" s="183">
        <v>0</v>
      </c>
      <c r="I865" s="153">
        <v>0</v>
      </c>
      <c r="J865" s="154">
        <v>0</v>
      </c>
      <c r="K865" s="154">
        <v>0</v>
      </c>
      <c r="L865" s="154">
        <v>0</v>
      </c>
      <c r="M865" s="154">
        <v>0</v>
      </c>
      <c r="N865" s="46" t="s">
        <v>64</v>
      </c>
      <c r="O865" s="154">
        <v>0</v>
      </c>
      <c r="P865" s="41">
        <v>0</v>
      </c>
    </row>
    <row r="866" spans="1:16" s="2" customFormat="1" ht="10.7" customHeight="1" x14ac:dyDescent="0.2">
      <c r="A866" s="168"/>
      <c r="B866" s="40" t="s">
        <v>71</v>
      </c>
      <c r="C866" s="151">
        <v>0</v>
      </c>
      <c r="D866" s="152">
        <v>0</v>
      </c>
      <c r="E866" s="152">
        <v>0</v>
      </c>
      <c r="F866" s="153">
        <v>0</v>
      </c>
      <c r="G866" s="154">
        <v>0</v>
      </c>
      <c r="H866" s="183">
        <v>0</v>
      </c>
      <c r="I866" s="153">
        <v>0</v>
      </c>
      <c r="J866" s="154">
        <v>0</v>
      </c>
      <c r="K866" s="154">
        <v>0</v>
      </c>
      <c r="L866" s="154">
        <v>0</v>
      </c>
      <c r="M866" s="154">
        <v>0</v>
      </c>
      <c r="N866" s="46" t="s">
        <v>64</v>
      </c>
      <c r="O866" s="154">
        <v>0</v>
      </c>
      <c r="P866" s="41">
        <v>0</v>
      </c>
    </row>
    <row r="867" spans="1:16" s="2" customFormat="1" ht="10.7" customHeight="1" x14ac:dyDescent="0.2">
      <c r="A867" s="168"/>
      <c r="B867" s="40" t="s">
        <v>72</v>
      </c>
      <c r="C867" s="151">
        <v>0</v>
      </c>
      <c r="D867" s="152">
        <v>0</v>
      </c>
      <c r="E867" s="152">
        <v>0</v>
      </c>
      <c r="F867" s="153">
        <v>0</v>
      </c>
      <c r="G867" s="154">
        <v>0</v>
      </c>
      <c r="H867" s="183">
        <v>0</v>
      </c>
      <c r="I867" s="153">
        <v>0</v>
      </c>
      <c r="J867" s="154">
        <v>0</v>
      </c>
      <c r="K867" s="154">
        <v>0</v>
      </c>
      <c r="L867" s="154">
        <v>0</v>
      </c>
      <c r="M867" s="154">
        <v>0</v>
      </c>
      <c r="N867" s="46" t="s">
        <v>64</v>
      </c>
      <c r="O867" s="154">
        <v>0</v>
      </c>
      <c r="P867" s="41">
        <v>0</v>
      </c>
    </row>
    <row r="868" spans="1:16" s="2" customFormat="1" ht="10.7" customHeight="1" x14ac:dyDescent="0.2">
      <c r="A868" s="168"/>
      <c r="B868" s="47" t="s">
        <v>73</v>
      </c>
      <c r="C868" s="151">
        <v>0</v>
      </c>
      <c r="D868" s="152">
        <v>0</v>
      </c>
      <c r="E868" s="152">
        <v>0</v>
      </c>
      <c r="F868" s="153">
        <v>0</v>
      </c>
      <c r="G868" s="154">
        <v>0</v>
      </c>
      <c r="H868" s="183">
        <v>0</v>
      </c>
      <c r="I868" s="153">
        <v>0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>
        <v>0</v>
      </c>
    </row>
    <row r="869" spans="1:16" s="2" customFormat="1" ht="10.7" customHeight="1" x14ac:dyDescent="0.2">
      <c r="A869" s="168"/>
      <c r="B869" s="40"/>
      <c r="C869" s="151"/>
      <c r="D869" s="154"/>
      <c r="E869" s="152"/>
      <c r="F869" s="153"/>
      <c r="G869" s="154"/>
      <c r="H869" s="183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7" customHeight="1" x14ac:dyDescent="0.2">
      <c r="A870" s="168"/>
      <c r="B870" s="40" t="s">
        <v>74</v>
      </c>
      <c r="C870" s="151">
        <v>0</v>
      </c>
      <c r="D870" s="152">
        <v>0</v>
      </c>
      <c r="E870" s="152">
        <v>0</v>
      </c>
      <c r="F870" s="153">
        <v>0</v>
      </c>
      <c r="G870" s="154">
        <v>0</v>
      </c>
      <c r="H870" s="183">
        <v>0</v>
      </c>
      <c r="I870" s="153">
        <v>0</v>
      </c>
      <c r="J870" s="154">
        <v>0</v>
      </c>
      <c r="K870" s="154">
        <v>0</v>
      </c>
      <c r="L870" s="154">
        <v>0</v>
      </c>
      <c r="M870" s="154">
        <v>0</v>
      </c>
      <c r="N870" s="46" t="s">
        <v>64</v>
      </c>
      <c r="O870" s="154">
        <v>0</v>
      </c>
      <c r="P870" s="41">
        <v>0</v>
      </c>
    </row>
    <row r="871" spans="1:16" s="2" customFormat="1" ht="10.7" customHeight="1" x14ac:dyDescent="0.2">
      <c r="A871" s="168"/>
      <c r="B871" s="40" t="s">
        <v>75</v>
      </c>
      <c r="C871" s="151">
        <v>0</v>
      </c>
      <c r="D871" s="152">
        <v>0</v>
      </c>
      <c r="E871" s="152">
        <v>0</v>
      </c>
      <c r="F871" s="153">
        <v>0</v>
      </c>
      <c r="G871" s="154">
        <v>0</v>
      </c>
      <c r="H871" s="183">
        <v>0</v>
      </c>
      <c r="I871" s="153">
        <v>0</v>
      </c>
      <c r="J871" s="154">
        <v>0</v>
      </c>
      <c r="K871" s="154">
        <v>0</v>
      </c>
      <c r="L871" s="154">
        <v>0</v>
      </c>
      <c r="M871" s="154">
        <v>0</v>
      </c>
      <c r="N871" s="46" t="s">
        <v>64</v>
      </c>
      <c r="O871" s="154">
        <v>0</v>
      </c>
      <c r="P871" s="41">
        <v>0</v>
      </c>
    </row>
    <row r="872" spans="1:16" s="2" customFormat="1" ht="10.7" customHeight="1" x14ac:dyDescent="0.2">
      <c r="A872" s="168"/>
      <c r="B872" s="40" t="s">
        <v>157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3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7" customHeight="1" x14ac:dyDescent="0.2">
      <c r="A873" s="168"/>
      <c r="B873" s="40" t="s">
        <v>76</v>
      </c>
      <c r="C873" s="151">
        <v>0</v>
      </c>
      <c r="D873" s="152">
        <v>0</v>
      </c>
      <c r="E873" s="152">
        <v>0</v>
      </c>
      <c r="F873" s="153">
        <v>0</v>
      </c>
      <c r="G873" s="154">
        <v>0</v>
      </c>
      <c r="H873" s="183">
        <v>0</v>
      </c>
      <c r="I873" s="153">
        <v>0</v>
      </c>
      <c r="J873" s="154">
        <v>0</v>
      </c>
      <c r="K873" s="154">
        <v>0</v>
      </c>
      <c r="L873" s="154">
        <v>0</v>
      </c>
      <c r="M873" s="154">
        <v>0</v>
      </c>
      <c r="N873" s="46" t="s">
        <v>64</v>
      </c>
      <c r="O873" s="154">
        <v>0</v>
      </c>
      <c r="P873" s="41">
        <v>0</v>
      </c>
    </row>
    <row r="874" spans="1:16" s="2" customFormat="1" ht="10.7" customHeight="1" x14ac:dyDescent="0.2">
      <c r="A874" s="168"/>
      <c r="B874" s="40" t="s">
        <v>77</v>
      </c>
      <c r="C874" s="151">
        <v>0</v>
      </c>
      <c r="D874" s="152">
        <v>0</v>
      </c>
      <c r="E874" s="152">
        <v>0</v>
      </c>
      <c r="F874" s="153">
        <v>0</v>
      </c>
      <c r="G874" s="154">
        <v>0</v>
      </c>
      <c r="H874" s="183">
        <v>0</v>
      </c>
      <c r="I874" s="153">
        <v>0</v>
      </c>
      <c r="J874" s="154">
        <v>0</v>
      </c>
      <c r="K874" s="154">
        <v>0</v>
      </c>
      <c r="L874" s="154">
        <v>0</v>
      </c>
      <c r="M874" s="154">
        <v>0</v>
      </c>
      <c r="N874" s="46" t="s">
        <v>64</v>
      </c>
      <c r="O874" s="154">
        <v>0</v>
      </c>
      <c r="P874" s="41">
        <v>0</v>
      </c>
    </row>
    <row r="875" spans="1:16" s="2" customFormat="1" ht="10.7" customHeight="1" x14ac:dyDescent="0.2">
      <c r="A875" s="168"/>
      <c r="B875" s="40" t="s">
        <v>78</v>
      </c>
      <c r="C875" s="151">
        <v>0</v>
      </c>
      <c r="D875" s="152">
        <v>0</v>
      </c>
      <c r="E875" s="152">
        <v>0</v>
      </c>
      <c r="F875" s="153">
        <v>0</v>
      </c>
      <c r="G875" s="154">
        <v>0</v>
      </c>
      <c r="H875" s="183">
        <v>0</v>
      </c>
      <c r="I875" s="153">
        <v>0</v>
      </c>
      <c r="J875" s="154">
        <v>0</v>
      </c>
      <c r="K875" s="154">
        <v>0</v>
      </c>
      <c r="L875" s="154">
        <v>0</v>
      </c>
      <c r="M875" s="154">
        <v>0</v>
      </c>
      <c r="N875" s="46" t="s">
        <v>64</v>
      </c>
      <c r="O875" s="154">
        <v>0</v>
      </c>
      <c r="P875" s="41">
        <v>0</v>
      </c>
    </row>
    <row r="876" spans="1:16" s="2" customFormat="1" ht="10.7" customHeight="1" x14ac:dyDescent="0.2">
      <c r="A876" s="168"/>
      <c r="B876" s="40" t="s">
        <v>79</v>
      </c>
      <c r="C876" s="151">
        <v>0</v>
      </c>
      <c r="D876" s="152">
        <v>0</v>
      </c>
      <c r="E876" s="152">
        <v>0</v>
      </c>
      <c r="F876" s="153">
        <v>0</v>
      </c>
      <c r="G876" s="154">
        <v>0</v>
      </c>
      <c r="H876" s="183">
        <v>0</v>
      </c>
      <c r="I876" s="153">
        <v>0</v>
      </c>
      <c r="J876" s="154">
        <v>0</v>
      </c>
      <c r="K876" s="154">
        <v>0</v>
      </c>
      <c r="L876" s="154">
        <v>0</v>
      </c>
      <c r="M876" s="154">
        <v>0</v>
      </c>
      <c r="N876" s="46" t="s">
        <v>64</v>
      </c>
      <c r="O876" s="154">
        <v>0</v>
      </c>
      <c r="P876" s="41">
        <v>0</v>
      </c>
    </row>
    <row r="877" spans="1:16" s="2" customFormat="1" ht="10.7" customHeight="1" x14ac:dyDescent="0.2">
      <c r="A877" s="168"/>
      <c r="B877" s="40" t="s">
        <v>80</v>
      </c>
      <c r="C877" s="151">
        <v>0</v>
      </c>
      <c r="D877" s="152">
        <v>0</v>
      </c>
      <c r="E877" s="152">
        <v>0</v>
      </c>
      <c r="F877" s="153">
        <v>0</v>
      </c>
      <c r="G877" s="154">
        <v>0</v>
      </c>
      <c r="H877" s="183">
        <v>0</v>
      </c>
      <c r="I877" s="153">
        <v>0</v>
      </c>
      <c r="J877" s="154">
        <v>0</v>
      </c>
      <c r="K877" s="154">
        <v>0</v>
      </c>
      <c r="L877" s="154">
        <v>0</v>
      </c>
      <c r="M877" s="154">
        <v>0</v>
      </c>
      <c r="N877" s="46" t="s">
        <v>64</v>
      </c>
      <c r="O877" s="154">
        <v>0</v>
      </c>
      <c r="P877" s="41">
        <v>0</v>
      </c>
    </row>
    <row r="878" spans="1:16" s="2" customFormat="1" ht="10.7" customHeight="1" x14ac:dyDescent="0.2">
      <c r="A878" s="168"/>
      <c r="B878" s="40" t="s">
        <v>81</v>
      </c>
      <c r="C878" s="151">
        <v>0</v>
      </c>
      <c r="D878" s="152">
        <v>0</v>
      </c>
      <c r="E878" s="152">
        <v>0</v>
      </c>
      <c r="F878" s="153">
        <v>0</v>
      </c>
      <c r="G878" s="154">
        <v>0</v>
      </c>
      <c r="H878" s="183">
        <v>0</v>
      </c>
      <c r="I878" s="153">
        <v>0</v>
      </c>
      <c r="J878" s="154">
        <v>0</v>
      </c>
      <c r="K878" s="154">
        <v>0</v>
      </c>
      <c r="L878" s="154">
        <v>0</v>
      </c>
      <c r="M878" s="154">
        <v>0</v>
      </c>
      <c r="N878" s="46" t="s">
        <v>64</v>
      </c>
      <c r="O878" s="154">
        <v>0</v>
      </c>
      <c r="P878" s="41">
        <v>0</v>
      </c>
    </row>
    <row r="879" spans="1:16" s="2" customFormat="1" ht="10.7" customHeight="1" x14ac:dyDescent="0.2">
      <c r="A879" s="168"/>
      <c r="B879" s="184" t="s">
        <v>82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3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7" customHeight="1" x14ac:dyDescent="0.2">
      <c r="A880" s="168"/>
      <c r="B880" s="184" t="s">
        <v>83</v>
      </c>
      <c r="C880" s="151">
        <v>0</v>
      </c>
      <c r="D880" s="152">
        <v>0</v>
      </c>
      <c r="E880" s="152">
        <v>0</v>
      </c>
      <c r="F880" s="153">
        <v>0</v>
      </c>
      <c r="G880" s="154">
        <v>0</v>
      </c>
      <c r="H880" s="183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7" customHeight="1" x14ac:dyDescent="0.2">
      <c r="A881" s="168"/>
      <c r="B881" s="205" t="s">
        <v>84</v>
      </c>
      <c r="C881" s="151">
        <v>0</v>
      </c>
      <c r="D881" s="152">
        <v>0</v>
      </c>
      <c r="E881" s="152">
        <v>0</v>
      </c>
      <c r="F881" s="153">
        <v>0</v>
      </c>
      <c r="G881" s="154">
        <v>0</v>
      </c>
      <c r="H881" s="183">
        <v>0</v>
      </c>
      <c r="I881" s="153">
        <v>0</v>
      </c>
      <c r="J881" s="154">
        <v>0</v>
      </c>
      <c r="K881" s="154">
        <v>0</v>
      </c>
      <c r="L881" s="154">
        <v>0</v>
      </c>
      <c r="M881" s="154">
        <v>0</v>
      </c>
      <c r="N881" s="46" t="s">
        <v>64</v>
      </c>
      <c r="O881" s="154">
        <v>0</v>
      </c>
      <c r="P881" s="41">
        <v>0</v>
      </c>
    </row>
    <row r="882" spans="1:16" s="2" customFormat="1" ht="10.7" customHeight="1" x14ac:dyDescent="0.2">
      <c r="A882" s="168"/>
      <c r="B882" s="40" t="s">
        <v>85</v>
      </c>
      <c r="C882" s="151">
        <v>0</v>
      </c>
      <c r="D882" s="152">
        <v>0</v>
      </c>
      <c r="E882" s="152">
        <v>0</v>
      </c>
      <c r="F882" s="153">
        <v>0</v>
      </c>
      <c r="G882" s="154">
        <v>0</v>
      </c>
      <c r="H882" s="183">
        <v>0</v>
      </c>
      <c r="I882" s="153">
        <v>0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116</v>
      </c>
      <c r="O882" s="154">
        <v>0</v>
      </c>
      <c r="P882" s="41">
        <v>0</v>
      </c>
    </row>
    <row r="883" spans="1:16" s="2" customFormat="1" ht="10.7" customHeight="1" x14ac:dyDescent="0.2">
      <c r="A883" s="168"/>
      <c r="B883" s="196" t="s">
        <v>86</v>
      </c>
      <c r="C883" s="151">
        <v>0</v>
      </c>
      <c r="D883" s="154">
        <v>0</v>
      </c>
      <c r="E883" s="152">
        <v>0</v>
      </c>
      <c r="F883" s="153">
        <v>0</v>
      </c>
      <c r="G883" s="154">
        <v>0</v>
      </c>
      <c r="H883" s="183">
        <v>0</v>
      </c>
      <c r="I883" s="153">
        <v>0</v>
      </c>
      <c r="J883" s="154">
        <v>0</v>
      </c>
      <c r="K883" s="154">
        <v>0</v>
      </c>
      <c r="L883" s="154">
        <v>0</v>
      </c>
      <c r="M883" s="154">
        <v>0</v>
      </c>
      <c r="N883" s="46" t="s">
        <v>64</v>
      </c>
      <c r="O883" s="154">
        <v>0</v>
      </c>
      <c r="P883" s="41">
        <v>0</v>
      </c>
    </row>
    <row r="884" spans="1:16" s="2" customFormat="1" ht="10.7" customHeight="1" x14ac:dyDescent="0.2">
      <c r="A884" s="168"/>
      <c r="B884" s="205"/>
      <c r="C884" s="151"/>
      <c r="D884" s="154"/>
      <c r="E884" s="152"/>
      <c r="F884" s="153"/>
      <c r="G884" s="154"/>
      <c r="H884" s="183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7" customHeight="1" x14ac:dyDescent="0.2">
      <c r="A885" s="168"/>
      <c r="B885" s="57" t="s">
        <v>87</v>
      </c>
      <c r="C885" s="151">
        <v>0</v>
      </c>
      <c r="D885" s="152"/>
      <c r="E885" s="152">
        <v>0</v>
      </c>
      <c r="F885" s="153">
        <v>0</v>
      </c>
      <c r="G885" s="154"/>
      <c r="H885" s="183">
        <v>0</v>
      </c>
      <c r="I885" s="153">
        <v>0</v>
      </c>
      <c r="J885" s="154"/>
      <c r="K885" s="154"/>
      <c r="L885" s="154"/>
      <c r="M885" s="154"/>
      <c r="N885" s="46" t="s">
        <v>64</v>
      </c>
      <c r="O885" s="154">
        <v>0</v>
      </c>
      <c r="P885" s="41">
        <v>0</v>
      </c>
    </row>
    <row r="886" spans="1:16" s="2" customFormat="1" ht="10.7" customHeight="1" x14ac:dyDescent="0.2">
      <c r="A886" s="168"/>
      <c r="B886" s="49" t="s">
        <v>88</v>
      </c>
      <c r="C886" s="151">
        <v>0</v>
      </c>
      <c r="D886" s="152"/>
      <c r="E886" s="152">
        <v>0</v>
      </c>
      <c r="F886" s="153">
        <v>0</v>
      </c>
      <c r="G886" s="154" t="s">
        <v>64</v>
      </c>
      <c r="H886" s="183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7" customHeight="1" x14ac:dyDescent="0.2">
      <c r="A887" s="168"/>
      <c r="B887" s="49" t="s">
        <v>89</v>
      </c>
      <c r="C887" s="151">
        <v>0</v>
      </c>
      <c r="D887" s="152"/>
      <c r="E887" s="152">
        <v>0</v>
      </c>
      <c r="F887" s="153">
        <v>0</v>
      </c>
      <c r="G887" s="154"/>
      <c r="H887" s="183">
        <v>0</v>
      </c>
      <c r="I887" s="153">
        <v>0</v>
      </c>
      <c r="J887" s="154"/>
      <c r="K887" s="154"/>
      <c r="L887" s="154"/>
      <c r="M887" s="154"/>
      <c r="N887" s="46" t="s">
        <v>64</v>
      </c>
      <c r="O887" s="154">
        <v>0</v>
      </c>
      <c r="P887" s="41">
        <v>0</v>
      </c>
    </row>
    <row r="888" spans="1:16" s="2" customFormat="1" ht="10.7" customHeight="1" x14ac:dyDescent="0.2">
      <c r="A888" s="168"/>
      <c r="B888" s="205" t="s">
        <v>94</v>
      </c>
      <c r="C888" s="151">
        <v>0</v>
      </c>
      <c r="D888" s="152"/>
      <c r="E888" s="152">
        <v>0</v>
      </c>
      <c r="F888" s="153">
        <v>0</v>
      </c>
      <c r="G888" s="154"/>
      <c r="H888" s="183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7" customHeight="1" x14ac:dyDescent="0.2">
      <c r="A889" s="168"/>
      <c r="B889" s="40" t="s">
        <v>90</v>
      </c>
      <c r="C889" s="151">
        <v>0</v>
      </c>
      <c r="D889" s="152"/>
      <c r="E889" s="152"/>
      <c r="F889" s="153">
        <v>0</v>
      </c>
      <c r="G889" s="154"/>
      <c r="H889" s="183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7" customHeight="1" x14ac:dyDescent="0.2">
      <c r="A890" s="168"/>
      <c r="B890" s="197" t="s">
        <v>91</v>
      </c>
      <c r="C890" s="157">
        <v>0</v>
      </c>
      <c r="D890" s="160">
        <v>0</v>
      </c>
      <c r="E890" s="160">
        <v>0</v>
      </c>
      <c r="F890" s="167">
        <v>0</v>
      </c>
      <c r="G890" s="160">
        <v>0</v>
      </c>
      <c r="H890" s="188">
        <v>0</v>
      </c>
      <c r="I890" s="167">
        <v>0</v>
      </c>
      <c r="J890" s="155">
        <v>0</v>
      </c>
      <c r="K890" s="155">
        <v>0</v>
      </c>
      <c r="L890" s="155">
        <v>0</v>
      </c>
      <c r="M890" s="155">
        <v>0</v>
      </c>
      <c r="N890" s="58" t="s">
        <v>64</v>
      </c>
      <c r="O890" s="155">
        <v>0</v>
      </c>
      <c r="P890" s="54">
        <v>0</v>
      </c>
    </row>
    <row r="891" spans="1:16" s="2" customFormat="1" ht="10.7" customHeight="1" x14ac:dyDescent="0.2">
      <c r="A891" s="168"/>
      <c r="B891" s="198" t="s">
        <v>167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7" customHeight="1" x14ac:dyDescent="0.2">
      <c r="A892" s="168"/>
      <c r="B892" s="202" t="s">
        <v>92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7" customHeight="1" x14ac:dyDescent="0.2">
      <c r="A893" s="168"/>
      <c r="B893" s="191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/>
  <dimension ref="A1:IT304"/>
  <sheetViews>
    <sheetView zoomScaleNormal="100" workbookViewId="0"/>
  </sheetViews>
  <sheetFormatPr defaultColWidth="10.28515625" defaultRowHeight="12.75" x14ac:dyDescent="0.2"/>
  <cols>
    <col min="1" max="1" width="1.7109375" style="2" customWidth="1"/>
    <col min="2" max="2" width="14" style="2" customWidth="1"/>
    <col min="3" max="3" width="7.28515625" style="4" customWidth="1"/>
    <col min="4" max="4" width="7" style="4" customWidth="1"/>
    <col min="5" max="5" width="6.5703125" style="4" customWidth="1"/>
    <col min="6" max="6" width="7.28515625" style="6" customWidth="1"/>
    <col min="7" max="7" width="6.7109375" style="4" customWidth="1"/>
    <col min="8" max="8" width="7" style="10" customWidth="1"/>
    <col min="9" max="9" width="6.42578125" style="6" customWidth="1"/>
    <col min="10" max="13" width="6.140625" style="4" customWidth="1"/>
    <col min="14" max="14" width="5.28515625" style="11" customWidth="1"/>
    <col min="15" max="15" width="6.140625" style="4" customWidth="1"/>
    <col min="16" max="16" width="6.28515625" style="9" customWidth="1"/>
    <col min="17" max="17" width="10.28515625" style="2" customWidth="1"/>
    <col min="18" max="18" width="7.42578125" style="185" bestFit="1" customWidth="1"/>
    <col min="19" max="16384" width="10.28515625" style="2"/>
  </cols>
  <sheetData>
    <row r="1" spans="1:17" s="2" customFormat="1" ht="10.9" customHeight="1" x14ac:dyDescent="0.2">
      <c r="A1" s="2" t="s">
        <v>4</v>
      </c>
      <c r="B1" s="182" t="s">
        <v>156</v>
      </c>
      <c r="C1" s="3"/>
      <c r="D1" s="4"/>
      <c r="E1" s="4"/>
      <c r="F1" s="5"/>
      <c r="G1" s="4"/>
      <c r="H1" s="4"/>
      <c r="I1" s="6"/>
      <c r="J1" s="4"/>
      <c r="K1" s="7">
        <f>[4]Cumulative!A3</f>
        <v>44489</v>
      </c>
      <c r="L1" s="8"/>
      <c r="M1" s="4"/>
      <c r="N1" s="9"/>
      <c r="O1" s="10"/>
      <c r="P1" s="11"/>
      <c r="Q1" s="9"/>
    </row>
    <row r="2" spans="1:17" s="2" customFormat="1" ht="10.7" customHeight="1" x14ac:dyDescent="0.2"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" customHeight="1" x14ac:dyDescent="0.2"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" customHeight="1" x14ac:dyDescent="0.2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" customHeight="1" x14ac:dyDescent="0.2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" customHeight="1" x14ac:dyDescent="0.2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f>[4]Weeks!A122</f>
        <v>44468</v>
      </c>
      <c r="K7" s="33">
        <f>[4]Weeks!A82</f>
        <v>44475</v>
      </c>
      <c r="L7" s="33">
        <f>[4]Weeks!A42</f>
        <v>44482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" customHeight="1" x14ac:dyDescent="0.2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" customHeight="1" x14ac:dyDescent="0.2">
      <c r="B9" s="161"/>
      <c r="C9" s="233" t="s">
        <v>118</v>
      </c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41" t="s">
        <v>4</v>
      </c>
    </row>
    <row r="10" spans="1:17" s="2" customFormat="1" ht="10.7" customHeight="1" x14ac:dyDescent="0.2">
      <c r="B10" s="222" t="s">
        <v>121</v>
      </c>
      <c r="C10" s="151">
        <f>'[5]Maj Pel Combined'!B29</f>
        <v>0</v>
      </c>
      <c r="D10" s="152">
        <f>F10-VLOOKUP(B10,[4]quotas!$B$85:$W$120,2,FALSE)</f>
        <v>0</v>
      </c>
      <c r="E10" s="152">
        <f>F10-C10</f>
        <v>0</v>
      </c>
      <c r="F10" s="153">
        <f>VLOOKUP(B10,[4]quotas!$B$46:$W$84,2,FALSE)</f>
        <v>0</v>
      </c>
      <c r="G10" s="154">
        <f>VLOOKUP(B10,[4]Cumulative!$A$56:$X$91,2,FALSE)</f>
        <v>0</v>
      </c>
      <c r="H10" s="183">
        <f>IF(AND(F10=0,G10&gt;0),"n/a",IF(F10=0,0,100*G10/F10))</f>
        <v>0</v>
      </c>
      <c r="I10" s="153">
        <f>IF(F10="*","*",F10-G10)</f>
        <v>0</v>
      </c>
      <c r="J10" s="154">
        <f>VLOOKUP(B10,[4]Weeks!$A$125:$X$161,2,FALSE)-VLOOKUP(B10,[4]Weeks!$A$165:$X$200,2,FALSE)</f>
        <v>0</v>
      </c>
      <c r="K10" s="154">
        <f>VLOOKUP(B10,[4]Weeks!$A$85:$X$121,2,FALSE)-VLOOKUP(B10,[4]Weeks!$A$125:$X$161,2,FALSE)</f>
        <v>0</v>
      </c>
      <c r="L10" s="154">
        <f>VLOOKUP(B10,[4]Weeks!$A$44:$X$81,2,FALSE)-VLOOKUP(B10,[4]Weeks!$A$85:$X$121,2,FALSE)</f>
        <v>0</v>
      </c>
      <c r="M10" s="154">
        <f>VLOOKUP(B10,[4]Weeks!$A$3:$X$39,2,FALSE)-VLOOKUP(B10,[4]Weeks!$A$44:$X$81,2,FALSE)</f>
        <v>0</v>
      </c>
      <c r="N10" s="46" t="str">
        <f>IF(C10="*","*",IF(C10&gt;0,M10/C10*100,"-"))</f>
        <v>-</v>
      </c>
      <c r="O10" s="45">
        <f>IF(C10="*","*",SUM(J10:M10)/4)</f>
        <v>0</v>
      </c>
      <c r="P10" s="41" t="str">
        <f>IF(ISNUMBER(VLOOKUP(B10,[4]CLOSURES!B:BI,2,FALSE)),TEXT(VLOOKUP(B10,[4]CLOSURES!B:BI,2,FALSE),"ddmmm"),IF(F10&lt;=0,0,IF(I10&lt;=0,0,IF(AND(F10&gt;0,O10&lt;=0),"&gt;52",IF(I10/O10&gt;52,"&gt;52", MAX(0,I10/O10-2))))))</f>
        <v>01Jan</v>
      </c>
    </row>
    <row r="11" spans="1:17" s="2" customFormat="1" ht="10.7" customHeight="1" x14ac:dyDescent="0.2">
      <c r="B11" s="222" t="s">
        <v>122</v>
      </c>
      <c r="C11" s="151">
        <f>'[5]Maj Pel Combined'!B30</f>
        <v>0</v>
      </c>
      <c r="D11" s="152">
        <f>F11-VLOOKUP(B11,[4]quotas!$B$85:$W$120,2,FALSE)</f>
        <v>0</v>
      </c>
      <c r="E11" s="152">
        <f t="shared" ref="E11:E24" si="0">F11-C11</f>
        <v>0</v>
      </c>
      <c r="F11" s="153">
        <f>VLOOKUP(B11,[4]quotas!$B$46:$W$84,2,FALSE)</f>
        <v>0</v>
      </c>
      <c r="G11" s="154">
        <f>VLOOKUP(B11,[4]Cumulative!$A$56:$X$91,2,FALSE)</f>
        <v>0</v>
      </c>
      <c r="H11" s="183">
        <f t="shared" ref="H11:H20" si="1">IF(AND(F11=0,G11&gt;0),"n/a",IF(F11=0,0,100*G11/F11))</f>
        <v>0</v>
      </c>
      <c r="I11" s="153">
        <f>IF(F11="*","*",F11-G11)</f>
        <v>0</v>
      </c>
      <c r="J11" s="154">
        <f>VLOOKUP(B11,[4]Weeks!$A$125:$X$161,2,FALSE)-VLOOKUP(B11,[4]Weeks!$A$165:$X$200,2,FALSE)</f>
        <v>0</v>
      </c>
      <c r="K11" s="154">
        <f>VLOOKUP(B11,[4]Weeks!$A$85:$X$121,2,FALSE)-VLOOKUP(B11,[4]Weeks!$A$125:$X$161,2,FALSE)</f>
        <v>0</v>
      </c>
      <c r="L11" s="154">
        <f>VLOOKUP(B11,[4]Weeks!$A$44:$X$81,2,FALSE)-VLOOKUP(B11,[4]Weeks!$A$85:$X$121,2,FALSE)</f>
        <v>0</v>
      </c>
      <c r="M11" s="154">
        <f>VLOOKUP(B11,[4]Weeks!$A$3:$X$39,2,FALSE)-VLOOKUP(B11,[4]Weeks!$A$44:$X$81,2,FALSE)</f>
        <v>0</v>
      </c>
      <c r="N11" s="46" t="str">
        <f>IF(C11="*","*",IF(C11&gt;0,M11/C11*100,"-"))</f>
        <v>-</v>
      </c>
      <c r="O11" s="45">
        <f>IF(C11="*","*",SUM(J11:M11)/4)</f>
        <v>0</v>
      </c>
      <c r="P11" s="41" t="str">
        <f>IF(ISNUMBER(VLOOKUP(B11,[4]CLOSURES!B:BI,2,FALSE)),TEXT(VLOOKUP(B11,[4]CLOSURES!B:BI,2,FALSE),"ddmmm"),IF(F11&lt;=0,0,IF(I11&lt;=0,0,IF(AND(F11&gt;0,O11&lt;=0),"&gt;52",IF(I11/O11&gt;52,"&gt;52", MAX(0,I11/O11-2))))))</f>
        <v>01Jan</v>
      </c>
    </row>
    <row r="12" spans="1:17" s="2" customFormat="1" ht="10.7" customHeight="1" x14ac:dyDescent="0.2">
      <c r="B12" s="222" t="s">
        <v>123</v>
      </c>
      <c r="C12" s="151">
        <f>'[5]Maj Pel Combined'!B31</f>
        <v>0</v>
      </c>
      <c r="D12" s="152">
        <f>F12-VLOOKUP(B12,[4]quotas!$B$85:$W$120,2,FALSE)</f>
        <v>0</v>
      </c>
      <c r="E12" s="152">
        <f t="shared" si="0"/>
        <v>0</v>
      </c>
      <c r="F12" s="153">
        <f>VLOOKUP(B12,[4]quotas!$B$46:$W$84,2,FALSE)</f>
        <v>0</v>
      </c>
      <c r="G12" s="154">
        <f>VLOOKUP(B12,[4]Cumulative!$A$56:$X$91,2,FALSE)</f>
        <v>0</v>
      </c>
      <c r="H12" s="183">
        <f t="shared" si="1"/>
        <v>0</v>
      </c>
      <c r="I12" s="153">
        <f t="shared" ref="I12:I24" si="2">IF(F12="*","*",F12-G12)</f>
        <v>0</v>
      </c>
      <c r="J12" s="154">
        <f>VLOOKUP(B12,[4]Weeks!$A$125:$X$161,2,FALSE)-VLOOKUP(B12,[4]Weeks!$A$165:$X$200,2,FALSE)</f>
        <v>0</v>
      </c>
      <c r="K12" s="154">
        <f>VLOOKUP(B12,[4]Weeks!$A$85:$X$121,2,FALSE)-VLOOKUP(B12,[4]Weeks!$A$125:$X$161,2,FALSE)</f>
        <v>0</v>
      </c>
      <c r="L12" s="154">
        <f>VLOOKUP(B12,[4]Weeks!$A$44:$X$81,2,FALSE)-VLOOKUP(B12,[4]Weeks!$A$85:$X$121,2,FALSE)</f>
        <v>0</v>
      </c>
      <c r="M12" s="154">
        <f>VLOOKUP(B12,[4]Weeks!$A$3:$X$39,2,FALSE)-VLOOKUP(B12,[4]Weeks!$A$44:$X$81,2,FALSE)</f>
        <v>0</v>
      </c>
      <c r="N12" s="46" t="str">
        <f>IF(C12="*","*",IF(C12&gt;0,M12/C12*100,"-"))</f>
        <v>-</v>
      </c>
      <c r="O12" s="45">
        <f>IF(C12="*","*",SUM(J12:M12)/4)</f>
        <v>0</v>
      </c>
      <c r="P12" s="41" t="str">
        <f>IF(ISNUMBER(VLOOKUP(B12,[4]CLOSURES!B:BI,2,FALSE)),TEXT(VLOOKUP(B12,[4]CLOSURES!B:BI,2,FALSE),"ddmmm"),IF(F12&lt;=0,0,IF(I12&lt;=0,0,IF(AND(F12&gt;0,O12&lt;=0),"&gt;52",IF(I12/O12&gt;52,"&gt;52", MAX(0,I12/O12-2))))))</f>
        <v>01Jan</v>
      </c>
    </row>
    <row r="13" spans="1:17" s="2" customFormat="1" ht="10.7" customHeight="1" x14ac:dyDescent="0.2">
      <c r="B13" s="222" t="s">
        <v>124</v>
      </c>
      <c r="C13" s="151">
        <f>'[5]Maj Pel Combined'!B32</f>
        <v>0</v>
      </c>
      <c r="D13" s="152">
        <f>F13-VLOOKUP(B13,[4]quotas!$B$85:$W$120,2,FALSE)</f>
        <v>0</v>
      </c>
      <c r="E13" s="152">
        <f t="shared" si="0"/>
        <v>0</v>
      </c>
      <c r="F13" s="153">
        <f>VLOOKUP(B13,[4]quotas!$B$46:$W$84,2,FALSE)</f>
        <v>0</v>
      </c>
      <c r="G13" s="154">
        <f>VLOOKUP(B13,[4]Cumulative!$A$56:$X$91,2,FALSE)</f>
        <v>0</v>
      </c>
      <c r="H13" s="183">
        <f t="shared" si="1"/>
        <v>0</v>
      </c>
      <c r="I13" s="153">
        <f t="shared" si="2"/>
        <v>0</v>
      </c>
      <c r="J13" s="154">
        <f>VLOOKUP(B13,[4]Weeks!$A$125:$X$161,2,FALSE)-VLOOKUP(B13,[4]Weeks!$A$165:$X$200,2,FALSE)</f>
        <v>0</v>
      </c>
      <c r="K13" s="154">
        <f>VLOOKUP(B13,[4]Weeks!$A$85:$X$121,2,FALSE)-VLOOKUP(B13,[4]Weeks!$A$125:$X$161,2,FALSE)</f>
        <v>0</v>
      </c>
      <c r="L13" s="154">
        <f>VLOOKUP(B13,[4]Weeks!$A$44:$X$81,2,FALSE)-VLOOKUP(B13,[4]Weeks!$A$85:$X$121,2,FALSE)</f>
        <v>0</v>
      </c>
      <c r="M13" s="154">
        <f>VLOOKUP(B13,[4]Weeks!$A$3:$X$39,2,FALSE)-VLOOKUP(B13,[4]Weeks!$A$44:$X$81,2,FALSE)</f>
        <v>0</v>
      </c>
      <c r="N13" s="46" t="str">
        <f>IF(C13="*","*",IF(C13&gt;0,M13/C13*100,"-"))</f>
        <v>-</v>
      </c>
      <c r="O13" s="45">
        <f>IF(C13="*","*",SUM(J13:M13)/4)</f>
        <v>0</v>
      </c>
      <c r="P13" s="41" t="str">
        <f>IF(ISNUMBER(VLOOKUP(B13,[4]CLOSURES!B:BI,2,FALSE)),TEXT(VLOOKUP(B13,[4]CLOSURES!B:BI,2,FALSE),"ddmmm"),IF(F13&lt;=0,0,IF(I13&lt;=0,0,IF(AND(F13&gt;0,O13&lt;=0),"&gt;52",IF(I13/O13&gt;52,"&gt;52", MAX(0,I13/O13-2))))))</f>
        <v>01Jan</v>
      </c>
    </row>
    <row r="14" spans="1:17" s="2" customFormat="1" ht="10.7" customHeight="1" x14ac:dyDescent="0.2">
      <c r="B14" s="222"/>
      <c r="C14" s="151"/>
      <c r="D14" s="152"/>
      <c r="E14" s="152"/>
      <c r="F14" s="153"/>
      <c r="G14" s="154"/>
      <c r="H14" s="183"/>
      <c r="I14" s="153"/>
      <c r="J14" s="154"/>
      <c r="K14" s="154"/>
      <c r="L14" s="154"/>
      <c r="M14" s="154"/>
      <c r="N14" s="46"/>
      <c r="O14" s="45"/>
      <c r="P14" s="41"/>
    </row>
    <row r="15" spans="1:17" s="2" customFormat="1" ht="10.7" customHeight="1" x14ac:dyDescent="0.2">
      <c r="B15" s="162" t="s">
        <v>125</v>
      </c>
      <c r="C15" s="151">
        <f>SUM(C10:C13)</f>
        <v>0</v>
      </c>
      <c r="D15" s="152">
        <f>SUM(D10:D14)</f>
        <v>0</v>
      </c>
      <c r="E15" s="152">
        <f t="shared" si="0"/>
        <v>0</v>
      </c>
      <c r="F15" s="153">
        <f>SUM(F10:F13)</f>
        <v>0</v>
      </c>
      <c r="G15" s="154">
        <f>SUM(G10:G13)</f>
        <v>0</v>
      </c>
      <c r="H15" s="183">
        <f t="shared" si="1"/>
        <v>0</v>
      </c>
      <c r="I15" s="153">
        <f t="shared" si="2"/>
        <v>0</v>
      </c>
      <c r="J15" s="154">
        <f t="shared" ref="J15:O15" si="3">SUM(J10:J13)</f>
        <v>0</v>
      </c>
      <c r="K15" s="154">
        <f t="shared" si="3"/>
        <v>0</v>
      </c>
      <c r="L15" s="154">
        <f t="shared" si="3"/>
        <v>0</v>
      </c>
      <c r="M15" s="154">
        <f t="shared" si="3"/>
        <v>0</v>
      </c>
      <c r="N15" s="48">
        <f t="shared" si="3"/>
        <v>0</v>
      </c>
      <c r="O15" s="45">
        <f t="shared" si="3"/>
        <v>0</v>
      </c>
      <c r="P15" s="41">
        <f>IF(ISNUMBER(VLOOKUP(B15,[4]CLOSURES!B:BI,2,FALSE)),TEXT(VLOOKUP(B15,[4]CLOSURES!B:BI,2,FALSE),"ddmmm"),IF(F15&lt;=0,0,IF(I15&lt;=0,0,IF(AND(F15&gt;0,O15&lt;=0),"&gt;52",IF(I15/O15&gt;52,"&gt;52", MAX(0,I15/O15-2))))))</f>
        <v>0</v>
      </c>
    </row>
    <row r="16" spans="1:17" s="2" customFormat="1" ht="10.7" customHeight="1" x14ac:dyDescent="0.2">
      <c r="B16" s="162"/>
      <c r="C16" s="151"/>
      <c r="D16" s="152"/>
      <c r="E16" s="152"/>
      <c r="F16" s="153"/>
      <c r="G16" s="154"/>
      <c r="H16" s="183"/>
      <c r="I16" s="153"/>
      <c r="J16" s="154"/>
      <c r="K16" s="154"/>
      <c r="L16" s="154"/>
      <c r="M16" s="154"/>
      <c r="N16" s="48"/>
      <c r="O16" s="45"/>
      <c r="P16" s="41"/>
    </row>
    <row r="17" spans="1:16" s="2" customFormat="1" ht="10.7" customHeight="1" x14ac:dyDescent="0.2">
      <c r="B17" s="223" t="s">
        <v>126</v>
      </c>
      <c r="C17" s="151">
        <f>'[5]Maj Pel Combined'!$B36</f>
        <v>1312.3810000000001</v>
      </c>
      <c r="D17" s="152">
        <f>F17-VLOOKUP(B17,[4]quotas!$B$85:$W$120,2,FALSE)</f>
        <v>0</v>
      </c>
      <c r="E17" s="152">
        <f t="shared" si="0"/>
        <v>-1258.5</v>
      </c>
      <c r="F17" s="153">
        <f>VLOOKUP(B17,[4]quotas!$B$46:$W$84,2,FALSE)</f>
        <v>53.881000000000085</v>
      </c>
      <c r="G17" s="154">
        <f>VLOOKUP(B17,[4]Cumulative!$A$56:$X$91,2,FALSE)</f>
        <v>3.3722499999999993</v>
      </c>
      <c r="H17" s="183">
        <f>IF(AND(F17=0,G17&gt;0),0,IF(F17=0,0,100*G17/F17))</f>
        <v>6.2586997271765439</v>
      </c>
      <c r="I17" s="153">
        <f t="shared" si="2"/>
        <v>50.508750000000084</v>
      </c>
      <c r="J17" s="154">
        <f>VLOOKUP(B17,[4]Weeks!$A$125:$X$161,2,FALSE)-VLOOKUP(B17,[4]Weeks!$A$165:$X$200,2,FALSE)</f>
        <v>0</v>
      </c>
      <c r="K17" s="154">
        <f>VLOOKUP(B17,[4]Weeks!$A$85:$X$121,2,FALSE)-VLOOKUP(B17,[4]Weeks!$A$125:$X$161,2,FALSE)</f>
        <v>9.8999999999999755E-2</v>
      </c>
      <c r="L17" s="154">
        <f>VLOOKUP(B17,[4]Weeks!$A$44:$X$81,2,FALSE)-VLOOKUP(B17,[4]Weeks!$A$85:$X$121,2,FALSE)</f>
        <v>0</v>
      </c>
      <c r="M17" s="154">
        <f>VLOOKUP(B17,[4]Weeks!$A$3:$X$39,2,FALSE)-VLOOKUP(B17,[4]Weeks!$A$44:$X$81,2,FALSE)</f>
        <v>0</v>
      </c>
      <c r="N17" s="46">
        <f>IF(C17="*","*",IF(C17&gt;0,M17/C17*100,"-"))</f>
        <v>0</v>
      </c>
      <c r="O17" s="45">
        <f>IF(C17="*","*",SUM(J17:M17)/4)</f>
        <v>2.4749999999999939E-2</v>
      </c>
      <c r="P17" s="41" t="str">
        <f>IF(ISNUMBER(VLOOKUP(B17,[4]CLOSURES!B:BI,2,FALSE)),TEXT(VLOOKUP(B17,[4]CLOSURES!B:BI,2,FALSE),"ddmmm"),IF(F17&lt;=0,0,IF(I17&lt;=0,0,IF(AND(F17&gt;0,O17&lt;=0),"&gt;52",IF(I17/O17&gt;52,"&gt;52", MAX(0,I17/O17-2))))))</f>
        <v>01Jan</v>
      </c>
    </row>
    <row r="18" spans="1:16" s="2" customFormat="1" ht="10.7" customHeight="1" x14ac:dyDescent="0.2">
      <c r="B18" s="223" t="s">
        <v>127</v>
      </c>
      <c r="C18" s="151">
        <f>'[5]Maj Pel Combined'!$B37</f>
        <v>0</v>
      </c>
      <c r="D18" s="152">
        <f>F18-VLOOKUP(B18,[4]quotas!$B$85:$W$120,2,FALSE)</f>
        <v>0</v>
      </c>
      <c r="E18" s="152">
        <f t="shared" si="0"/>
        <v>0</v>
      </c>
      <c r="F18" s="153">
        <f>VLOOKUP(B18,[4]quotas!$B$46:$W$84,2,FALSE)</f>
        <v>0</v>
      </c>
      <c r="G18" s="154">
        <f>VLOOKUP(B18,[4]Cumulative!$A$56:$X$91,2,FALSE)</f>
        <v>0</v>
      </c>
      <c r="H18" s="183">
        <f>IF(AND(F18=0,G18&gt;0),"n/a",IF(F18=0,0,100*G18/F18))</f>
        <v>0</v>
      </c>
      <c r="I18" s="153">
        <f>IF(F18="*","*",F18-G18)</f>
        <v>0</v>
      </c>
      <c r="J18" s="154">
        <f>VLOOKUP(B18,[4]Weeks!$A$125:$X$161,2,FALSE)-VLOOKUP(B18,[4]Weeks!$A$165:$X$200,2,FALSE)</f>
        <v>0</v>
      </c>
      <c r="K18" s="154">
        <f>VLOOKUP(B18,[4]Weeks!$A$85:$X$121,2,FALSE)-VLOOKUP(B18,[4]Weeks!$A$125:$X$161,2,FALSE)</f>
        <v>0</v>
      </c>
      <c r="L18" s="154">
        <f>VLOOKUP(B18,[4]Weeks!$A$44:$X$81,2,FALSE)-VLOOKUP(B18,[4]Weeks!$A$85:$X$121,2,FALSE)</f>
        <v>0</v>
      </c>
      <c r="M18" s="154">
        <f>VLOOKUP(B18,[4]Weeks!$A$3:$X$39,2,FALSE)-VLOOKUP(B18,[4]Weeks!$A$44:$X$81,2,FALSE)</f>
        <v>0</v>
      </c>
      <c r="N18" s="46" t="str">
        <f>IF(C18="*","*",IF(C18&gt;0,M18/C18*100,"-"))</f>
        <v>-</v>
      </c>
      <c r="O18" s="45">
        <f>IF(C18="*","*",SUM(J18:M18)/4)</f>
        <v>0</v>
      </c>
      <c r="P18" s="41" t="str">
        <f>IF(ISNUMBER(VLOOKUP(B18,[4]CLOSURES!B:BI,2,FALSE)),TEXT(VLOOKUP(B18,[4]CLOSURES!B:BI,2,FALSE),"ddmmm"),IF(F18&lt;=0,0,IF(I18&lt;=0,0,IF(AND(F18&gt;0,O18&lt;=0),"&gt;52",IF(I18/O18&gt;52,"&gt;52", MAX(0,I18/O18-2))))))</f>
        <v>01Jan</v>
      </c>
    </row>
    <row r="19" spans="1:16" s="2" customFormat="1" ht="10.7" customHeight="1" x14ac:dyDescent="0.2">
      <c r="B19" s="223" t="s">
        <v>128</v>
      </c>
      <c r="C19" s="151">
        <f>'[5]Maj Pel Combined'!$B38</f>
        <v>0</v>
      </c>
      <c r="D19" s="152">
        <f>F19-VLOOKUP(B19,[4]quotas!$B$85:$W$120,2,FALSE)</f>
        <v>0</v>
      </c>
      <c r="E19" s="152">
        <f t="shared" si="0"/>
        <v>0</v>
      </c>
      <c r="F19" s="153">
        <f>VLOOKUP(B19,[4]quotas!$B$46:$W$84,2,FALSE)</f>
        <v>0</v>
      </c>
      <c r="G19" s="154">
        <f>VLOOKUP(B19,[4]Cumulative!$A$56:$X$91,2,FALSE)</f>
        <v>0.1</v>
      </c>
      <c r="H19" s="183" t="str">
        <f>IF(AND(F19=0,G19&gt;0),"n/a",IF(F19=0,0,100*G19/F19))</f>
        <v>n/a</v>
      </c>
      <c r="I19" s="153">
        <f>IF(F19="*","*",F19-G19)</f>
        <v>-0.1</v>
      </c>
      <c r="J19" s="154">
        <f>VLOOKUP(B19,[4]Weeks!$A$125:$X$161,2,FALSE)-VLOOKUP(B19,[4]Weeks!$A$165:$X$200,2,FALSE)</f>
        <v>0</v>
      </c>
      <c r="K19" s="154">
        <f>VLOOKUP(B19,[4]Weeks!$A$85:$X$121,2,FALSE)-VLOOKUP(B19,[4]Weeks!$A$125:$X$161,2,FALSE)</f>
        <v>0</v>
      </c>
      <c r="L19" s="154">
        <f>VLOOKUP(B19,[4]Weeks!$A$44:$X$81,2,FALSE)-VLOOKUP(B19,[4]Weeks!$A$85:$X$121,2,FALSE)</f>
        <v>0</v>
      </c>
      <c r="M19" s="154">
        <f>VLOOKUP(B19,[4]Weeks!$A$3:$X$39,2,FALSE)-VLOOKUP(B19,[4]Weeks!$A$44:$X$81,2,FALSE)</f>
        <v>0.1</v>
      </c>
      <c r="N19" s="46" t="str">
        <f>IF(C19="*","*",IF(C19&gt;0,M19/C19*100,"-"))</f>
        <v>-</v>
      </c>
      <c r="O19" s="45">
        <f>IF(C19="*","*",SUM(J19:M19)/4)</f>
        <v>2.5000000000000001E-2</v>
      </c>
      <c r="P19" s="41" t="str">
        <f>IF(ISNUMBER(VLOOKUP(B19,[4]CLOSURES!B:BI,2,FALSE)),TEXT(VLOOKUP(B19,[4]CLOSURES!B:BI,2,FALSE),"ddmmm"),IF(F19&lt;=0,0,IF(I19&lt;=0,0,IF(AND(F19&gt;0,O19&lt;=0),"&gt;52",IF(I19/O19&gt;52,"&gt;52", MAX(0,I19/O19-2))))))</f>
        <v>01Jan</v>
      </c>
    </row>
    <row r="20" spans="1:16" s="2" customFormat="1" ht="10.7" customHeight="1" x14ac:dyDescent="0.2">
      <c r="B20" s="223" t="s">
        <v>129</v>
      </c>
      <c r="C20" s="151">
        <f>'[5]Maj Pel Combined'!$B39</f>
        <v>0</v>
      </c>
      <c r="D20" s="152">
        <f>F20-VLOOKUP(B20,[4]quotas!$B$85:$W$120,2,FALSE)</f>
        <v>0</v>
      </c>
      <c r="E20" s="152">
        <f t="shared" si="0"/>
        <v>0</v>
      </c>
      <c r="F20" s="153">
        <f>VLOOKUP(B20,[4]quotas!$B$46:$W$84,2,FALSE)</f>
        <v>0</v>
      </c>
      <c r="G20" s="154">
        <f>VLOOKUP(B20,[4]Cumulative!$A$56:$X$91,2,FALSE)</f>
        <v>0</v>
      </c>
      <c r="H20" s="183">
        <f t="shared" si="1"/>
        <v>0</v>
      </c>
      <c r="I20" s="153">
        <f t="shared" si="2"/>
        <v>0</v>
      </c>
      <c r="J20" s="154">
        <f>VLOOKUP(B20,[4]Weeks!$A$125:$X$161,2,FALSE)-VLOOKUP(B20,[4]Weeks!$A$165:$X$200,2,FALSE)</f>
        <v>0</v>
      </c>
      <c r="K20" s="154">
        <f>VLOOKUP(B20,[4]Weeks!$A$85:$X$121,2,FALSE)-VLOOKUP(B20,[4]Weeks!$A$125:$X$161,2,FALSE)</f>
        <v>0</v>
      </c>
      <c r="L20" s="154">
        <f>VLOOKUP(B20,[4]Weeks!$A$44:$X$81,2,FALSE)-VLOOKUP(B20,[4]Weeks!$A$85:$X$121,2,FALSE)</f>
        <v>0</v>
      </c>
      <c r="M20" s="154">
        <f>VLOOKUP(B20,[4]Weeks!$A$3:$X$39,2,FALSE)-VLOOKUP(B20,[4]Weeks!$A$44:$X$81,2,FALSE)</f>
        <v>0</v>
      </c>
      <c r="N20" s="46" t="str">
        <f>IF(C20="*","*",IF(C20&gt;0,M20/C20*100,"-"))</f>
        <v>-</v>
      </c>
      <c r="O20" s="45">
        <f>IF(C20="*","*",SUM(J20:M20)/4)</f>
        <v>0</v>
      </c>
      <c r="P20" s="41" t="str">
        <f>IF(ISNUMBER(VLOOKUP(B20,[4]CLOSURES!B:BI,2,FALSE)),TEXT(VLOOKUP(B20,[4]CLOSURES!B:BI,2,FALSE),"ddmmm"),IF(F20&lt;=0,0,IF(I20&lt;=0,0,IF(AND(F20&gt;0,O20&lt;=0),"&gt;52",IF(I20/O20&gt;52,"&gt;52", MAX(0,I20/O20-2))))))</f>
        <v>01Jan</v>
      </c>
    </row>
    <row r="21" spans="1:16" s="2" customFormat="1" ht="10.7" customHeight="1" x14ac:dyDescent="0.2">
      <c r="B21" s="223"/>
      <c r="C21" s="151"/>
      <c r="D21" s="152"/>
      <c r="E21" s="152"/>
      <c r="F21" s="153"/>
      <c r="G21" s="154"/>
      <c r="H21" s="183"/>
      <c r="I21" s="153"/>
      <c r="J21" s="154"/>
      <c r="K21" s="154"/>
      <c r="L21" s="154"/>
      <c r="M21" s="154"/>
      <c r="N21" s="46"/>
      <c r="O21" s="45"/>
      <c r="P21" s="41"/>
    </row>
    <row r="22" spans="1:16" s="2" customFormat="1" ht="10.7" customHeight="1" x14ac:dyDescent="0.2">
      <c r="B22" s="196" t="s">
        <v>130</v>
      </c>
      <c r="C22" s="151">
        <f>SUM(C17:C20)</f>
        <v>1312.3810000000001</v>
      </c>
      <c r="D22" s="154">
        <f>SUM(D17:D21)</f>
        <v>0</v>
      </c>
      <c r="E22" s="152">
        <f t="shared" si="0"/>
        <v>-1258.5</v>
      </c>
      <c r="F22" s="153">
        <f>SUM(F17:F20)</f>
        <v>53.881000000000085</v>
      </c>
      <c r="G22" s="154">
        <f>SUM(G10:G13)+SUM(G17:G20)</f>
        <v>3.4722499999999994</v>
      </c>
      <c r="H22" s="183">
        <f>IF(AND(F22=0,G22&gt;0),0,IF(F22=0,0,100*G22/F22))</f>
        <v>6.4442939069430674</v>
      </c>
      <c r="I22" s="153">
        <f>IF(F22="*","*",F22-G22)</f>
        <v>50.408750000000083</v>
      </c>
      <c r="J22" s="154">
        <f>SUM(J17:J20)</f>
        <v>0</v>
      </c>
      <c r="K22" s="154">
        <f>SUM(K17:K20)</f>
        <v>9.8999999999999755E-2</v>
      </c>
      <c r="L22" s="154">
        <f>SUM(L17:L20)</f>
        <v>0</v>
      </c>
      <c r="M22" s="154">
        <f>SUM(M17:M20)</f>
        <v>0.1</v>
      </c>
      <c r="N22" s="46">
        <f>IF(C22="*","*",IF(C22&gt;0,M22/C22*100,"-"))</f>
        <v>7.6197384753360492E-3</v>
      </c>
      <c r="O22" s="45">
        <f>IF(C22="*","*",SUM(J22:M22)/4)</f>
        <v>4.974999999999994E-2</v>
      </c>
      <c r="P22" s="41" t="str">
        <f>IF(ISNUMBER(VLOOKUP(B22,[4]CLOSURES!B:BI,2,FALSE)),TEXT(VLOOKUP(B22,[4]CLOSURES!B:BI,2,FALSE),"ddmmm"),IF(F22&lt;=0,0,IF(I22&lt;=0,0,IF(AND(F22&gt;0,O22&lt;=0),"&gt;52",IF(I22/O22&gt;52,"&gt;52", MAX(0,I22/O22-2))))))</f>
        <v>&gt;52</v>
      </c>
    </row>
    <row r="23" spans="1:16" s="2" customFormat="1" ht="10.7" customHeight="1" x14ac:dyDescent="0.2">
      <c r="B23" s="186"/>
      <c r="C23" s="151"/>
      <c r="D23" s="154"/>
      <c r="E23" s="152"/>
      <c r="F23" s="153"/>
      <c r="G23" s="154"/>
      <c r="H23" s="183"/>
      <c r="I23" s="153"/>
      <c r="J23" s="154"/>
      <c r="K23" s="154"/>
      <c r="L23" s="154"/>
      <c r="M23" s="154"/>
      <c r="N23" s="46"/>
      <c r="O23" s="45"/>
      <c r="P23" s="41"/>
    </row>
    <row r="24" spans="1:16" s="2" customFormat="1" ht="10.7" customHeight="1" x14ac:dyDescent="0.2">
      <c r="B24" s="187" t="s">
        <v>91</v>
      </c>
      <c r="C24" s="157">
        <f>C22+C15</f>
        <v>1312.3810000000001</v>
      </c>
      <c r="D24" s="160">
        <f>D15+D22</f>
        <v>0</v>
      </c>
      <c r="E24" s="160">
        <f t="shared" si="0"/>
        <v>-1258.5</v>
      </c>
      <c r="F24" s="156">
        <f>F22+F15</f>
        <v>53.881000000000085</v>
      </c>
      <c r="G24" s="155">
        <f>G22+G15</f>
        <v>3.4722499999999994</v>
      </c>
      <c r="H24" s="188">
        <f>H22+H15</f>
        <v>6.4442939069430674</v>
      </c>
      <c r="I24" s="156">
        <f t="shared" si="2"/>
        <v>50.408750000000083</v>
      </c>
      <c r="J24" s="155">
        <f>J15+J22</f>
        <v>0</v>
      </c>
      <c r="K24" s="155">
        <f>K15+K22</f>
        <v>9.8999999999999755E-2</v>
      </c>
      <c r="L24" s="155">
        <f>L15+L22</f>
        <v>0</v>
      </c>
      <c r="M24" s="155">
        <f>M15+M22</f>
        <v>0.1</v>
      </c>
      <c r="N24" s="53">
        <f>IF(C24="*","*",IF(C24&gt;0,M24/C24*100,"-"))</f>
        <v>7.6197384753360492E-3</v>
      </c>
      <c r="O24" s="52">
        <f>IF(C24="*","*",SUM(J24:M24)/4)</f>
        <v>4.974999999999994E-2</v>
      </c>
      <c r="P24" s="54" t="str">
        <f>IF(ISNUMBER(VLOOKUP(B24,[4]CLOSURES!B:BI,2,FALSE)),TEXT(VLOOKUP(B24,[4]CLOSURES!B:BI,2,FALSE),"ddmmm"),IF(F24&lt;=0,0,IF(I24&lt;=0,0,IF(AND(F24&gt;0,O24&lt;=0),"&gt;52",IF(I24/O24&gt;52,"&gt;52", MAX(0,I24/O24-2))))))</f>
        <v>&gt;52</v>
      </c>
    </row>
    <row r="25" spans="1:16" s="2" customFormat="1" ht="10.7" customHeight="1" x14ac:dyDescent="0.2">
      <c r="F25" s="55"/>
      <c r="I25" s="6"/>
      <c r="N25" s="56"/>
      <c r="P25" s="56"/>
    </row>
    <row r="26" spans="1:16" s="2" customFormat="1" ht="10.7" customHeight="1" x14ac:dyDescent="0.2">
      <c r="A26" s="191"/>
      <c r="B26" s="191"/>
      <c r="C26" s="191"/>
      <c r="D26" s="191"/>
      <c r="E26" s="191"/>
      <c r="F26" s="192"/>
      <c r="G26" s="191"/>
      <c r="H26" s="191"/>
      <c r="I26" s="193"/>
      <c r="J26" s="191"/>
      <c r="K26" s="191"/>
      <c r="L26" s="191"/>
      <c r="M26" s="191"/>
      <c r="N26" s="194"/>
      <c r="O26" s="191"/>
      <c r="P26" s="194"/>
    </row>
    <row r="27" spans="1:16" s="2" customFormat="1" ht="10.7" customHeight="1" x14ac:dyDescent="0.2">
      <c r="A27" s="191"/>
      <c r="B27" s="14"/>
      <c r="C27" s="15" t="str">
        <f>C5</f>
        <v>Initial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7" customHeight="1" x14ac:dyDescent="0.2">
      <c r="A28" s="191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7" customHeight="1" x14ac:dyDescent="0.2">
      <c r="A29" s="191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f>$J7</f>
        <v>44468</v>
      </c>
      <c r="K29" s="33">
        <f>$K7</f>
        <v>44475</v>
      </c>
      <c r="L29" s="33">
        <f>$L7</f>
        <v>44482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7" customHeight="1" x14ac:dyDescent="0.2">
      <c r="A30" s="191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7" customHeight="1" x14ac:dyDescent="0.2">
      <c r="A31" s="191"/>
      <c r="B31" s="40"/>
      <c r="C31" s="233" t="s">
        <v>131</v>
      </c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41" t="s">
        <v>4</v>
      </c>
    </row>
    <row r="32" spans="1:16" s="2" customFormat="1" ht="10.7" customHeight="1" x14ac:dyDescent="0.2">
      <c r="A32" s="191"/>
      <c r="B32" s="222" t="s">
        <v>121</v>
      </c>
      <c r="C32" s="151">
        <f>'[5]Maj Pel Combined'!C29</f>
        <v>0</v>
      </c>
      <c r="D32" s="152">
        <f>F32-VLOOKUP(B32,[4]quotas!$B$85:$W$120,3,FALSE)</f>
        <v>0</v>
      </c>
      <c r="E32" s="152">
        <f>F32-C32</f>
        <v>0</v>
      </c>
      <c r="F32" s="153">
        <f>VLOOKUP(B32,[4]quotas!$B$46:$W$84,3,FALSE)</f>
        <v>0</v>
      </c>
      <c r="G32" s="154">
        <f>VLOOKUP(B32,[4]Cumulative!$A$56:$X$91,3,FALSE)</f>
        <v>0</v>
      </c>
      <c r="H32" s="183">
        <f>IF(AND(F32=0,G32&gt;0),"n/a",IF(F32=0,0,100*G32/F32))</f>
        <v>0</v>
      </c>
      <c r="I32" s="153">
        <f>IF(F32="*","*",F32-G32)</f>
        <v>0</v>
      </c>
      <c r="J32" s="154">
        <f>VLOOKUP(B32,[4]Weeks!$A$125:$X$161,3,FALSE)-VLOOKUP(B32,[4]Weeks!$A$165:$X$200,3,FALSE)</f>
        <v>0</v>
      </c>
      <c r="K32" s="154">
        <f>VLOOKUP(B32,[4]Weeks!$A$85:$X$121,3,FALSE)-VLOOKUP(B32,[4]Weeks!$A$125:$X$161,3,FALSE)</f>
        <v>0</v>
      </c>
      <c r="L32" s="154">
        <f>VLOOKUP(B32,[4]Weeks!$A$44:$X$81,3,FALSE)-VLOOKUP(B32,[4]Weeks!$A$85:$X$121,3,FALSE)</f>
        <v>0</v>
      </c>
      <c r="M32" s="154">
        <f>VLOOKUP(B32,[4]Weeks!$A$3:$X$39,3,FALSE)-VLOOKUP(B32,[4]Weeks!$A$44:$X$81,3,FALSE)</f>
        <v>0</v>
      </c>
      <c r="N32" s="46" t="str">
        <f t="shared" ref="N32:N41" si="4">IF(C32="*","*",IF(C32&gt;0,M32/C32*100,"-"))</f>
        <v>-</v>
      </c>
      <c r="O32" s="45">
        <f t="shared" ref="O32:O41" si="5">IF(C32="*","*",SUM(J32:M32)/4)</f>
        <v>0</v>
      </c>
      <c r="P32" s="41">
        <f>IF(ISNUMBER(VLOOKUP(B32,[4]CLOSURES!B:BI,3,FALSE)),TEXT(VLOOKUP(B32,[4]CLOSURES!B:BI,3,FALSE),"ddmmm"),IF(F32&lt;=0,0,IF(I32&lt;=0,0,IF(AND(F32&gt;0,O32&lt;=0),"&gt;52",IF(I32/O32&gt;52,"&gt;52", MAX(0,I32/O32-2))))))</f>
        <v>0</v>
      </c>
    </row>
    <row r="33" spans="1:17" s="2" customFormat="1" ht="10.7" customHeight="1" x14ac:dyDescent="0.2">
      <c r="A33" s="191"/>
      <c r="B33" s="222" t="s">
        <v>122</v>
      </c>
      <c r="C33" s="151">
        <f>'[5]Maj Pel Combined'!C30</f>
        <v>0</v>
      </c>
      <c r="D33" s="152">
        <f>F33-VLOOKUP(B33,[4]quotas!$B$85:$W$120,3,FALSE)</f>
        <v>0</v>
      </c>
      <c r="E33" s="152">
        <f t="shared" ref="E33:E46" si="6">F33-C33</f>
        <v>0</v>
      </c>
      <c r="F33" s="153">
        <f>VLOOKUP(B33,[4]quotas!$B$46:$W$84,3,FALSE)</f>
        <v>0</v>
      </c>
      <c r="G33" s="154">
        <f>VLOOKUP(B33,[4]Cumulative!$A$56:$X$91,3,FALSE)</f>
        <v>0</v>
      </c>
      <c r="H33" s="183">
        <f t="shared" ref="H33:H44" si="7">IF(AND(F33=0,G33&gt;0),"n/a",IF(F33=0,0,100*G33/F33))</f>
        <v>0</v>
      </c>
      <c r="I33" s="153">
        <f>IF(F33="*","*",F33-G33)</f>
        <v>0</v>
      </c>
      <c r="J33" s="154">
        <f>VLOOKUP(B33,[4]Weeks!$A$125:$X$161,3,FALSE)-VLOOKUP(B33,[4]Weeks!$A$165:$X$200,3,FALSE)</f>
        <v>0</v>
      </c>
      <c r="K33" s="154">
        <f>VLOOKUP(B33,[4]Weeks!$A$85:$X$121,3,FALSE)-VLOOKUP(B33,[4]Weeks!$A$125:$X$161,3,FALSE)</f>
        <v>0</v>
      </c>
      <c r="L33" s="154">
        <f>VLOOKUP(B33,[4]Weeks!$A$44:$X$81,3,FALSE)-VLOOKUP(B33,[4]Weeks!$A$85:$X$121,3,FALSE)</f>
        <v>0</v>
      </c>
      <c r="M33" s="154">
        <f>VLOOKUP(B33,[4]Weeks!$A$3:$X$39,3,FALSE)-VLOOKUP(B33,[4]Weeks!$A$44:$X$81,3,FALSE)</f>
        <v>0</v>
      </c>
      <c r="N33" s="46" t="str">
        <f>IF(C33="*","*",IF(C33&gt;0,M33/C33*100,"-"))</f>
        <v>-</v>
      </c>
      <c r="O33" s="45">
        <f t="shared" si="5"/>
        <v>0</v>
      </c>
      <c r="P33" s="41">
        <f>IF(ISNUMBER(VLOOKUP(B33,[4]CLOSURES!B:BI,3,FALSE)),TEXT(VLOOKUP(B33,[4]CLOSURES!B:BI,3,FALSE),"ddmmm"),IF(F33&lt;=0,0,IF(I33&lt;=0,0,IF(AND(F33&gt;0,O33&lt;=0),"&gt;52",IF(I33/O33&gt;52,"&gt;52", MAX(0,I33/O33-2))))))</f>
        <v>0</v>
      </c>
    </row>
    <row r="34" spans="1:17" s="2" customFormat="1" ht="10.7" customHeight="1" x14ac:dyDescent="0.2">
      <c r="A34" s="191"/>
      <c r="B34" s="222" t="s">
        <v>123</v>
      </c>
      <c r="C34" s="151">
        <f>'[5]Maj Pel Combined'!C31</f>
        <v>0</v>
      </c>
      <c r="D34" s="152">
        <f>F34-VLOOKUP(B34,[4]quotas!$B$85:$W$120,3,FALSE)</f>
        <v>0</v>
      </c>
      <c r="E34" s="152">
        <f t="shared" si="6"/>
        <v>0</v>
      </c>
      <c r="F34" s="153">
        <f>VLOOKUP(B34,[4]quotas!$B$46:$W$84,3,FALSE)</f>
        <v>0</v>
      </c>
      <c r="G34" s="154">
        <f>VLOOKUP(B34,[4]Cumulative!$A$56:$X$91,3,FALSE)</f>
        <v>0</v>
      </c>
      <c r="H34" s="183">
        <f t="shared" si="7"/>
        <v>0</v>
      </c>
      <c r="I34" s="153">
        <f t="shared" ref="I34:I44" si="8">IF(F34="*","*",F34-G34)</f>
        <v>0</v>
      </c>
      <c r="J34" s="154">
        <f>VLOOKUP(B34,[4]Weeks!$A$125:$X$161,3,FALSE)-VLOOKUP(B34,[4]Weeks!$A$165:$X$200,3,FALSE)</f>
        <v>0</v>
      </c>
      <c r="K34" s="154">
        <f>VLOOKUP(B34,[4]Weeks!$A$85:$X$121,3,FALSE)-VLOOKUP(B34,[4]Weeks!$A$125:$X$161,3,FALSE)</f>
        <v>0</v>
      </c>
      <c r="L34" s="154">
        <f>VLOOKUP(B34,[4]Weeks!$A$44:$X$81,3,FALSE)-VLOOKUP(B34,[4]Weeks!$A$85:$X$121,3,FALSE)</f>
        <v>0</v>
      </c>
      <c r="M34" s="154">
        <f>VLOOKUP(B34,[4]Weeks!$A$3:$X$39,3,FALSE)-VLOOKUP(B34,[4]Weeks!$A$44:$X$81,3,FALSE)</f>
        <v>0</v>
      </c>
      <c r="N34" s="46" t="str">
        <f t="shared" si="4"/>
        <v>-</v>
      </c>
      <c r="O34" s="45">
        <f t="shared" si="5"/>
        <v>0</v>
      </c>
      <c r="P34" s="41">
        <f>IF(ISNUMBER(VLOOKUP(B34,[4]CLOSURES!B:BI,3,FALSE)),TEXT(VLOOKUP(B34,[4]CLOSURES!B:BI,3,FALSE),"ddmmm"),IF(F34&lt;=0,0,IF(I34&lt;=0,0,IF(AND(F34&gt;0,O34&lt;=0),"&gt;52",IF(I34/O34&gt;52,"&gt;52", MAX(0,I34/O34-2))))))</f>
        <v>0</v>
      </c>
    </row>
    <row r="35" spans="1:17" s="2" customFormat="1" ht="10.7" customHeight="1" x14ac:dyDescent="0.2">
      <c r="A35" s="191"/>
      <c r="B35" s="222" t="s">
        <v>124</v>
      </c>
      <c r="C35" s="151">
        <f>'[5]Maj Pel Combined'!C32</f>
        <v>0</v>
      </c>
      <c r="D35" s="152">
        <f>F35-VLOOKUP(B35,[4]quotas!$B$85:$W$120,3,FALSE)</f>
        <v>0</v>
      </c>
      <c r="E35" s="152">
        <f t="shared" si="6"/>
        <v>0</v>
      </c>
      <c r="F35" s="153">
        <f>VLOOKUP(B35,[4]quotas!$B$46:$W$84,3,FALSE)</f>
        <v>0</v>
      </c>
      <c r="G35" s="154">
        <f>VLOOKUP(B35,[4]Cumulative!$A$56:$X$91,3,FALSE)</f>
        <v>0</v>
      </c>
      <c r="H35" s="183">
        <f>SUM(H30:H33)</f>
        <v>0</v>
      </c>
      <c r="I35" s="153">
        <f t="shared" si="8"/>
        <v>0</v>
      </c>
      <c r="J35" s="154">
        <f>VLOOKUP(B35,[4]Weeks!$A$125:$X$161,3,FALSE)-VLOOKUP(B35,[4]Weeks!$A$165:$X$200,3,FALSE)</f>
        <v>0</v>
      </c>
      <c r="K35" s="154">
        <f>VLOOKUP(B35,[4]Weeks!$A$85:$X$121,3,FALSE)-VLOOKUP(B35,[4]Weeks!$A$125:$X$161,3,FALSE)</f>
        <v>0</v>
      </c>
      <c r="L35" s="154">
        <f>VLOOKUP(B35,[4]Weeks!$A$44:$X$81,3,FALSE)-VLOOKUP(B35,[4]Weeks!$A$85:$X$121,3,FALSE)</f>
        <v>0</v>
      </c>
      <c r="M35" s="154">
        <f>VLOOKUP(B35,[4]Weeks!$A$3:$X$39,3,FALSE)-VLOOKUP(B35,[4]Weeks!$A$44:$X$81,3,FALSE)</f>
        <v>0</v>
      </c>
      <c r="N35" s="46" t="str">
        <f t="shared" si="4"/>
        <v>-</v>
      </c>
      <c r="O35" s="45">
        <f t="shared" si="5"/>
        <v>0</v>
      </c>
      <c r="P35" s="41">
        <f>IF(ISNUMBER(VLOOKUP(B35,[4]CLOSURES!B:BI,3,FALSE)),TEXT(VLOOKUP(B35,[4]CLOSURES!B:BI,3,FALSE),"ddmmm"),IF(F35&lt;=0,0,IF(I35&lt;=0,0,IF(AND(F35&gt;0,O35&lt;=0),"&gt;52",IF(I35/O35&gt;52,"&gt;52", MAX(0,I35/O35-2))))))</f>
        <v>0</v>
      </c>
    </row>
    <row r="36" spans="1:17" s="2" customFormat="1" ht="10.7" customHeight="1" x14ac:dyDescent="0.2">
      <c r="A36" s="191"/>
      <c r="B36" s="222"/>
      <c r="C36" s="151"/>
      <c r="D36" s="152"/>
      <c r="E36" s="152"/>
      <c r="F36" s="153"/>
      <c r="G36" s="154"/>
      <c r="H36" s="183"/>
      <c r="I36" s="153"/>
      <c r="J36" s="154"/>
      <c r="K36" s="154"/>
      <c r="L36" s="154"/>
      <c r="M36" s="154"/>
      <c r="N36" s="46"/>
      <c r="O36" s="45"/>
      <c r="P36" s="41"/>
    </row>
    <row r="37" spans="1:17" s="2" customFormat="1" ht="10.7" customHeight="1" x14ac:dyDescent="0.2">
      <c r="A37" s="191"/>
      <c r="B37" s="162" t="s">
        <v>125</v>
      </c>
      <c r="C37" s="151">
        <f>SUM(C32:C35)</f>
        <v>0</v>
      </c>
      <c r="D37" s="152">
        <f>SUM(D32:D36)</f>
        <v>0</v>
      </c>
      <c r="E37" s="152">
        <f t="shared" si="6"/>
        <v>0</v>
      </c>
      <c r="F37" s="153">
        <f>SUM(F32:F35)</f>
        <v>0</v>
      </c>
      <c r="G37" s="153">
        <f>SUM(G32:G35)</f>
        <v>0</v>
      </c>
      <c r="H37" s="183">
        <f t="shared" si="7"/>
        <v>0</v>
      </c>
      <c r="I37" s="153">
        <f t="shared" si="8"/>
        <v>0</v>
      </c>
      <c r="J37" s="154">
        <f>SUM(J32:J35)</f>
        <v>0</v>
      </c>
      <c r="K37" s="154">
        <f>SUM(K32:K35)</f>
        <v>0</v>
      </c>
      <c r="L37" s="154">
        <f>SUM(L32:L35)</f>
        <v>0</v>
      </c>
      <c r="M37" s="154">
        <f>SUM(M32:M35)</f>
        <v>0</v>
      </c>
      <c r="N37" s="46" t="str">
        <f t="shared" si="4"/>
        <v>-</v>
      </c>
      <c r="O37" s="45">
        <f t="shared" si="5"/>
        <v>0</v>
      </c>
      <c r="P37" s="41">
        <f>IF(ISNUMBER(VLOOKUP(B37,[4]CLOSURES!B:BI,3,FALSE)),TEXT(VLOOKUP(B37,[4]CLOSURES!B:BI,3,FALSE),"ddmmm"),IF(F37&lt;=0,0,IF(I37&lt;=0,0,IF(AND(F37&gt;0,O37&lt;=0),"&gt;52",IF(I37/O37&gt;52,"&gt;52", MAX(0,I37/O37-2))))))</f>
        <v>0</v>
      </c>
    </row>
    <row r="38" spans="1:17" s="2" customFormat="1" ht="10.7" customHeight="1" x14ac:dyDescent="0.2">
      <c r="A38" s="191"/>
      <c r="B38" s="162"/>
      <c r="C38" s="151"/>
      <c r="D38" s="152"/>
      <c r="E38" s="152"/>
      <c r="F38" s="153"/>
      <c r="G38" s="154"/>
      <c r="H38" s="183"/>
      <c r="I38" s="153"/>
      <c r="J38" s="154"/>
      <c r="K38" s="154"/>
      <c r="L38" s="154"/>
      <c r="M38" s="154"/>
      <c r="N38" s="46"/>
      <c r="O38" s="45"/>
      <c r="P38" s="41"/>
    </row>
    <row r="39" spans="1:17" s="2" customFormat="1" ht="10.7" customHeight="1" x14ac:dyDescent="0.2">
      <c r="A39" s="191"/>
      <c r="B39" s="223" t="s">
        <v>126</v>
      </c>
      <c r="C39" s="151">
        <f>'[5]Maj Pel Combined'!$C36</f>
        <v>0</v>
      </c>
      <c r="D39" s="152">
        <f>F39-VLOOKUP(B39,[4]quotas!$B$85:$W$120,3,FALSE)</f>
        <v>0</v>
      </c>
      <c r="E39" s="152">
        <f t="shared" si="6"/>
        <v>0</v>
      </c>
      <c r="F39" s="153">
        <f>VLOOKUP(B39,[4]quotas!$B$46:$W$84,3,FALSE)</f>
        <v>0</v>
      </c>
      <c r="G39" s="154">
        <f>VLOOKUP(B39,[4]Cumulative!$A$56:$X$91,3,FALSE)</f>
        <v>0</v>
      </c>
      <c r="H39" s="183">
        <f t="shared" si="7"/>
        <v>0</v>
      </c>
      <c r="I39" s="153">
        <f t="shared" si="8"/>
        <v>0</v>
      </c>
      <c r="J39" s="154">
        <f>VLOOKUP(B39,[4]Weeks!$A$125:$X$161,3,FALSE)-VLOOKUP(B39,[4]Weeks!$A$165:$X$200,3,FALSE)</f>
        <v>0</v>
      </c>
      <c r="K39" s="154">
        <f>VLOOKUP(B39,[4]Weeks!$A$85:$X$121,3,FALSE)-VLOOKUP(B39,[4]Weeks!$A$125:$X$161,3,FALSE)</f>
        <v>0</v>
      </c>
      <c r="L39" s="154">
        <f>VLOOKUP(B39,[4]Weeks!$A$44:$X$81,3,FALSE)-VLOOKUP(B39,[4]Weeks!$A$85:$X$121,3,FALSE)</f>
        <v>0</v>
      </c>
      <c r="M39" s="154">
        <f>VLOOKUP(B39,[4]Weeks!$A$3:$X$39,3,FALSE)-VLOOKUP(B39,[4]Weeks!$A$44:$X$81,3,FALSE)</f>
        <v>0</v>
      </c>
      <c r="N39" s="46" t="str">
        <f t="shared" si="4"/>
        <v>-</v>
      </c>
      <c r="O39" s="45">
        <f t="shared" si="5"/>
        <v>0</v>
      </c>
      <c r="P39" s="41" t="str">
        <f>IF(ISNUMBER(VLOOKUP(B39,[4]CLOSURES!B:BI,3,FALSE)),TEXT(VLOOKUP(B39,[4]CLOSURES!B:BI,3,FALSE),"ddmmm"),IF(F39&lt;=0,0,IF(I39&lt;=0,0,IF(AND(F39&gt;0,O39&lt;=0),"&gt;52",IF(I39/O39&gt;52,"&gt;52", MAX(0,I39/O39-2))))))</f>
        <v>01Jan</v>
      </c>
    </row>
    <row r="40" spans="1:17" s="2" customFormat="1" ht="10.7" customHeight="1" x14ac:dyDescent="0.2">
      <c r="A40" s="191"/>
      <c r="B40" s="223" t="s">
        <v>127</v>
      </c>
      <c r="C40" s="151">
        <f>'[5]Maj Pel Combined'!$C37</f>
        <v>0</v>
      </c>
      <c r="D40" s="152">
        <f>F40-VLOOKUP(B40,[4]quotas!$B$85:$W$120,3,FALSE)</f>
        <v>0</v>
      </c>
      <c r="E40" s="152">
        <f t="shared" si="6"/>
        <v>0</v>
      </c>
      <c r="F40" s="153">
        <f>VLOOKUP(B40,[4]quotas!$B$46:$W$84,3,FALSE)</f>
        <v>0</v>
      </c>
      <c r="G40" s="154">
        <f>VLOOKUP(B40,[4]Cumulative!$A$56:$X$91,3,FALSE)</f>
        <v>0</v>
      </c>
      <c r="H40" s="183">
        <f t="shared" si="7"/>
        <v>0</v>
      </c>
      <c r="I40" s="153">
        <f t="shared" si="8"/>
        <v>0</v>
      </c>
      <c r="J40" s="154">
        <f>VLOOKUP(B40,[4]Weeks!$A$125:$X$161,3,FALSE)-VLOOKUP(B40,[4]Weeks!$A$165:$X$200,3,FALSE)</f>
        <v>0</v>
      </c>
      <c r="K40" s="154">
        <f>VLOOKUP(B40,[4]Weeks!$A$85:$X$121,3,FALSE)-VLOOKUP(B40,[4]Weeks!$A$125:$X$161,3,FALSE)</f>
        <v>0</v>
      </c>
      <c r="L40" s="154">
        <f>VLOOKUP(B40,[4]Weeks!$A$44:$X$81,3,FALSE)-VLOOKUP(B40,[4]Weeks!$A$85:$X$121,3,FALSE)</f>
        <v>0</v>
      </c>
      <c r="M40" s="154">
        <f>VLOOKUP(B40,[4]Weeks!$A$3:$X$39,3,FALSE)-VLOOKUP(B40,[4]Weeks!$A$44:$X$81,3,FALSE)</f>
        <v>0</v>
      </c>
      <c r="N40" s="46" t="str">
        <f t="shared" si="4"/>
        <v>-</v>
      </c>
      <c r="O40" s="45">
        <f t="shared" si="5"/>
        <v>0</v>
      </c>
      <c r="P40" s="41" t="str">
        <f>IF(ISNUMBER(VLOOKUP(B40,[4]CLOSURES!B:BI,3,FALSE)),TEXT(VLOOKUP(B40,[4]CLOSURES!B:BI,3,FALSE),"ddmmm"),IF(F40&lt;=0,0,IF(I40&lt;=0,0,IF(AND(F40&gt;0,O40&lt;=0),"&gt;52",IF(I40/O40&gt;52,"&gt;52", MAX(0,I40/O40-2))))))</f>
        <v>01Jan</v>
      </c>
    </row>
    <row r="41" spans="1:17" s="2" customFormat="1" ht="10.7" customHeight="1" x14ac:dyDescent="0.2">
      <c r="A41" s="191"/>
      <c r="B41" s="223" t="s">
        <v>128</v>
      </c>
      <c r="C41" s="151">
        <f>'[5]Maj Pel Combined'!$C38</f>
        <v>0</v>
      </c>
      <c r="D41" s="152">
        <f>F41-VLOOKUP(B41,[4]quotas!$B$85:$W$120,3,FALSE)</f>
        <v>0</v>
      </c>
      <c r="E41" s="152">
        <f t="shared" si="6"/>
        <v>0</v>
      </c>
      <c r="F41" s="153">
        <f>VLOOKUP(B41,[4]quotas!$B$46:$W$84,3,FALSE)</f>
        <v>0</v>
      </c>
      <c r="G41" s="154">
        <f>VLOOKUP(B41,[4]Cumulative!$A$56:$X$91,3,FALSE)</f>
        <v>0</v>
      </c>
      <c r="H41" s="183">
        <f t="shared" si="7"/>
        <v>0</v>
      </c>
      <c r="I41" s="153">
        <f t="shared" si="8"/>
        <v>0</v>
      </c>
      <c r="J41" s="154">
        <f>VLOOKUP(B41,[4]Weeks!$A$125:$X$161,3,FALSE)-VLOOKUP(B41,[4]Weeks!$A$165:$X$200,3,FALSE)</f>
        <v>0</v>
      </c>
      <c r="K41" s="154">
        <f>VLOOKUP(B41,[4]Weeks!$A$85:$X$121,3,FALSE)-VLOOKUP(B41,[4]Weeks!$A$125:$X$161,3,FALSE)</f>
        <v>0</v>
      </c>
      <c r="L41" s="154">
        <f>VLOOKUP(B41,[4]Weeks!$A$44:$X$81,3,FALSE)-VLOOKUP(B41,[4]Weeks!$A$85:$X$121,3,FALSE)</f>
        <v>0</v>
      </c>
      <c r="M41" s="154">
        <f>VLOOKUP(B41,[4]Weeks!$A$3:$X$39,3,FALSE)-VLOOKUP(B41,[4]Weeks!$A$44:$X$81,3,FALSE)</f>
        <v>0</v>
      </c>
      <c r="N41" s="46" t="str">
        <f t="shared" si="4"/>
        <v>-</v>
      </c>
      <c r="O41" s="45">
        <f t="shared" si="5"/>
        <v>0</v>
      </c>
      <c r="P41" s="41" t="str">
        <f>IF(ISNUMBER(VLOOKUP(B41,[4]CLOSURES!B:BI,3,FALSE)),TEXT(VLOOKUP(B41,[4]CLOSURES!B:BI,3,FALSE),"ddmmm"),IF(F41&lt;=0,0,IF(I41&lt;=0,0,IF(AND(F41&gt;0,O41&lt;=0),"&gt;52",IF(I41/O41&gt;52,"&gt;52", MAX(0,I41/O41-2))))))</f>
        <v>01Jan</v>
      </c>
    </row>
    <row r="42" spans="1:17" s="2" customFormat="1" ht="10.7" customHeight="1" x14ac:dyDescent="0.2">
      <c r="A42" s="191"/>
      <c r="B42" s="223" t="s">
        <v>129</v>
      </c>
      <c r="C42" s="151">
        <f>'[5]Maj Pel Combined'!$C39</f>
        <v>0</v>
      </c>
      <c r="D42" s="152">
        <f>F42-VLOOKUP(B42,[4]quotas!$B$85:$W$120,3,FALSE)</f>
        <v>0</v>
      </c>
      <c r="E42" s="152">
        <f t="shared" si="6"/>
        <v>0</v>
      </c>
      <c r="F42" s="153">
        <f>VLOOKUP(B42,[4]quotas!$B$46:$W$84,3,FALSE)</f>
        <v>0</v>
      </c>
      <c r="G42" s="154">
        <f>VLOOKUP(B42,[4]Cumulative!$A$56:$X$91,3,FALSE)</f>
        <v>0</v>
      </c>
      <c r="H42" s="183">
        <f t="shared" si="7"/>
        <v>0</v>
      </c>
      <c r="I42" s="153">
        <f t="shared" si="8"/>
        <v>0</v>
      </c>
      <c r="J42" s="154">
        <f>VLOOKUP(B42,[4]Weeks!$A$125:$X$161,3,FALSE)-VLOOKUP(B42,[4]Weeks!$A$165:$X$200,3,FALSE)</f>
        <v>0</v>
      </c>
      <c r="K42" s="154">
        <f>VLOOKUP(B42,[4]Weeks!$A$85:$X$121,3,FALSE)-VLOOKUP(B42,[4]Weeks!$A$125:$X$161,3,FALSE)</f>
        <v>0</v>
      </c>
      <c r="L42" s="154">
        <f>VLOOKUP(B42,[4]Weeks!$A$44:$X$81,3,FALSE)-VLOOKUP(B42,[4]Weeks!$A$85:$X$121,3,FALSE)</f>
        <v>0</v>
      </c>
      <c r="M42" s="154">
        <f>VLOOKUP(B42,[4]Weeks!$A$3:$X$39,3,FALSE)-VLOOKUP(B42,[4]Weeks!$A$44:$X$81,3,FALSE)</f>
        <v>0</v>
      </c>
      <c r="N42" s="48">
        <f>SUM(N32:N41)</f>
        <v>0</v>
      </c>
      <c r="O42" s="45">
        <f>SUM(O32:O41)</f>
        <v>0</v>
      </c>
      <c r="P42" s="41" t="str">
        <f>IF(ISNUMBER(VLOOKUP(B42,[4]CLOSURES!B:BI,3,FALSE)),TEXT(VLOOKUP(B42,[4]CLOSURES!B:BI,3,FALSE),"ddmmm"),IF(F42&lt;=0,0,IF(I42&lt;=0,0,IF(AND(F42&gt;0,O42&lt;=0),"&gt;52",IF(I42/O42&gt;52,"&gt;52", MAX(0,I42/O42-2))))))</f>
        <v>01Jan</v>
      </c>
    </row>
    <row r="43" spans="1:17" s="2" customFormat="1" ht="10.7" customHeight="1" x14ac:dyDescent="0.2">
      <c r="A43" s="191"/>
      <c r="B43" s="223"/>
      <c r="C43" s="151"/>
      <c r="D43" s="154"/>
      <c r="E43" s="152"/>
      <c r="F43" s="153"/>
      <c r="G43" s="154"/>
      <c r="H43" s="183"/>
      <c r="I43" s="153"/>
      <c r="J43" s="154"/>
      <c r="K43" s="154"/>
      <c r="L43" s="154"/>
      <c r="M43" s="154"/>
      <c r="N43" s="46"/>
      <c r="O43" s="45"/>
      <c r="P43" s="41"/>
    </row>
    <row r="44" spans="1:17" s="2" customFormat="1" ht="10.7" customHeight="1" x14ac:dyDescent="0.2">
      <c r="A44" s="191"/>
      <c r="B44" s="196" t="s">
        <v>130</v>
      </c>
      <c r="C44" s="151">
        <f>SUM(C39:C42)</f>
        <v>0</v>
      </c>
      <c r="D44" s="152">
        <f>SUM(D39:D43)</f>
        <v>0</v>
      </c>
      <c r="E44" s="152">
        <f t="shared" si="6"/>
        <v>0</v>
      </c>
      <c r="F44" s="153">
        <f>SUM(F39:F42)</f>
        <v>0</v>
      </c>
      <c r="G44" s="153">
        <f>SUM(G39:G42)</f>
        <v>0</v>
      </c>
      <c r="H44" s="183">
        <f t="shared" si="7"/>
        <v>0</v>
      </c>
      <c r="I44" s="153">
        <f t="shared" si="8"/>
        <v>0</v>
      </c>
      <c r="J44" s="154">
        <f>SUM(J39:J42)</f>
        <v>0</v>
      </c>
      <c r="K44" s="154">
        <f>SUM(K39:K42)</f>
        <v>0</v>
      </c>
      <c r="L44" s="154">
        <f>SUM(L39:L42)</f>
        <v>0</v>
      </c>
      <c r="M44" s="154">
        <f>SUM(M39:M42)</f>
        <v>0</v>
      </c>
      <c r="N44" s="46" t="str">
        <f>IF(C44="*","*",IF(C44&gt;0,M44/C44*100,"-"))</f>
        <v>-</v>
      </c>
      <c r="O44" s="45">
        <f>IF(C44="*","*",SUM(J44:M44)/4)</f>
        <v>0</v>
      </c>
      <c r="P44" s="41">
        <f>IF(ISNUMBER(VLOOKUP(B44,[4]CLOSURES!B:BI,3,FALSE)),TEXT(VLOOKUP(B44,[4]CLOSURES!B:BI,3,FALSE),"ddmmm"),IF(F44&lt;=0,0,IF(I44&lt;=0,0,IF(AND(F44&gt;0,O44&lt;=0),"&gt;52",IF(I44/O44&gt;52,"&gt;52", MAX(0,I44/O44-2))))))</f>
        <v>0</v>
      </c>
    </row>
    <row r="45" spans="1:17" s="2" customFormat="1" ht="10.7" customHeight="1" x14ac:dyDescent="0.2">
      <c r="A45" s="191"/>
      <c r="B45" s="186"/>
      <c r="C45" s="151"/>
      <c r="D45" s="152"/>
      <c r="E45" s="152"/>
      <c r="F45" s="153"/>
      <c r="G45" s="154"/>
      <c r="H45" s="183"/>
      <c r="I45" s="153"/>
      <c r="J45" s="154"/>
      <c r="K45" s="154"/>
      <c r="L45" s="154"/>
      <c r="M45" s="154"/>
      <c r="N45" s="46"/>
      <c r="O45" s="45"/>
      <c r="P45" s="41"/>
    </row>
    <row r="46" spans="1:17" s="2" customFormat="1" ht="10.7" customHeight="1" x14ac:dyDescent="0.2">
      <c r="A46" s="191"/>
      <c r="B46" s="187" t="s">
        <v>91</v>
      </c>
      <c r="C46" s="157">
        <f>C44+C37</f>
        <v>0</v>
      </c>
      <c r="D46" s="160">
        <f>D37+D44</f>
        <v>0</v>
      </c>
      <c r="E46" s="160">
        <f t="shared" si="6"/>
        <v>0</v>
      </c>
      <c r="F46" s="156">
        <f>F44+F37</f>
        <v>0</v>
      </c>
      <c r="G46" s="155">
        <f>G44+G37</f>
        <v>0</v>
      </c>
      <c r="H46" s="188">
        <f>IF(AND(F46=0,G46&gt;0),"n/a",IF(F46=0,0,100*G46/F46))</f>
        <v>0</v>
      </c>
      <c r="I46" s="156">
        <f>IF(F46="*","*",F46-G46)</f>
        <v>0</v>
      </c>
      <c r="J46" s="155">
        <f>J37+J44</f>
        <v>0</v>
      </c>
      <c r="K46" s="155">
        <f>K37+K44</f>
        <v>0</v>
      </c>
      <c r="L46" s="155">
        <f>L37+L44</f>
        <v>0</v>
      </c>
      <c r="M46" s="155">
        <f>M37+M44</f>
        <v>0</v>
      </c>
      <c r="N46" s="58" t="str">
        <f>IF(C46="*","*",IF(C46&gt;0,M46/C46*100,"-"))</f>
        <v>-</v>
      </c>
      <c r="O46" s="52">
        <f>IF(C46="*","*",SUM(J46:M46)/4)</f>
        <v>0</v>
      </c>
      <c r="P46" s="54">
        <f>IF(ISNUMBER(VLOOKUP(B46,[4]CLOSURES!B:BI,3,FALSE)),TEXT(VLOOKUP(B46,[4]CLOSURES!B:BI,3,FALSE),"ddmmm"),IF(F46&lt;=0,0,IF(I46&lt;=0,0,IF(AND(F46&gt;0,O46&lt;=0),"&gt;52",IF(I46/O46&gt;52,"&gt;52", MAX(0,I46/O46-2))))))</f>
        <v>0</v>
      </c>
    </row>
    <row r="47" spans="1:17" s="2" customFormat="1" ht="10.7" customHeight="1" x14ac:dyDescent="0.2">
      <c r="B47" s="191"/>
      <c r="C47" s="191"/>
      <c r="D47" s="191"/>
      <c r="E47" s="191"/>
      <c r="F47" s="192"/>
      <c r="G47" s="191"/>
      <c r="H47" s="191"/>
      <c r="I47" s="193"/>
      <c r="J47" s="191"/>
      <c r="K47" s="191"/>
      <c r="L47" s="191"/>
      <c r="M47" s="191"/>
      <c r="N47" s="194"/>
      <c r="O47" s="191"/>
      <c r="P47" s="194"/>
      <c r="Q47" s="191"/>
    </row>
    <row r="48" spans="1:17" s="2" customFormat="1" ht="10.7" customHeight="1" x14ac:dyDescent="0.2">
      <c r="B48" s="191"/>
      <c r="C48" s="191"/>
      <c r="D48" s="191"/>
      <c r="E48" s="191"/>
      <c r="F48" s="192"/>
      <c r="G48" s="191"/>
      <c r="H48" s="191"/>
      <c r="I48" s="193"/>
      <c r="J48" s="191"/>
      <c r="K48" s="191"/>
      <c r="L48" s="191"/>
      <c r="M48" s="191"/>
      <c r="N48" s="194"/>
      <c r="O48" s="191"/>
      <c r="P48" s="194"/>
      <c r="Q48" s="191"/>
    </row>
    <row r="49" spans="1:20" ht="10.7" customHeight="1" x14ac:dyDescent="0.2">
      <c r="B49" s="14"/>
      <c r="C49" s="15" t="str">
        <f>C5</f>
        <v>Initial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1"/>
    </row>
    <row r="50" spans="1:20" ht="10.7" customHeight="1" x14ac:dyDescent="0.2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1"/>
    </row>
    <row r="51" spans="1:20" ht="10.7" customHeight="1" x14ac:dyDescent="0.2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f>$J7</f>
        <v>44468</v>
      </c>
      <c r="K51" s="33">
        <f>$K7</f>
        <v>44475</v>
      </c>
      <c r="L51" s="33">
        <f>$L7</f>
        <v>44482</v>
      </c>
      <c r="M51" s="15" t="s">
        <v>48</v>
      </c>
      <c r="N51" s="34" t="s">
        <v>56</v>
      </c>
      <c r="O51" s="34" t="s">
        <v>48</v>
      </c>
      <c r="P51" s="24" t="s">
        <v>58</v>
      </c>
      <c r="Q51" s="191"/>
    </row>
    <row r="52" spans="1:20" ht="10.7" customHeight="1" x14ac:dyDescent="0.2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1"/>
    </row>
    <row r="53" spans="1:20" ht="10.7" customHeight="1" x14ac:dyDescent="0.2">
      <c r="B53" s="40"/>
      <c r="C53" s="233" t="s">
        <v>132</v>
      </c>
      <c r="D53" s="234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41" t="s">
        <v>4</v>
      </c>
      <c r="Q53" s="191"/>
    </row>
    <row r="54" spans="1:20" ht="10.7" customHeight="1" x14ac:dyDescent="0.2">
      <c r="B54" s="222" t="s">
        <v>121</v>
      </c>
      <c r="C54" s="151">
        <f>'[5]Maj Pel Combined'!D29</f>
        <v>352.197</v>
      </c>
      <c r="D54" s="152">
        <f>F54-VLOOKUP(B54,[4]quotas!$B$85:$W$120,4,FALSE)</f>
        <v>0</v>
      </c>
      <c r="E54" s="152">
        <f>F54-C54</f>
        <v>-200</v>
      </c>
      <c r="F54" s="153">
        <f>VLOOKUP(B54,[4]quotas!$B$46:$W$84,4,FALSE)</f>
        <v>152.197</v>
      </c>
      <c r="G54" s="154">
        <f>VLOOKUP(B54,[4]Cumulative!$A$56:$X$91,4,FALSE)+VLOOKUP(B54,[4]Cumulative!$A$56:$X$91,6,FALSE)</f>
        <v>0</v>
      </c>
      <c r="H54" s="183">
        <f>IF(AND(F54=0,G54&gt;0),"n/a",IF(F54=0,0,100*G54/F54))</f>
        <v>0</v>
      </c>
      <c r="I54" s="153">
        <f>IF(F54="*","*",F54-G54)</f>
        <v>152.197</v>
      </c>
      <c r="J54" s="154">
        <f>VLOOKUP(B54,[4]Weeks!$A$125:$X$161,6,FALSE)-VLOOKUP(B54,[4]Weeks!$A$165:$X$200,6,FALSE)+ VLOOKUP(B54,[4]Weeks!$A$125:$X$161,4,FALSE)-VLOOKUP(B54,[4]Weeks!$A$165:$X$200,4,FALSE)</f>
        <v>0</v>
      </c>
      <c r="K54" s="154">
        <f>VLOOKUP(B54,[4]Weeks!$A$85:$X$121,6,FALSE)-VLOOKUP(B54,[4]Weeks!$A$125:$X$161,6,FALSE)+ VLOOKUP(B54,[4]Weeks!$A$85:$X$121,4,FALSE)-VLOOKUP(B54,[4]Weeks!$A$125:$X$161,4,FALSE)</f>
        <v>0</v>
      </c>
      <c r="L54" s="154">
        <f>VLOOKUP(B54,[4]Weeks!$A$44:$X$81,6,FALSE)-VLOOKUP(B54,[4]Weeks!$A$85:$X$121,6,FALSE)+ VLOOKUP(B54,[4]Weeks!$A$44:$X$81,4,FALSE)-VLOOKUP(B54,[4]Weeks!$A$85:$X$121,4,FALSE)</f>
        <v>0</v>
      </c>
      <c r="M54" s="154">
        <f>VLOOKUP(B54,[4]Weeks!$A$3:$X$39,6,FALSE)-VLOOKUP(B54,[4]Weeks!$A$44:$X$81,6,FALSE)+ VLOOKUP(B54,[4]Weeks!$A$3:$X$39,4,FALSE)-VLOOKUP(B54,[4]Weeks!$A$44:$X$81,4,FALSE)</f>
        <v>0</v>
      </c>
      <c r="N54" s="46">
        <f t="shared" ref="N54:N63" si="9">IF(C54="*","*",IF(C54&gt;0,M54/C54*100,"-"))</f>
        <v>0</v>
      </c>
      <c r="O54" s="45">
        <f t="shared" ref="O54:O64" si="10">IF(C54="*","*",SUM(J54:M54)/4)</f>
        <v>0</v>
      </c>
      <c r="P54" s="41" t="str">
        <f>IF(ISNUMBER(VLOOKUP(B54,[4]CLOSURES!B:BI,4,FALSE)),TEXT(VLOOKUP(B54,[4]CLOSURES!B:BI,4,FALSE),"ddmmm"),IF(F54&lt;=0,0,IF(I54&lt;=0,0,IF(AND(F54&gt;0,O54&lt;=0),"&gt;52",IF(I54/O54&gt;52,"&gt;52", MAX(0,I54/O54-2))))))</f>
        <v>&gt;52</v>
      </c>
      <c r="Q54" s="191"/>
      <c r="T54" s="4"/>
    </row>
    <row r="55" spans="1:20" ht="10.7" customHeight="1" x14ac:dyDescent="0.2">
      <c r="B55" s="222" t="s">
        <v>122</v>
      </c>
      <c r="C55" s="151">
        <f>'[5]Maj Pel Combined'!D30</f>
        <v>0</v>
      </c>
      <c r="D55" s="152">
        <f>F55-VLOOKUP(B55,[4]quotas!$B$85:$W$120,4,FALSE)</f>
        <v>0</v>
      </c>
      <c r="E55" s="152">
        <f t="shared" ref="E55:E68" si="11">F55-C55</f>
        <v>0</v>
      </c>
      <c r="F55" s="153">
        <f>VLOOKUP(B55,[4]quotas!$B$46:$W$84,4,FALSE)</f>
        <v>0</v>
      </c>
      <c r="G55" s="154">
        <f>VLOOKUP(B55,[4]Cumulative!$A$56:$X$91,4,FALSE)+VLOOKUP(B55,[4]Cumulative!$A$56:$X$91,6,FALSE)</f>
        <v>0</v>
      </c>
      <c r="H55" s="183">
        <f t="shared" ref="H55:H66" si="12">IF(AND(F55=0,G55&gt;0),"n/a",IF(F55=0,0,100*G55/F55))</f>
        <v>0</v>
      </c>
      <c r="I55" s="153">
        <f t="shared" ref="I55:I66" si="13">IF(F55="*","*",F55-G55)</f>
        <v>0</v>
      </c>
      <c r="J55" s="154">
        <f>VLOOKUP(B55,[4]Weeks!$A$125:$X$161,6,FALSE)-VLOOKUP(B55,[4]Weeks!$A$165:$X$200,6,FALSE)+ VLOOKUP(B55,[4]Weeks!$A$125:$X$161,4,FALSE)-VLOOKUP(B55,[4]Weeks!$A$165:$X$200,4,FALSE)</f>
        <v>0</v>
      </c>
      <c r="K55" s="154">
        <f>VLOOKUP(B55,[4]Weeks!$A$85:$X$121,6,FALSE)-VLOOKUP(B55,[4]Weeks!$A$125:$X$161,6,FALSE)+ VLOOKUP(B55,[4]Weeks!$A$85:$X$121,4,FALSE)-VLOOKUP(B55,[4]Weeks!$A$125:$X$161,4,FALSE)</f>
        <v>0</v>
      </c>
      <c r="L55" s="154">
        <f>VLOOKUP(B55,[4]Weeks!$A$44:$X$81,6,FALSE)-VLOOKUP(B55,[4]Weeks!$A$85:$X$121,6,FALSE)+ VLOOKUP(B55,[4]Weeks!$A$44:$X$81,4,FALSE)-VLOOKUP(B55,[4]Weeks!$A$85:$X$121,4,FALSE)</f>
        <v>0</v>
      </c>
      <c r="M55" s="154">
        <f>VLOOKUP(B55,[4]Weeks!$A$3:$X$39,6,FALSE)-VLOOKUP(B55,[4]Weeks!$A$44:$X$81,6,FALSE)+ VLOOKUP(B55,[4]Weeks!$A$3:$X$39,4,FALSE)-VLOOKUP(B55,[4]Weeks!$A$44:$X$81,4,FALSE)</f>
        <v>0</v>
      </c>
      <c r="N55" s="46" t="str">
        <f t="shared" si="9"/>
        <v>-</v>
      </c>
      <c r="O55" s="45">
        <f t="shared" si="10"/>
        <v>0</v>
      </c>
      <c r="P55" s="41">
        <f>IF(ISNUMBER(VLOOKUP(B55,[4]CLOSURES!B:BI,4,FALSE)),TEXT(VLOOKUP(B55,[4]CLOSURES!B:BI,4,FALSE),"ddmmm"),IF(F55&lt;=0,0,IF(I55&lt;=0,0,IF(AND(F55&gt;0,O55&lt;=0),"&gt;52",IF(I55/O55&gt;52,"&gt;52", MAX(0,I55/O55-2))))))</f>
        <v>0</v>
      </c>
      <c r="Q55" s="191"/>
      <c r="T55" s="4"/>
    </row>
    <row r="56" spans="1:20" ht="10.7" customHeight="1" x14ac:dyDescent="0.2">
      <c r="B56" s="222" t="s">
        <v>123</v>
      </c>
      <c r="C56" s="151">
        <f>'[5]Maj Pel Combined'!D31</f>
        <v>100</v>
      </c>
      <c r="D56" s="152">
        <f>F56-VLOOKUP(B56,[4]quotas!$B$85:$W$120,4,FALSE)</f>
        <v>-90</v>
      </c>
      <c r="E56" s="152">
        <f t="shared" si="11"/>
        <v>-90</v>
      </c>
      <c r="F56" s="153">
        <f>VLOOKUP(B56,[4]quotas!$B$46:$W$84,4,FALSE)</f>
        <v>10</v>
      </c>
      <c r="G56" s="154">
        <f>VLOOKUP(B56,[4]Cumulative!$A$56:$X$91,4,FALSE)+VLOOKUP(B56,[4]Cumulative!$A$56:$X$91,6,FALSE)</f>
        <v>0.1</v>
      </c>
      <c r="H56" s="183">
        <f t="shared" si="12"/>
        <v>1</v>
      </c>
      <c r="I56" s="153">
        <f t="shared" si="13"/>
        <v>9.9</v>
      </c>
      <c r="J56" s="154">
        <f>VLOOKUP(B56,[4]Weeks!$A$125:$X$161,6,FALSE)-VLOOKUP(B56,[4]Weeks!$A$165:$X$200,6,FALSE)+ VLOOKUP(B56,[4]Weeks!$A$125:$X$161,4,FALSE)-VLOOKUP(B56,[4]Weeks!$A$165:$X$200,4,FALSE)</f>
        <v>0</v>
      </c>
      <c r="K56" s="154">
        <f>VLOOKUP(B56,[4]Weeks!$A$85:$X$121,6,FALSE)-VLOOKUP(B56,[4]Weeks!$A$125:$X$161,6,FALSE)+ VLOOKUP(B56,[4]Weeks!$A$85:$X$121,4,FALSE)-VLOOKUP(B56,[4]Weeks!$A$125:$X$161,4,FALSE)</f>
        <v>0</v>
      </c>
      <c r="L56" s="154">
        <f>VLOOKUP(B56,[4]Weeks!$A$44:$X$81,6,FALSE)-VLOOKUP(B56,[4]Weeks!$A$85:$X$121,6,FALSE)+ VLOOKUP(B56,[4]Weeks!$A$44:$X$81,4,FALSE)-VLOOKUP(B56,[4]Weeks!$A$85:$X$121,4,FALSE)</f>
        <v>0</v>
      </c>
      <c r="M56" s="154">
        <f>VLOOKUP(B56,[4]Weeks!$A$3:$X$39,6,FALSE)-VLOOKUP(B56,[4]Weeks!$A$44:$X$81,6,FALSE)+ VLOOKUP(B56,[4]Weeks!$A$3:$X$39,4,FALSE)-VLOOKUP(B56,[4]Weeks!$A$44:$X$81,4,FALSE)</f>
        <v>0</v>
      </c>
      <c r="N56" s="46">
        <f t="shared" si="9"/>
        <v>0</v>
      </c>
      <c r="O56" s="45">
        <f t="shared" si="10"/>
        <v>0</v>
      </c>
      <c r="P56" s="41" t="str">
        <f>IF(ISNUMBER(VLOOKUP(B56,[4]CLOSURES!B:BI,4,FALSE)),TEXT(VLOOKUP(B56,[4]CLOSURES!B:BI,4,FALSE),"ddmmm"),IF(F56&lt;=0,0,IF(I56&lt;=0,0,IF(AND(F56&gt;0,O56&lt;=0),"&gt;52",IF(I56/O56&gt;52,"&gt;52", MAX(0,I56/O56-2))))))</f>
        <v>01Jan</v>
      </c>
      <c r="Q56" s="191"/>
      <c r="T56" s="4"/>
    </row>
    <row r="57" spans="1:20" ht="10.7" customHeight="1" x14ac:dyDescent="0.2">
      <c r="B57" s="222" t="s">
        <v>124</v>
      </c>
      <c r="C57" s="151">
        <f>'[5]Maj Pel Combined'!D32</f>
        <v>0</v>
      </c>
      <c r="D57" s="152">
        <f>F57-VLOOKUP(B57,[4]quotas!$B$85:$W$120,4,FALSE)</f>
        <v>0</v>
      </c>
      <c r="E57" s="152">
        <f t="shared" si="11"/>
        <v>0</v>
      </c>
      <c r="F57" s="153">
        <f>VLOOKUP(B57,[4]quotas!$B$46:$W$84,4,FALSE)</f>
        <v>0</v>
      </c>
      <c r="G57" s="154">
        <f>VLOOKUP(B57,[4]Cumulative!$A$56:$X$91,4,FALSE)+VLOOKUP(B57,[4]Cumulative!$A$56:$X$91,6,FALSE)</f>
        <v>0</v>
      </c>
      <c r="H57" s="183">
        <f t="shared" si="12"/>
        <v>0</v>
      </c>
      <c r="I57" s="153">
        <f t="shared" si="13"/>
        <v>0</v>
      </c>
      <c r="J57" s="154">
        <f>VLOOKUP(B57,[4]Weeks!$A$125:$X$161,6,FALSE)-VLOOKUP(B57,[4]Weeks!$A$165:$X$200,6,FALSE)+ VLOOKUP(B57,[4]Weeks!$A$125:$X$161,4,FALSE)-VLOOKUP(B57,[4]Weeks!$A$165:$X$200,4,FALSE)</f>
        <v>0</v>
      </c>
      <c r="K57" s="154">
        <f>VLOOKUP(B57,[4]Weeks!$A$85:$X$121,6,FALSE)-VLOOKUP(B57,[4]Weeks!$A$125:$X$161,6,FALSE)+ VLOOKUP(B57,[4]Weeks!$A$85:$X$121,4,FALSE)-VLOOKUP(B57,[4]Weeks!$A$125:$X$161,4,FALSE)</f>
        <v>0</v>
      </c>
      <c r="L57" s="154">
        <f>VLOOKUP(B57,[4]Weeks!$A$44:$X$81,6,FALSE)-VLOOKUP(B57,[4]Weeks!$A$85:$X$121,6,FALSE)+ VLOOKUP(B57,[4]Weeks!$A$44:$X$81,4,FALSE)-VLOOKUP(B57,[4]Weeks!$A$85:$X$121,4,FALSE)</f>
        <v>0</v>
      </c>
      <c r="M57" s="154">
        <f>VLOOKUP(B57,[4]Weeks!$A$3:$X$39,6,FALSE)-VLOOKUP(B57,[4]Weeks!$A$44:$X$81,6,FALSE)+ VLOOKUP(B57,[4]Weeks!$A$3:$X$39,4,FALSE)-VLOOKUP(B57,[4]Weeks!$A$44:$X$81,4,FALSE)</f>
        <v>0</v>
      </c>
      <c r="N57" s="46" t="str">
        <f t="shared" si="9"/>
        <v>-</v>
      </c>
      <c r="O57" s="45">
        <f t="shared" si="10"/>
        <v>0</v>
      </c>
      <c r="P57" s="41">
        <f>IF(ISNUMBER(VLOOKUP(B57,[4]CLOSURES!B:BI,4,FALSE)),TEXT(VLOOKUP(B57,[4]CLOSURES!B:BI,4,FALSE),"ddmmm"),IF(F57&lt;=0,0,IF(I57&lt;=0,0,IF(AND(F57&gt;0,O57&lt;=0),"&gt;52",IF(I57/O57&gt;52,"&gt;52", MAX(0,I57/O57-2))))))</f>
        <v>0</v>
      </c>
      <c r="Q57" s="191"/>
      <c r="T57" s="4"/>
    </row>
    <row r="58" spans="1:20" ht="10.7" customHeight="1" x14ac:dyDescent="0.2">
      <c r="B58" s="222"/>
      <c r="C58" s="151"/>
      <c r="D58" s="152"/>
      <c r="E58" s="152"/>
      <c r="F58" s="153"/>
      <c r="G58" s="154"/>
      <c r="H58" s="183"/>
      <c r="I58" s="153"/>
      <c r="J58" s="154"/>
      <c r="K58" s="154"/>
      <c r="L58" s="154"/>
      <c r="M58" s="154"/>
      <c r="N58" s="46"/>
      <c r="O58" s="45"/>
      <c r="P58" s="41"/>
      <c r="Q58" s="191"/>
      <c r="T58" s="4"/>
    </row>
    <row r="59" spans="1:20" ht="10.7" customHeight="1" x14ac:dyDescent="0.2">
      <c r="B59" s="162" t="s">
        <v>125</v>
      </c>
      <c r="C59" s="151">
        <f>SUM(C54:C57)</f>
        <v>452.197</v>
      </c>
      <c r="D59" s="152">
        <f>SUM(D54:D58)</f>
        <v>-90</v>
      </c>
      <c r="E59" s="152">
        <f t="shared" si="11"/>
        <v>-290</v>
      </c>
      <c r="F59" s="153">
        <f>SUM(F54:F57)</f>
        <v>162.197</v>
      </c>
      <c r="G59" s="153">
        <f>SUM(G54:G57)</f>
        <v>0.1</v>
      </c>
      <c r="H59" s="183">
        <f t="shared" si="12"/>
        <v>6.1653421456623732E-2</v>
      </c>
      <c r="I59" s="153">
        <f t="shared" si="13"/>
        <v>162.09700000000001</v>
      </c>
      <c r="J59" s="154">
        <f>SUM(J54:J57)</f>
        <v>0</v>
      </c>
      <c r="K59" s="154">
        <f>SUM(K54:K57)</f>
        <v>0</v>
      </c>
      <c r="L59" s="154">
        <f>SUM(L54:L57)</f>
        <v>0</v>
      </c>
      <c r="M59" s="154">
        <f>SUM(M54:M57)</f>
        <v>0</v>
      </c>
      <c r="N59" s="46">
        <f t="shared" si="9"/>
        <v>0</v>
      </c>
      <c r="O59" s="45">
        <f t="shared" si="10"/>
        <v>0</v>
      </c>
      <c r="P59" s="41" t="str">
        <f>IF(ISNUMBER(VLOOKUP(B59,[4]CLOSURES!B:BI,4,FALSE)),TEXT(VLOOKUP(B59,[4]CLOSURES!B:BI,4,FALSE),"ddmmm"),IF(F59&lt;=0,0,IF(I59&lt;=0,0,IF(AND(F59&gt;0,O59&lt;=0),"&gt;52",IF(I59/O59&gt;52,"&gt;52", MAX(0,I59/O59-2))))))</f>
        <v>&gt;52</v>
      </c>
      <c r="Q59" s="191"/>
      <c r="T59" s="4"/>
    </row>
    <row r="60" spans="1:20" s="191" customFormat="1" ht="10.7" customHeight="1" x14ac:dyDescent="0.2">
      <c r="A60" s="2"/>
      <c r="B60" s="162"/>
      <c r="C60" s="151"/>
      <c r="D60" s="152"/>
      <c r="E60" s="152"/>
      <c r="F60" s="153"/>
      <c r="G60" s="154"/>
      <c r="H60" s="183"/>
      <c r="I60" s="153"/>
      <c r="J60" s="154"/>
      <c r="K60" s="154"/>
      <c r="L60" s="154"/>
      <c r="M60" s="154"/>
      <c r="N60" s="46"/>
      <c r="O60" s="45"/>
      <c r="P60" s="41"/>
      <c r="R60" s="185"/>
      <c r="T60" s="4"/>
    </row>
    <row r="61" spans="1:20" ht="10.7" customHeight="1" x14ac:dyDescent="0.2">
      <c r="B61" s="223" t="s">
        <v>126</v>
      </c>
      <c r="C61" s="151">
        <f>'[5]Maj Pel Combined'!D36</f>
        <v>1069.7850000000001</v>
      </c>
      <c r="D61" s="152">
        <f>F61-VLOOKUP(B61,[4]quotas!$B$85:$W$120,4,FALSE)</f>
        <v>500</v>
      </c>
      <c r="E61" s="152">
        <f t="shared" si="11"/>
        <v>-1130.9000000000001</v>
      </c>
      <c r="F61" s="153">
        <f>VLOOKUP(B61,[4]quotas!$B$46:$W$84,4,FALSE)</f>
        <v>-61.115000000000009</v>
      </c>
      <c r="G61" s="154">
        <f>VLOOKUP(B61,[4]Cumulative!$A$56:$X$91,4,FALSE)+VLOOKUP(B61,[4]Cumulative!$A$56:$X$91,6,FALSE)</f>
        <v>51.196377097859838</v>
      </c>
      <c r="H61" s="183">
        <f t="shared" si="12"/>
        <v>-83.770558942747002</v>
      </c>
      <c r="I61" s="153">
        <f t="shared" si="13"/>
        <v>-112.31137709785985</v>
      </c>
      <c r="J61" s="154">
        <f>VLOOKUP(B61,[4]Weeks!$A$125:$X$161,6,FALSE)-VLOOKUP(B61,[4]Weeks!$A$165:$X$200,6,FALSE)+ VLOOKUP(B61,[4]Weeks!$A$125:$X$161,4,FALSE)-VLOOKUP(B61,[4]Weeks!$A$165:$X$200,4,FALSE)</f>
        <v>3.8009800024404967</v>
      </c>
      <c r="K61" s="154">
        <f>VLOOKUP(B61,[4]Weeks!$A$85:$X$121,6,FALSE)-VLOOKUP(B61,[4]Weeks!$A$125:$X$161,6,FALSE)+ VLOOKUP(B61,[4]Weeks!$A$85:$X$121,4,FALSE)-VLOOKUP(B61,[4]Weeks!$A$125:$X$161,4,FALSE)</f>
        <v>1.673029998049067</v>
      </c>
      <c r="L61" s="154">
        <f>VLOOKUP(B61,[4]Weeks!$A$44:$X$81,6,FALSE)-VLOOKUP(B61,[4]Weeks!$A$85:$X$121,6,FALSE)+ VLOOKUP(B61,[4]Weeks!$A$44:$X$81,4,FALSE)-VLOOKUP(B61,[4]Weeks!$A$85:$X$121,4,FALSE)</f>
        <v>2.1834050021022477</v>
      </c>
      <c r="M61" s="154">
        <f>VLOOKUP(B61,[4]Weeks!$A$3:$X$39,6,FALSE)-VLOOKUP(B61,[4]Weeks!$A$44:$X$81,6,FALSE)+ VLOOKUP(B61,[4]Weeks!$A$3:$X$39,4,FALSE)-VLOOKUP(B61,[4]Weeks!$A$44:$X$81,4,FALSE)</f>
        <v>3.0164699912964963</v>
      </c>
      <c r="N61" s="46">
        <f t="shared" si="9"/>
        <v>0.28196974077001419</v>
      </c>
      <c r="O61" s="45">
        <f t="shared" si="10"/>
        <v>2.668471248472077</v>
      </c>
      <c r="P61" s="41">
        <f>IF(ISNUMBER(VLOOKUP(B61,[4]CLOSURES!B:BI,4,FALSE)),TEXT(VLOOKUP(B61,[4]CLOSURES!B:BI,4,FALSE),"ddmmm"),IF(F61&lt;=0,0,IF(I61&lt;=0,0,IF(AND(F61&gt;0,O61&lt;=0),"&gt;52",IF(I61/O61&gt;52,"&gt;52", MAX(0,I61/O61-2))))))</f>
        <v>0</v>
      </c>
      <c r="Q61" s="191"/>
      <c r="T61" s="4"/>
    </row>
    <row r="62" spans="1:20" ht="10.7" customHeight="1" x14ac:dyDescent="0.2">
      <c r="B62" s="223" t="s">
        <v>127</v>
      </c>
      <c r="C62" s="151">
        <f>'[5]Maj Pel Combined'!D37</f>
        <v>48.677</v>
      </c>
      <c r="D62" s="152">
        <f>F62-VLOOKUP(B62,[4]quotas!$B$85:$W$120,4,FALSE)</f>
        <v>0</v>
      </c>
      <c r="E62" s="152">
        <f t="shared" si="11"/>
        <v>-45</v>
      </c>
      <c r="F62" s="153">
        <f>VLOOKUP(B62,[4]quotas!$B$46:$W$84,4,FALSE)</f>
        <v>3.6769999999999996</v>
      </c>
      <c r="G62" s="154">
        <f>VLOOKUP(B62,[4]Cumulative!$A$56:$X$91,4,FALSE)+VLOOKUP(B62,[4]Cumulative!$A$56:$X$91,6,FALSE)</f>
        <v>0.58765999993681939</v>
      </c>
      <c r="H62" s="183">
        <f t="shared" si="12"/>
        <v>15.982050582997537</v>
      </c>
      <c r="I62" s="153">
        <f t="shared" si="13"/>
        <v>3.0893400000631801</v>
      </c>
      <c r="J62" s="154">
        <f>VLOOKUP(B62,[4]Weeks!$A$125:$X$161,6,FALSE)-VLOOKUP(B62,[4]Weeks!$A$165:$X$200,6,FALSE)+ VLOOKUP(B62,[4]Weeks!$A$125:$X$161,4,FALSE)-VLOOKUP(B62,[4]Weeks!$A$165:$X$200,4,FALSE)</f>
        <v>8.9999997615830551E-4</v>
      </c>
      <c r="K62" s="154">
        <f>VLOOKUP(B62,[4]Weeks!$A$85:$X$121,6,FALSE)-VLOOKUP(B62,[4]Weeks!$A$125:$X$161,6,FALSE)+ VLOOKUP(B62,[4]Weeks!$A$85:$X$121,4,FALSE)-VLOOKUP(B62,[4]Weeks!$A$125:$X$161,4,FALSE)</f>
        <v>0</v>
      </c>
      <c r="L62" s="154">
        <f>VLOOKUP(B62,[4]Weeks!$A$44:$X$81,6,FALSE)-VLOOKUP(B62,[4]Weeks!$A$85:$X$121,6,FALSE)+ VLOOKUP(B62,[4]Weeks!$A$44:$X$81,4,FALSE)-VLOOKUP(B62,[4]Weeks!$A$85:$X$121,4,FALSE)</f>
        <v>2.100000000000013E-2</v>
      </c>
      <c r="M62" s="154">
        <f>VLOOKUP(B62,[4]Weeks!$A$3:$X$39,6,FALSE)-VLOOKUP(B62,[4]Weeks!$A$44:$X$81,6,FALSE)+ VLOOKUP(B62,[4]Weeks!$A$3:$X$39,4,FALSE)-VLOOKUP(B62,[4]Weeks!$A$44:$X$81,4,FALSE)</f>
        <v>0</v>
      </c>
      <c r="N62" s="46">
        <f t="shared" si="9"/>
        <v>0</v>
      </c>
      <c r="O62" s="45">
        <f t="shared" si="10"/>
        <v>5.4749999940396088E-3</v>
      </c>
      <c r="P62" s="41" t="str">
        <f>IF(ISNUMBER(VLOOKUP(B62,[4]CLOSURES!B:BI,4,FALSE)),TEXT(VLOOKUP(B62,[4]CLOSURES!B:BI,4,FALSE),"ddmmm"),IF(F62&lt;=0,0,IF(I62&lt;=0,0,IF(AND(F62&gt;0,O62&lt;=0),"&gt;52",IF(I62/O62&gt;52,"&gt;52", MAX(0,I62/O62-2))))))</f>
        <v>&gt;52</v>
      </c>
      <c r="Q62" s="191"/>
      <c r="T62" s="4"/>
    </row>
    <row r="63" spans="1:20" s="191" customFormat="1" ht="10.7" customHeight="1" x14ac:dyDescent="0.2">
      <c r="A63" s="2"/>
      <c r="B63" s="223" t="s">
        <v>128</v>
      </c>
      <c r="C63" s="151">
        <f>'[5]Maj Pel Combined'!D38</f>
        <v>324.39999999999998</v>
      </c>
      <c r="D63" s="152">
        <f>F63-VLOOKUP(B63,[4]quotas!$B$85:$W$120,4,FALSE)</f>
        <v>90</v>
      </c>
      <c r="E63" s="152">
        <f t="shared" si="11"/>
        <v>246</v>
      </c>
      <c r="F63" s="153">
        <f>VLOOKUP(B63,[4]quotas!$B$46:$W$84,4,FALSE)</f>
        <v>570.4</v>
      </c>
      <c r="G63" s="154">
        <f>VLOOKUP(B63,[4]Cumulative!$A$56:$X$91,4,FALSE)+VLOOKUP(B63,[4]Cumulative!$A$56:$X$91,6,FALSE)+'[4]Special Conditions stocks'!C147</f>
        <v>312.83</v>
      </c>
      <c r="H63" s="183">
        <f t="shared" si="12"/>
        <v>54.843969144460033</v>
      </c>
      <c r="I63" s="153">
        <f t="shared" si="13"/>
        <v>257.57</v>
      </c>
      <c r="J63" s="154">
        <f>VLOOKUP(B63,[4]Weeks!$A$125:$X$161,6,FALSE)-VLOOKUP(B63,[4]Weeks!$A$165:$X$200,6,FALSE)+ VLOOKUP(B63,[4]Weeks!$A$125:$X$161,4,FALSE)-VLOOKUP(B63,[4]Weeks!$A$165:$X$200,4,FALSE)</f>
        <v>0.46000000000000085</v>
      </c>
      <c r="K63" s="154">
        <f>VLOOKUP(B63,[4]Weeks!$A$85:$X$121,6,FALSE)-VLOOKUP(B63,[4]Weeks!$A$125:$X$161,6,FALSE)+ VLOOKUP(B63,[4]Weeks!$A$85:$X$121,4,FALSE)-VLOOKUP(B63,[4]Weeks!$A$125:$X$161,4,FALSE)</f>
        <v>1.4199999999999982</v>
      </c>
      <c r="L63" s="154">
        <f>VLOOKUP(B63,[4]Weeks!$A$44:$X$81,6,FALSE)-VLOOKUP(B63,[4]Weeks!$A$85:$X$121,6,FALSE)+ VLOOKUP(B63,[4]Weeks!$A$44:$X$81,4,FALSE)-VLOOKUP(B63,[4]Weeks!$A$85:$X$121,4,FALSE)</f>
        <v>0.11999999999999922</v>
      </c>
      <c r="M63" s="154">
        <f>VLOOKUP(B63,[4]Weeks!$A$3:$X$39,6,FALSE)-VLOOKUP(B63,[4]Weeks!$A$44:$X$81,6,FALSE)+ VLOOKUP(B63,[4]Weeks!$A$3:$X$39,4,FALSE)-VLOOKUP(B63,[4]Weeks!$A$44:$X$81,4,FALSE)</f>
        <v>0.32000000000000028</v>
      </c>
      <c r="N63" s="46">
        <f t="shared" si="9"/>
        <v>9.8643649815043255E-2</v>
      </c>
      <c r="O63" s="45">
        <f t="shared" si="10"/>
        <v>0.57999999999999963</v>
      </c>
      <c r="P63" s="41" t="str">
        <f>IF(ISNUMBER(VLOOKUP(B63,[4]CLOSURES!B:BI,4,FALSE)),TEXT(VLOOKUP(B63,[4]CLOSURES!B:BI,4,FALSE),"ddmmm"),IF(F63&lt;=0,0,IF(I63&lt;=0,0,IF(AND(F63&gt;0,O63&lt;=0),"&gt;52",IF(I63/O63&gt;52,"&gt;52", MAX(0,I63/O63-2))))))</f>
        <v>&gt;52</v>
      </c>
      <c r="R63" s="185"/>
      <c r="T63" s="4"/>
    </row>
    <row r="64" spans="1:20" s="191" customFormat="1" ht="10.7" customHeight="1" x14ac:dyDescent="0.2">
      <c r="A64" s="2"/>
      <c r="B64" s="223" t="s">
        <v>129</v>
      </c>
      <c r="C64" s="151">
        <f>'[5]Maj Pel Combined'!D39</f>
        <v>17.600000000000001</v>
      </c>
      <c r="D64" s="152">
        <f>F64-VLOOKUP(B64,[4]quotas!$B$85:$W$120,4,FALSE)</f>
        <v>0</v>
      </c>
      <c r="E64" s="152">
        <f t="shared" si="11"/>
        <v>0</v>
      </c>
      <c r="F64" s="153">
        <f>VLOOKUP(B64,[4]quotas!$B$46:$W$84,4,FALSE)</f>
        <v>17.600000000000001</v>
      </c>
      <c r="G64" s="154">
        <f>VLOOKUP(B64,[4]Cumulative!$A$56:$X$91,4,FALSE)+VLOOKUP(B64,[4]Cumulative!$A$56:$X$91,6,FALSE)</f>
        <v>0.126</v>
      </c>
      <c r="H64" s="183">
        <f t="shared" si="12"/>
        <v>0.71590909090909083</v>
      </c>
      <c r="I64" s="153">
        <f t="shared" si="13"/>
        <v>17.474</v>
      </c>
      <c r="J64" s="154">
        <f>VLOOKUP(B64,[4]Weeks!$A$125:$X$161,6,FALSE)-VLOOKUP(B64,[4]Weeks!$A$165:$X$200,6,FALSE)+ VLOOKUP(B64,[4]Weeks!$A$125:$X$161,4,FALSE)-VLOOKUP(B64,[4]Weeks!$A$165:$X$200,4,FALSE)</f>
        <v>0</v>
      </c>
      <c r="K64" s="154">
        <f>VLOOKUP(B64,[4]Weeks!$A$85:$X$121,6,FALSE)-VLOOKUP(B64,[4]Weeks!$A$125:$X$161,6,FALSE)+ VLOOKUP(B64,[4]Weeks!$A$85:$X$121,4,FALSE)-VLOOKUP(B64,[4]Weeks!$A$125:$X$161,4,FALSE)</f>
        <v>0</v>
      </c>
      <c r="L64" s="154">
        <f>VLOOKUP(B64,[4]Weeks!$A$44:$X$81,6,FALSE)-VLOOKUP(B64,[4]Weeks!$A$85:$X$121,6,FALSE)+ VLOOKUP(B64,[4]Weeks!$A$44:$X$81,4,FALSE)-VLOOKUP(B64,[4]Weeks!$A$85:$X$121,4,FALSE)</f>
        <v>0</v>
      </c>
      <c r="M64" s="154">
        <f>VLOOKUP(B64,[4]Weeks!$A$3:$X$39,6,FALSE)-VLOOKUP(B64,[4]Weeks!$A$44:$X$81,6,FALSE)+ VLOOKUP(B64,[4]Weeks!$A$3:$X$39,4,FALSE)-VLOOKUP(B64,[4]Weeks!$A$44:$X$81,4,FALSE)</f>
        <v>0</v>
      </c>
      <c r="N64" s="48">
        <f>SUM(N54:N63)</f>
        <v>0.38061339058505744</v>
      </c>
      <c r="O64" s="45">
        <f t="shared" si="10"/>
        <v>0</v>
      </c>
      <c r="P64" s="41" t="str">
        <f>IF(ISNUMBER(VLOOKUP(B64,[4]CLOSURES!B:BI,4,FALSE)),TEXT(VLOOKUP(B64,[4]CLOSURES!B:BI,4,FALSE),"ddmmm"),IF(F64&lt;=0,0,IF(I64&lt;=0,0,IF(AND(F64&gt;0,O64&lt;=0),"&gt;52",IF(I64/O64&gt;52,"&gt;52", MAX(0,I64/O64-2))))))</f>
        <v>&gt;52</v>
      </c>
      <c r="R64" s="185"/>
      <c r="T64" s="4"/>
    </row>
    <row r="65" spans="1:20" s="191" customFormat="1" ht="10.7" customHeight="1" x14ac:dyDescent="0.2">
      <c r="A65" s="2"/>
      <c r="B65" s="223"/>
      <c r="C65" s="151"/>
      <c r="D65" s="154"/>
      <c r="E65" s="152"/>
      <c r="F65" s="153"/>
      <c r="G65" s="154"/>
      <c r="H65" s="183"/>
      <c r="I65" s="153"/>
      <c r="J65" s="154"/>
      <c r="K65" s="154"/>
      <c r="L65" s="154"/>
      <c r="M65" s="154"/>
      <c r="N65" s="46"/>
      <c r="O65" s="45"/>
      <c r="P65" s="41"/>
      <c r="R65" s="185"/>
      <c r="T65" s="4"/>
    </row>
    <row r="66" spans="1:20" ht="10.7" customHeight="1" x14ac:dyDescent="0.2">
      <c r="B66" s="196" t="s">
        <v>130</v>
      </c>
      <c r="C66" s="151">
        <f>SUM(C61:C64)</f>
        <v>1460.462</v>
      </c>
      <c r="D66" s="152">
        <f>SUM(D61:D65)</f>
        <v>590</v>
      </c>
      <c r="E66" s="152">
        <f t="shared" si="11"/>
        <v>-929.9</v>
      </c>
      <c r="F66" s="153">
        <f>SUM(F61:F64)</f>
        <v>530.56200000000001</v>
      </c>
      <c r="G66" s="153">
        <f>SUM(G61:G64)</f>
        <v>364.74003709779663</v>
      </c>
      <c r="H66" s="183">
        <f t="shared" si="12"/>
        <v>68.745978245293969</v>
      </c>
      <c r="I66" s="153">
        <f t="shared" si="13"/>
        <v>165.82196290220338</v>
      </c>
      <c r="J66" s="154">
        <f>SUM(J61:J64)</f>
        <v>4.2618800024166559</v>
      </c>
      <c r="K66" s="154">
        <f>SUM(K61:K64)</f>
        <v>3.0930299980490652</v>
      </c>
      <c r="L66" s="154">
        <f>SUM(L61:L64)</f>
        <v>2.3244050021022469</v>
      </c>
      <c r="M66" s="154">
        <f>SUM(M61:M64)</f>
        <v>3.3364699912964966</v>
      </c>
      <c r="N66" s="46">
        <f>IF(C66="*","*",IF(C66&gt;0,M66/C66*100,"-"))</f>
        <v>0.22845305056184251</v>
      </c>
      <c r="O66" s="45">
        <f>IF(C66="*","*",SUM(J66:M66)/4)</f>
        <v>3.2539462484661161</v>
      </c>
      <c r="P66" s="41">
        <f>IF(ISNUMBER(VLOOKUP(B66,[4]CLOSURES!B:BI,4,FALSE)),TEXT(VLOOKUP(B66,[4]CLOSURES!B:BI,4,FALSE),"ddmmm"),IF(F66&lt;=0,0,IF(I66&lt;=0,0,IF(AND(F66&gt;0,O66&lt;=0),"&gt;52",IF(I66/O66&gt;52,"&gt;52", MAX(0,I66/O66-2))))))</f>
        <v>48.960264933807835</v>
      </c>
      <c r="Q66" s="191"/>
      <c r="T66" s="4"/>
    </row>
    <row r="67" spans="1:20" ht="10.7" customHeight="1" x14ac:dyDescent="0.2">
      <c r="B67" s="186"/>
      <c r="C67" s="151"/>
      <c r="D67" s="152"/>
      <c r="E67" s="152"/>
      <c r="F67" s="153"/>
      <c r="G67" s="154"/>
      <c r="H67" s="183"/>
      <c r="I67" s="153"/>
      <c r="J67" s="154"/>
      <c r="K67" s="154"/>
      <c r="L67" s="154"/>
      <c r="M67" s="154"/>
      <c r="N67" s="46"/>
      <c r="O67" s="45"/>
      <c r="P67" s="41"/>
      <c r="Q67" s="191"/>
      <c r="T67" s="4"/>
    </row>
    <row r="68" spans="1:20" ht="10.7" customHeight="1" x14ac:dyDescent="0.2">
      <c r="B68" s="187" t="s">
        <v>91</v>
      </c>
      <c r="C68" s="157">
        <f>SUM(C66+C59)</f>
        <v>1912.6590000000001</v>
      </c>
      <c r="D68" s="160">
        <f>D59+D66</f>
        <v>500</v>
      </c>
      <c r="E68" s="160">
        <f t="shared" si="11"/>
        <v>-1219.9000000000001</v>
      </c>
      <c r="F68" s="156">
        <f>F66+F59</f>
        <v>692.75900000000001</v>
      </c>
      <c r="G68" s="156">
        <f>G66+G59</f>
        <v>364.84003709779665</v>
      </c>
      <c r="H68" s="188">
        <f>IF(AND(F68=0,G68&gt;0),"n/a",IF(F68=0,0,100*G68/F68))</f>
        <v>52.66478488158171</v>
      </c>
      <c r="I68" s="156">
        <f>IF(F68="*","*",F68-G68)</f>
        <v>327.91896290220336</v>
      </c>
      <c r="J68" s="155">
        <f>J59+J66</f>
        <v>4.2618800024166559</v>
      </c>
      <c r="K68" s="155">
        <f>K59+K66</f>
        <v>3.0930299980490652</v>
      </c>
      <c r="L68" s="155">
        <f>L59+L66</f>
        <v>2.3244050021022469</v>
      </c>
      <c r="M68" s="155">
        <f>M59+M66</f>
        <v>3.3364699912964966</v>
      </c>
      <c r="N68" s="58">
        <f>IF(C68="*","*",IF(C68&gt;0,M68/C68*100,"-"))</f>
        <v>0.17444144467448178</v>
      </c>
      <c r="O68" s="52">
        <f>IF(C68="*","*",SUM(J68:M68)/4)</f>
        <v>3.2539462484661161</v>
      </c>
      <c r="P68" s="54" t="str">
        <f>IF(ISNUMBER(VLOOKUP(B68,[4]CLOSURES!B:BI,4,FALSE)),TEXT(VLOOKUP(B68,[4]CLOSURES!B:BI,4,FALSE),"ddmmm"),IF(F68&lt;=0,0,IF(I68&lt;=0,0,IF(AND(F68&gt;0,O68&lt;=0),"&gt;52",IF(I68/O68&gt;52,"&gt;52", MAX(0,I68/O68-2))))))</f>
        <v>&gt;52</v>
      </c>
      <c r="Q68" s="191"/>
      <c r="T68" s="4"/>
    </row>
    <row r="69" spans="1:20" ht="10.7" customHeight="1" x14ac:dyDescent="0.2">
      <c r="B69" s="198" t="str">
        <f>"Number of Weeks to end of year is "&amp;TEXT(("31-Dec-2021"-'[4]Landings '!$B$2)/7,"0")</f>
        <v>Number of Weeks to end of year is 10</v>
      </c>
      <c r="C69" s="45"/>
      <c r="D69" s="43"/>
      <c r="E69" s="43"/>
      <c r="F69" s="44"/>
      <c r="G69" s="44"/>
      <c r="H69" s="213"/>
      <c r="I69" s="44"/>
      <c r="J69" s="45"/>
      <c r="K69" s="45"/>
      <c r="L69" s="45"/>
      <c r="M69" s="45"/>
      <c r="N69" s="46"/>
      <c r="O69" s="45"/>
      <c r="P69" s="48"/>
      <c r="Q69" s="191"/>
      <c r="T69" s="4"/>
    </row>
    <row r="70" spans="1:20" ht="10.7" customHeight="1" x14ac:dyDescent="0.2">
      <c r="B70" s="202" t="s">
        <v>92</v>
      </c>
      <c r="C70" s="45"/>
      <c r="D70" s="43"/>
      <c r="E70" s="43"/>
      <c r="F70" s="44"/>
      <c r="G70" s="44"/>
      <c r="H70" s="213"/>
      <c r="I70" s="44"/>
      <c r="J70" s="45"/>
      <c r="K70" s="45"/>
      <c r="L70" s="45"/>
      <c r="M70" s="45"/>
      <c r="N70" s="46"/>
      <c r="O70" s="45"/>
      <c r="P70" s="48"/>
      <c r="Q70" s="191"/>
      <c r="T70" s="4"/>
    </row>
    <row r="71" spans="1:20" ht="10.7" customHeight="1" x14ac:dyDescent="0.2">
      <c r="B71" s="191"/>
      <c r="C71" s="45"/>
      <c r="D71" s="43"/>
      <c r="E71" s="43"/>
      <c r="F71" s="44"/>
      <c r="G71" s="44"/>
      <c r="H71" s="213"/>
      <c r="I71" s="44"/>
      <c r="J71" s="45"/>
      <c r="K71" s="45"/>
      <c r="L71" s="45"/>
      <c r="M71" s="45"/>
      <c r="N71" s="46"/>
      <c r="O71" s="45"/>
      <c r="P71" s="48"/>
      <c r="Q71" s="191"/>
      <c r="T71" s="4"/>
    </row>
    <row r="72" spans="1:20" s="191" customFormat="1" ht="10.7" customHeight="1" x14ac:dyDescent="0.2">
      <c r="A72" s="2"/>
      <c r="F72" s="193"/>
      <c r="I72" s="193"/>
      <c r="N72" s="194"/>
      <c r="P72" s="194"/>
      <c r="R72" s="185"/>
    </row>
    <row r="73" spans="1:20" s="191" customFormat="1" ht="10.7" customHeight="1" x14ac:dyDescent="0.2">
      <c r="A73" s="2"/>
      <c r="F73" s="192"/>
      <c r="I73" s="193"/>
      <c r="N73" s="194"/>
      <c r="P73" s="194"/>
      <c r="R73" s="185"/>
    </row>
    <row r="74" spans="1:20" s="191" customFormat="1" ht="10.7" customHeight="1" x14ac:dyDescent="0.2">
      <c r="A74" s="2"/>
      <c r="B74" s="14"/>
      <c r="C74" s="15" t="str">
        <f>C5</f>
        <v>Initial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5"/>
    </row>
    <row r="75" spans="1:20" s="191" customFormat="1" ht="10.7" customHeight="1" x14ac:dyDescent="0.2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5"/>
    </row>
    <row r="76" spans="1:20" s="191" customFormat="1" ht="10.7" customHeight="1" x14ac:dyDescent="0.2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f>$J7</f>
        <v>44468</v>
      </c>
      <c r="K76" s="33">
        <f>$K7</f>
        <v>44475</v>
      </c>
      <c r="L76" s="33">
        <f>$L7</f>
        <v>44482</v>
      </c>
      <c r="M76" s="15" t="s">
        <v>48</v>
      </c>
      <c r="N76" s="34" t="s">
        <v>56</v>
      </c>
      <c r="O76" s="34" t="s">
        <v>48</v>
      </c>
      <c r="P76" s="24" t="s">
        <v>58</v>
      </c>
      <c r="R76" s="185"/>
    </row>
    <row r="77" spans="1:20" s="191" customFormat="1" ht="10.7" customHeight="1" x14ac:dyDescent="0.2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5"/>
    </row>
    <row r="78" spans="1:20" s="191" customFormat="1" ht="10.7" customHeight="1" x14ac:dyDescent="0.2">
      <c r="A78" s="2"/>
      <c r="B78" s="40"/>
      <c r="C78" s="231" t="s">
        <v>146</v>
      </c>
      <c r="D78" s="236"/>
      <c r="E78" s="236"/>
      <c r="F78" s="236"/>
      <c r="G78" s="236"/>
      <c r="H78" s="236"/>
      <c r="I78" s="236"/>
      <c r="J78" s="236"/>
      <c r="K78" s="236"/>
      <c r="L78" s="236"/>
      <c r="M78" s="236"/>
      <c r="N78" s="236"/>
      <c r="O78" s="236"/>
      <c r="P78" s="41" t="s">
        <v>4</v>
      </c>
      <c r="R78" s="185"/>
    </row>
    <row r="79" spans="1:20" s="191" customFormat="1" ht="10.7" customHeight="1" x14ac:dyDescent="0.2">
      <c r="A79" s="2"/>
      <c r="B79" s="222" t="s">
        <v>121</v>
      </c>
      <c r="C79" s="151">
        <f>'[5]Maj Pel Combined'!E29</f>
        <v>352.197</v>
      </c>
      <c r="D79" s="152">
        <f>F79-VLOOKUP(B79,[4]quotas!$B$85:$W$120,5,FALSE)</f>
        <v>0</v>
      </c>
      <c r="E79" s="152">
        <f>F79-C79</f>
        <v>0</v>
      </c>
      <c r="F79" s="153">
        <f>VLOOKUP(B79,[4]quotas!$B$46:$W$84,5,FALSE)</f>
        <v>352.197</v>
      </c>
      <c r="G79" s="154">
        <f>VLOOKUP(B79,[4]Cumulative!$A$56:$X$91,6,FALSE)</f>
        <v>0</v>
      </c>
      <c r="H79" s="183">
        <f>IF(AND(F79=0,G79&gt;0),"n/a",IF(F79=0,0,100*G79/F79))</f>
        <v>0</v>
      </c>
      <c r="I79" s="153">
        <f>IF(F79="*","*",F79-G79)</f>
        <v>352.197</v>
      </c>
      <c r="J79" s="154">
        <f>VLOOKUP(B79,[4]Weeks!$A$125:$X$161,6,FALSE)-VLOOKUP(B79,[4]Weeks!$A$165:$X$200,6,FALSE)</f>
        <v>0</v>
      </c>
      <c r="K79" s="154">
        <f>VLOOKUP(B79,[4]Weeks!$A$85:$X$121,6,FALSE)-VLOOKUP(B79,[4]Weeks!$A$125:$X$161,6,FALSE)</f>
        <v>0</v>
      </c>
      <c r="L79" s="154">
        <f>VLOOKUP(B79,[4]Weeks!$A$44:$X$81,6,FALSE)-VLOOKUP(B79,[4]Weeks!$A$85:$X$121,6,FALSE)</f>
        <v>0</v>
      </c>
      <c r="M79" s="154">
        <f>VLOOKUP(B79,[4]Weeks!$A$3:$X$39,6,FALSE)-VLOOKUP(B79,[4]Weeks!$A$44:$X$81,6,FALSE)</f>
        <v>0</v>
      </c>
      <c r="N79" s="46">
        <f>IF(C79="*","*",IF(C79&gt;0,M79/C79*100,"-"))</f>
        <v>0</v>
      </c>
      <c r="O79" s="45">
        <f t="shared" ref="O79:O89" si="14">IF(C79="*","*",SUM(J79:M79)/4)</f>
        <v>0</v>
      </c>
      <c r="P79" s="41" t="str">
        <f>IF(ISNUMBER(VLOOKUP(B79,[4]CLOSURES!B:BI,5,FALSE)),TEXT(VLOOKUP(B79,[4]CLOSURES!B:BI,5,FALSE),"ddmmm"),IF(F79&lt;=0,0,IF(I79&lt;=0,0,IF(AND(F79&gt;0,O79&lt;=0),"&gt;52",IF(I79/O79&gt;52,"&gt;52", MAX(0,I79/O79-2))))))</f>
        <v>01Jan</v>
      </c>
      <c r="R79" s="185"/>
    </row>
    <row r="80" spans="1:20" s="191" customFormat="1" ht="10.7" customHeight="1" x14ac:dyDescent="0.2">
      <c r="A80" s="2"/>
      <c r="B80" s="222" t="s">
        <v>122</v>
      </c>
      <c r="C80" s="151">
        <f>'[5]Maj Pel Combined'!E30</f>
        <v>0</v>
      </c>
      <c r="D80" s="152">
        <f>F80-VLOOKUP(B80,[4]quotas!$B$85:$W$120,5,FALSE)</f>
        <v>0</v>
      </c>
      <c r="E80" s="152">
        <f t="shared" ref="E80:E93" si="15">F80-C80</f>
        <v>0</v>
      </c>
      <c r="F80" s="153">
        <f>VLOOKUP(B80,[4]quotas!$B$46:$W$84,5,FALSE)</f>
        <v>0</v>
      </c>
      <c r="G80" s="154">
        <f>VLOOKUP(B80,[4]Cumulative!$A$56:$X$91,6,FALSE)</f>
        <v>0</v>
      </c>
      <c r="H80" s="183">
        <f t="shared" ref="H80:H91" si="16">IF(AND(F80=0,G80&gt;0),"n/a",IF(F80=0,0,100*G80/F80))</f>
        <v>0</v>
      </c>
      <c r="I80" s="153">
        <f t="shared" ref="I80:I91" si="17">IF(F80="*","*",F80-G80)</f>
        <v>0</v>
      </c>
      <c r="J80" s="154">
        <f>VLOOKUP(B80,[4]Weeks!$A$125:$X$161,6,FALSE)-VLOOKUP(B80,[4]Weeks!$A$165:$X$200,6,FALSE)</f>
        <v>0</v>
      </c>
      <c r="K80" s="154">
        <f>VLOOKUP(B80,[4]Weeks!$A$85:$X$121,6,FALSE)-VLOOKUP(B80,[4]Weeks!$A$125:$X$161,6,FALSE)</f>
        <v>0</v>
      </c>
      <c r="L80" s="154">
        <f>VLOOKUP(B80,[4]Weeks!$A$44:$X$81,6,FALSE)-VLOOKUP(B80,[4]Weeks!$A$85:$X$121,6,FALSE)</f>
        <v>0</v>
      </c>
      <c r="M80" s="154">
        <f>VLOOKUP(B80,[4]Weeks!$A$3:$X$39,6,FALSE)-VLOOKUP(B80,[4]Weeks!$A$44:$X$81,6,FALSE)</f>
        <v>0</v>
      </c>
      <c r="N80" s="46">
        <v>0</v>
      </c>
      <c r="O80" s="45">
        <f t="shared" si="14"/>
        <v>0</v>
      </c>
      <c r="P80" s="41" t="str">
        <f>IF(ISNUMBER(VLOOKUP(B80,[4]CLOSURES!B:BI,5,FALSE)),TEXT(VLOOKUP(B80,[4]CLOSURES!B:BI,5,FALSE),"ddmmm"),IF(F80&lt;=0,0,IF(I80&lt;=0,0,IF(AND(F80&gt;0,O80&lt;=0),"&gt;52",IF(I80/O80&gt;52,"&gt;52", MAX(0,I80/O80-2))))))</f>
        <v>01Jan</v>
      </c>
      <c r="R80" s="185"/>
    </row>
    <row r="81" spans="1:254" s="191" customFormat="1" ht="10.7" customHeight="1" x14ac:dyDescent="0.2">
      <c r="A81" s="2"/>
      <c r="B81" s="222" t="s">
        <v>123</v>
      </c>
      <c r="C81" s="151">
        <f>'[5]Maj Pel Combined'!E31</f>
        <v>100</v>
      </c>
      <c r="D81" s="152">
        <f>F81-VLOOKUP(B81,[4]quotas!$B$85:$W$120,5,FALSE)</f>
        <v>-90</v>
      </c>
      <c r="E81" s="152">
        <f t="shared" si="15"/>
        <v>-90</v>
      </c>
      <c r="F81" s="153">
        <f>VLOOKUP(B81,[4]quotas!$B$46:$W$84,5,FALSE)</f>
        <v>10</v>
      </c>
      <c r="G81" s="154">
        <f>VLOOKUP(B81,[4]Cumulative!$A$56:$X$91,6,FALSE)</f>
        <v>0.1</v>
      </c>
      <c r="H81" s="183">
        <f t="shared" si="16"/>
        <v>1</v>
      </c>
      <c r="I81" s="153">
        <f t="shared" si="17"/>
        <v>9.9</v>
      </c>
      <c r="J81" s="154">
        <f>VLOOKUP(B81,[4]Weeks!$A$125:$X$161,6,FALSE)-VLOOKUP(B81,[4]Weeks!$A$165:$X$200,6,FALSE)</f>
        <v>0</v>
      </c>
      <c r="K81" s="154">
        <f>VLOOKUP(B81,[4]Weeks!$A$85:$X$121,6,FALSE)-VLOOKUP(B81,[4]Weeks!$A$125:$X$161,6,FALSE)</f>
        <v>0</v>
      </c>
      <c r="L81" s="154">
        <f>VLOOKUP(B81,[4]Weeks!$A$44:$X$81,6,FALSE)-VLOOKUP(B81,[4]Weeks!$A$85:$X$121,6,FALSE)</f>
        <v>0</v>
      </c>
      <c r="M81" s="154">
        <f>VLOOKUP(B81,[4]Weeks!$A$3:$X$39,6,FALSE)-VLOOKUP(B81,[4]Weeks!$A$44:$X$81,6,FALSE)</f>
        <v>0</v>
      </c>
      <c r="N81" s="46">
        <f t="shared" ref="N81:N88" si="18">IF(C81="*","*",IF(C81&gt;0,M81/C81*100,"-"))</f>
        <v>0</v>
      </c>
      <c r="O81" s="45">
        <f t="shared" si="14"/>
        <v>0</v>
      </c>
      <c r="P81" s="41" t="str">
        <f>IF(ISNUMBER(VLOOKUP(B81,[4]CLOSURES!B:BI,5,FALSE)),TEXT(VLOOKUP(B81,[4]CLOSURES!B:BI,5,FALSE),"ddmmm"),IF(F81&lt;=0,0,IF(I81&lt;=0,0,IF(AND(F81&gt;0,O81&lt;=0),"&gt;52",IF(I81/O81&gt;52,"&gt;52", MAX(0,I81/O81-2))))))</f>
        <v>01Jan</v>
      </c>
      <c r="R81" s="185"/>
    </row>
    <row r="82" spans="1:254" s="191" customFormat="1" ht="10.7" customHeight="1" x14ac:dyDescent="0.2">
      <c r="A82" s="2"/>
      <c r="B82" s="222" t="s">
        <v>124</v>
      </c>
      <c r="C82" s="151">
        <f>'[5]Maj Pel Combined'!E32</f>
        <v>0</v>
      </c>
      <c r="D82" s="152">
        <f>F82-VLOOKUP(B82,[4]quotas!$B$85:$W$120,5,FALSE)</f>
        <v>0</v>
      </c>
      <c r="E82" s="152">
        <f t="shared" si="15"/>
        <v>0</v>
      </c>
      <c r="F82" s="153">
        <f>VLOOKUP(B82,[4]quotas!$B$46:$W$84,5,FALSE)</f>
        <v>0</v>
      </c>
      <c r="G82" s="154">
        <f>VLOOKUP(B82,[4]Cumulative!$A$56:$X$91,6,FALSE)</f>
        <v>0</v>
      </c>
      <c r="H82" s="183">
        <f t="shared" si="16"/>
        <v>0</v>
      </c>
      <c r="I82" s="153">
        <f t="shared" si="17"/>
        <v>0</v>
      </c>
      <c r="J82" s="154">
        <f>VLOOKUP(B82,[4]Weeks!$A$125:$X$161,6,FALSE)-VLOOKUP(B82,[4]Weeks!$A$165:$X$200,6,FALSE)</f>
        <v>0</v>
      </c>
      <c r="K82" s="154">
        <f>VLOOKUP(B82,[4]Weeks!$A$85:$X$121,6,FALSE)-VLOOKUP(B82,[4]Weeks!$A$125:$X$161,6,FALSE)</f>
        <v>0</v>
      </c>
      <c r="L82" s="154">
        <f>VLOOKUP(B82,[4]Weeks!$A$44:$X$81,6,FALSE)-VLOOKUP(B82,[4]Weeks!$A$85:$X$121,6,FALSE)</f>
        <v>0</v>
      </c>
      <c r="M82" s="154">
        <f>VLOOKUP(B82,[4]Weeks!$A$3:$X$39,6,FALSE)-VLOOKUP(B82,[4]Weeks!$A$44:$X$81,6,FALSE)</f>
        <v>0</v>
      </c>
      <c r="N82" s="46" t="str">
        <f t="shared" si="18"/>
        <v>-</v>
      </c>
      <c r="O82" s="45">
        <f t="shared" si="14"/>
        <v>0</v>
      </c>
      <c r="P82" s="41" t="str">
        <f>IF(ISNUMBER(VLOOKUP(B82,[4]CLOSURES!B:BI,5,FALSE)),TEXT(VLOOKUP(B82,[4]CLOSURES!B:BI,5,FALSE),"ddmmm"),IF(F82&lt;=0,0,IF(I82&lt;=0,0,IF(AND(F82&gt;0,O82&lt;=0),"&gt;52",IF(I82/O82&gt;52,"&gt;52", MAX(0,I82/O82-2))))))</f>
        <v>01Jan</v>
      </c>
      <c r="R82" s="185"/>
    </row>
    <row r="83" spans="1:254" s="191" customFormat="1" ht="10.7" customHeight="1" x14ac:dyDescent="0.2">
      <c r="A83" s="2"/>
      <c r="B83" s="222"/>
      <c r="C83" s="151"/>
      <c r="D83" s="152"/>
      <c r="E83" s="152"/>
      <c r="F83" s="153"/>
      <c r="G83" s="154"/>
      <c r="H83" s="183"/>
      <c r="I83" s="153"/>
      <c r="J83" s="154"/>
      <c r="K83" s="154"/>
      <c r="L83" s="154"/>
      <c r="M83" s="154"/>
      <c r="N83" s="46"/>
      <c r="O83" s="45"/>
      <c r="P83" s="41"/>
      <c r="R83" s="185"/>
    </row>
    <row r="84" spans="1:254" s="191" customFormat="1" ht="10.7" customHeight="1" x14ac:dyDescent="0.2">
      <c r="A84" s="2"/>
      <c r="B84" s="162" t="s">
        <v>125</v>
      </c>
      <c r="C84" s="151">
        <f>SUM(C79:C82)</f>
        <v>452.197</v>
      </c>
      <c r="D84" s="152">
        <f>SUM(D79:D83)</f>
        <v>-90</v>
      </c>
      <c r="E84" s="152">
        <f t="shared" si="15"/>
        <v>-90</v>
      </c>
      <c r="F84" s="153">
        <f>SUM(F79:F82)</f>
        <v>362.197</v>
      </c>
      <c r="G84" s="153">
        <f>SUM(G79:G82)</f>
        <v>0.1</v>
      </c>
      <c r="H84" s="183">
        <f t="shared" si="16"/>
        <v>2.7609284450174906E-2</v>
      </c>
      <c r="I84" s="153">
        <f t="shared" si="17"/>
        <v>362.09699999999998</v>
      </c>
      <c r="J84" s="154">
        <f>SUM(J79:J82)</f>
        <v>0</v>
      </c>
      <c r="K84" s="154">
        <f>SUM(K79:K82)</f>
        <v>0</v>
      </c>
      <c r="L84" s="154">
        <f>SUM(L79:L82)</f>
        <v>0</v>
      </c>
      <c r="M84" s="154">
        <f>SUM(M79:M82)</f>
        <v>0</v>
      </c>
      <c r="N84" s="46">
        <f t="shared" si="18"/>
        <v>0</v>
      </c>
      <c r="O84" s="45">
        <f t="shared" si="14"/>
        <v>0</v>
      </c>
      <c r="P84" s="41" t="str">
        <f>IF(ISNUMBER(VLOOKUP(B84,[4]CLOSURES!B:BI,5,FALSE)),TEXT(VLOOKUP(B84,[4]CLOSURES!B:BI,5,FALSE),"ddmmm"),IF(F84&lt;=0,0,IF(I84&lt;=0,0,IF(AND(F84&gt;0,O84&lt;=0),"&gt;52",IF(I84/O84&gt;52,"&gt;52", MAX(0,I84/O84-2))))))</f>
        <v>&gt;52</v>
      </c>
      <c r="R84" s="185"/>
    </row>
    <row r="85" spans="1:254" s="191" customFormat="1" ht="11.25" customHeight="1" x14ac:dyDescent="0.2">
      <c r="A85" s="2"/>
      <c r="B85" s="162"/>
      <c r="C85" s="151"/>
      <c r="D85" s="152"/>
      <c r="E85" s="152"/>
      <c r="F85" s="153"/>
      <c r="G85" s="154"/>
      <c r="H85" s="183"/>
      <c r="I85" s="153"/>
      <c r="J85" s="154"/>
      <c r="K85" s="154"/>
      <c r="L85" s="154"/>
      <c r="M85" s="154"/>
      <c r="N85" s="46"/>
      <c r="O85" s="45"/>
      <c r="P85" s="41"/>
      <c r="R85" s="185"/>
    </row>
    <row r="86" spans="1:254" s="191" customFormat="1" ht="10.7" customHeight="1" x14ac:dyDescent="0.2">
      <c r="A86" s="2"/>
      <c r="B86" s="223" t="s">
        <v>126</v>
      </c>
      <c r="C86" s="151">
        <f>'[5]Maj Pel Combined'!E36</f>
        <v>1069.7850000000001</v>
      </c>
      <c r="D86" s="152">
        <f>F86-VLOOKUP(B86,[4]quotas!$B$85:$W$120,5,FALSE)</f>
        <v>0</v>
      </c>
      <c r="E86" s="152">
        <f t="shared" si="15"/>
        <v>0</v>
      </c>
      <c r="F86" s="153">
        <f>VLOOKUP(B86,[4]quotas!$B$46:$W$84,5,FALSE)</f>
        <v>1069.7850000000001</v>
      </c>
      <c r="G86" s="154">
        <f>VLOOKUP(B86,[4]Cumulative!$A$56:$X$91,6,FALSE)</f>
        <v>0</v>
      </c>
      <c r="H86" s="183">
        <f t="shared" si="16"/>
        <v>0</v>
      </c>
      <c r="I86" s="153">
        <f t="shared" si="17"/>
        <v>1069.7850000000001</v>
      </c>
      <c r="J86" s="154">
        <f>VLOOKUP(B86,[4]Weeks!$A$125:$X$161,6,FALSE)-VLOOKUP(B86,[4]Weeks!$A$165:$X$200,6,FALSE)</f>
        <v>0</v>
      </c>
      <c r="K86" s="154">
        <f>VLOOKUP(B86,[4]Weeks!$A$85:$X$121,6,FALSE)-VLOOKUP(B86,[4]Weeks!$A$125:$X$161,6,FALSE)</f>
        <v>0</v>
      </c>
      <c r="L86" s="154">
        <f>VLOOKUP(B86,[4]Weeks!$A$44:$X$81,6,FALSE)-VLOOKUP(B86,[4]Weeks!$A$85:$X$121,6,FALSE)</f>
        <v>0</v>
      </c>
      <c r="M86" s="154">
        <f>VLOOKUP(B86,[4]Weeks!$A$3:$X$39,6,FALSE)-VLOOKUP(B86,[4]Weeks!$A$44:$X$81,6,FALSE)</f>
        <v>0</v>
      </c>
      <c r="N86" s="46">
        <f t="shared" si="18"/>
        <v>0</v>
      </c>
      <c r="O86" s="45">
        <f t="shared" si="14"/>
        <v>0</v>
      </c>
      <c r="P86" s="41" t="str">
        <f>IF(ISNUMBER(VLOOKUP(B86,[4]CLOSURES!B:BI,5,FALSE)),TEXT(VLOOKUP(B86,[4]CLOSURES!B:BI,5,FALSE),"ddmmm"),IF(F86&lt;=0,0,IF(I86&lt;=0,0,IF(AND(F86&gt;0,O86&lt;=0),"&gt;52",IF(I86/O86&gt;52,"&gt;52", MAX(0,I86/O86-2))))))</f>
        <v>&gt;52</v>
      </c>
      <c r="R86" s="185"/>
    </row>
    <row r="87" spans="1:254" s="191" customFormat="1" ht="10.7" customHeight="1" x14ac:dyDescent="0.2">
      <c r="A87" s="2"/>
      <c r="B87" s="223" t="s">
        <v>127</v>
      </c>
      <c r="C87" s="151">
        <f>'[5]Maj Pel Combined'!E37</f>
        <v>48.677</v>
      </c>
      <c r="D87" s="152">
        <f>F87-VLOOKUP(B87,[4]quotas!$B$85:$W$120,5,FALSE)</f>
        <v>0</v>
      </c>
      <c r="E87" s="152">
        <f t="shared" si="15"/>
        <v>0</v>
      </c>
      <c r="F87" s="153">
        <f>VLOOKUP(B87,[4]quotas!$B$46:$W$84,5,FALSE)</f>
        <v>48.677</v>
      </c>
      <c r="G87" s="154">
        <f>VLOOKUP(B87,[4]Cumulative!$A$56:$X$91,6,FALSE)</f>
        <v>0</v>
      </c>
      <c r="H87" s="183">
        <f t="shared" si="16"/>
        <v>0</v>
      </c>
      <c r="I87" s="153">
        <f t="shared" si="17"/>
        <v>48.677</v>
      </c>
      <c r="J87" s="154">
        <f>VLOOKUP(B87,[4]Weeks!$A$125:$X$161,6,FALSE)-VLOOKUP(B87,[4]Weeks!$A$165:$X$200,6,FALSE)</f>
        <v>0</v>
      </c>
      <c r="K87" s="154">
        <f>VLOOKUP(B87,[4]Weeks!$A$85:$X$121,6,FALSE)-VLOOKUP(B87,[4]Weeks!$A$125:$X$161,6,FALSE)</f>
        <v>0</v>
      </c>
      <c r="L87" s="154">
        <f>VLOOKUP(B87,[4]Weeks!$A$44:$X$81,6,FALSE)-VLOOKUP(B87,[4]Weeks!$A$85:$X$121,6,FALSE)</f>
        <v>0</v>
      </c>
      <c r="M87" s="154">
        <f>VLOOKUP(B87,[4]Weeks!$A$3:$X$39,6,FALSE)-VLOOKUP(B87,[4]Weeks!$A$44:$X$81,6,FALSE)</f>
        <v>0</v>
      </c>
      <c r="N87" s="46">
        <f t="shared" si="18"/>
        <v>0</v>
      </c>
      <c r="O87" s="45">
        <f t="shared" si="14"/>
        <v>0</v>
      </c>
      <c r="P87" s="41" t="str">
        <f>IF(ISNUMBER(VLOOKUP(B87,[4]CLOSURES!B:BI,5,FALSE)),TEXT(VLOOKUP(B87,[4]CLOSURES!B:BI,5,FALSE),"ddmmm"),IF(F87&lt;=0,0,IF(I87&lt;=0,0,IF(AND(F87&gt;0,O87&lt;=0),"&gt;52",IF(I87/O87&gt;52,"&gt;52", MAX(0,I87/O87-2))))))</f>
        <v>&gt;52</v>
      </c>
      <c r="R87" s="185"/>
    </row>
    <row r="88" spans="1:254" s="191" customFormat="1" ht="10.7" customHeight="1" x14ac:dyDescent="0.2">
      <c r="A88" s="2"/>
      <c r="B88" s="223" t="s">
        <v>128</v>
      </c>
      <c r="C88" s="151">
        <f>'[5]Maj Pel Combined'!E38</f>
        <v>324.39999999999998</v>
      </c>
      <c r="D88" s="152">
        <f>F88-VLOOKUP(B88,[4]quotas!$B$85:$W$120,5,FALSE)</f>
        <v>90</v>
      </c>
      <c r="E88" s="152">
        <f t="shared" si="15"/>
        <v>326</v>
      </c>
      <c r="F88" s="153">
        <f>VLOOKUP(B88,[4]quotas!$B$46:$W$84,5,FALSE)</f>
        <v>650.4</v>
      </c>
      <c r="G88" s="154">
        <f>VLOOKUP(B88,[4]Cumulative!$A$56:$X$91,6,FALSE)+'[4]Special Conditions stocks'!C147</f>
        <v>300</v>
      </c>
      <c r="H88" s="183">
        <f t="shared" si="16"/>
        <v>46.125461254612546</v>
      </c>
      <c r="I88" s="153">
        <f t="shared" si="17"/>
        <v>350.4</v>
      </c>
      <c r="J88" s="154">
        <f>VLOOKUP(B88,[4]Weeks!$A$125:$X$161,6,FALSE)-VLOOKUP(B88,[4]Weeks!$A$165:$X$200,6,FALSE)</f>
        <v>0</v>
      </c>
      <c r="K88" s="154">
        <f>VLOOKUP(B88,[4]Weeks!$A$85:$X$121,6,FALSE)-VLOOKUP(B88,[4]Weeks!$A$125:$X$161,6,FALSE)</f>
        <v>0</v>
      </c>
      <c r="L88" s="154">
        <f>VLOOKUP(B88,[4]Weeks!$A$44:$X$81,6,FALSE)-VLOOKUP(B88,[4]Weeks!$A$85:$X$121,6,FALSE)</f>
        <v>0</v>
      </c>
      <c r="M88" s="154">
        <f>VLOOKUP(B88,[4]Weeks!$A$3:$X$39,6,FALSE)-VLOOKUP(B88,[4]Weeks!$A$44:$X$81,6,FALSE)</f>
        <v>0</v>
      </c>
      <c r="N88" s="46">
        <f t="shared" si="18"/>
        <v>0</v>
      </c>
      <c r="O88" s="45">
        <f t="shared" si="14"/>
        <v>0</v>
      </c>
      <c r="P88" s="41" t="str">
        <f>IF(ISNUMBER(VLOOKUP(B88,[4]CLOSURES!B:BI,5,FALSE)),TEXT(VLOOKUP(B88,[4]CLOSURES!B:BI,5,FALSE),"ddmmm"),IF(F88&lt;=0,0,IF(I88&lt;=0,0,IF(AND(F88&gt;0,O88&lt;=0),"&gt;52",IF(I88/O88&gt;52,"&gt;52", MAX(0,I88/O88-2))))))</f>
        <v>&gt;52</v>
      </c>
      <c r="R88" s="185"/>
    </row>
    <row r="89" spans="1:254" s="191" customFormat="1" ht="10.7" customHeight="1" x14ac:dyDescent="0.2">
      <c r="A89" s="2"/>
      <c r="B89" s="223" t="s">
        <v>129</v>
      </c>
      <c r="C89" s="151">
        <f>'[5]Maj Pel Combined'!E39</f>
        <v>17.600000000000001</v>
      </c>
      <c r="D89" s="152">
        <f>F89-VLOOKUP(B89,[4]quotas!$B$85:$W$120,5,FALSE)</f>
        <v>0</v>
      </c>
      <c r="E89" s="152">
        <f t="shared" si="15"/>
        <v>0</v>
      </c>
      <c r="F89" s="153">
        <f>VLOOKUP(B89,[4]quotas!$B$46:$W$84,5,FALSE)</f>
        <v>17.600000000000001</v>
      </c>
      <c r="G89" s="154">
        <f>VLOOKUP(B89,[4]Cumulative!$A$56:$X$91,6,FALSE)</f>
        <v>0</v>
      </c>
      <c r="H89" s="183">
        <f t="shared" si="16"/>
        <v>0</v>
      </c>
      <c r="I89" s="153">
        <f t="shared" si="17"/>
        <v>17.600000000000001</v>
      </c>
      <c r="J89" s="154">
        <f>VLOOKUP(B89,[4]Weeks!$A$125:$X$161,6,FALSE)-VLOOKUP(B89,[4]Weeks!$A$165:$X$200,6,FALSE)</f>
        <v>0</v>
      </c>
      <c r="K89" s="154">
        <f>VLOOKUP(B89,[4]Weeks!$A$85:$X$121,6,FALSE)-VLOOKUP(B89,[4]Weeks!$A$125:$X$161,6,FALSE)</f>
        <v>0</v>
      </c>
      <c r="L89" s="154">
        <f>VLOOKUP(B89,[4]Weeks!$A$44:$X$81,6,FALSE)-VLOOKUP(B89,[4]Weeks!$A$85:$X$121,6,FALSE)</f>
        <v>0</v>
      </c>
      <c r="M89" s="154">
        <f>VLOOKUP(B89,[4]Weeks!$A$3:$X$39,6,FALSE)-VLOOKUP(B89,[4]Weeks!$A$44:$X$81,6,FALSE)</f>
        <v>0</v>
      </c>
      <c r="N89" s="48">
        <f>SUM(N79:N88)</f>
        <v>0</v>
      </c>
      <c r="O89" s="45">
        <f t="shared" si="14"/>
        <v>0</v>
      </c>
      <c r="P89" s="41" t="str">
        <f>IF(ISNUMBER(VLOOKUP(B89,[4]CLOSURES!B:BI,5,FALSE)),TEXT(VLOOKUP(B89,[4]CLOSURES!B:BI,5,FALSE),"ddmmm"),IF(F89&lt;=0,0,IF(I89&lt;=0,0,IF(AND(F89&gt;0,O89&lt;=0),"&gt;52",IF(I89/O89&gt;52,"&gt;52", MAX(0,I89/O89-2))))))</f>
        <v>&gt;52</v>
      </c>
      <c r="R89" s="185"/>
    </row>
    <row r="90" spans="1:254" s="191" customFormat="1" ht="10.7" customHeight="1" x14ac:dyDescent="0.2">
      <c r="A90" s="2"/>
      <c r="B90" s="223"/>
      <c r="C90" s="151"/>
      <c r="D90" s="154"/>
      <c r="E90" s="152"/>
      <c r="F90" s="153"/>
      <c r="G90" s="154"/>
      <c r="H90" s="183"/>
      <c r="I90" s="153"/>
      <c r="J90" s="154"/>
      <c r="K90" s="154"/>
      <c r="L90" s="154"/>
      <c r="M90" s="154"/>
      <c r="N90" s="46"/>
      <c r="O90" s="45"/>
      <c r="P90" s="41"/>
      <c r="R90" s="185"/>
    </row>
    <row r="91" spans="1:254" s="191" customFormat="1" ht="10.7" customHeight="1" x14ac:dyDescent="0.2">
      <c r="A91" s="2"/>
      <c r="B91" s="196" t="s">
        <v>130</v>
      </c>
      <c r="C91" s="151">
        <f>SUM(C86:C89)</f>
        <v>1460.462</v>
      </c>
      <c r="D91" s="152">
        <f>SUM(D86:D90)</f>
        <v>90</v>
      </c>
      <c r="E91" s="152">
        <f t="shared" si="15"/>
        <v>326</v>
      </c>
      <c r="F91" s="153">
        <f>SUM(F86:F89)</f>
        <v>1786.462</v>
      </c>
      <c r="G91" s="153">
        <f>SUM(G86:G89)</f>
        <v>300</v>
      </c>
      <c r="H91" s="183">
        <f t="shared" si="16"/>
        <v>16.792968448251347</v>
      </c>
      <c r="I91" s="153">
        <f t="shared" si="17"/>
        <v>1486.462</v>
      </c>
      <c r="J91" s="154">
        <f>SUM(J86:J89)</f>
        <v>0</v>
      </c>
      <c r="K91" s="154">
        <f>SUM(K86:K89)</f>
        <v>0</v>
      </c>
      <c r="L91" s="154">
        <f>SUM(L86:L89)</f>
        <v>0</v>
      </c>
      <c r="M91" s="154">
        <f>SUM(M86:M89)</f>
        <v>0</v>
      </c>
      <c r="N91" s="46">
        <f>IF(C91="*","*",IF(C91&gt;0,M91/C91*100,"-"))</f>
        <v>0</v>
      </c>
      <c r="O91" s="45">
        <f>IF(C91="*","*",SUM(J91:M91)/4)</f>
        <v>0</v>
      </c>
      <c r="P91" s="41" t="str">
        <f>IF(ISNUMBER(VLOOKUP(B91,[4]CLOSURES!B:BI,5,FALSE)),TEXT(VLOOKUP(B91,[4]CLOSURES!B:BI,5,FALSE),"ddmmm"),IF(F91&lt;=0,0,IF(I91&lt;=0,0,IF(AND(F91&gt;0,O91&lt;=0),"&gt;52",IF(I91/O91&gt;52,"&gt;52", MAX(0,I91/O91-2))))))</f>
        <v>&gt;52</v>
      </c>
      <c r="R91" s="185"/>
    </row>
    <row r="92" spans="1:254" s="191" customFormat="1" ht="10.7" customHeight="1" x14ac:dyDescent="0.2">
      <c r="A92" s="2"/>
      <c r="B92" s="186"/>
      <c r="C92" s="151"/>
      <c r="D92" s="152"/>
      <c r="E92" s="152"/>
      <c r="F92" s="153"/>
      <c r="G92" s="154"/>
      <c r="H92" s="183"/>
      <c r="I92" s="153"/>
      <c r="J92" s="154"/>
      <c r="K92" s="154"/>
      <c r="L92" s="154"/>
      <c r="M92" s="154"/>
      <c r="N92" s="46"/>
      <c r="O92" s="45"/>
      <c r="P92" s="41"/>
      <c r="R92" s="185"/>
    </row>
    <row r="93" spans="1:254" s="191" customFormat="1" ht="10.7" customHeight="1" x14ac:dyDescent="0.2">
      <c r="A93" s="2"/>
      <c r="B93" s="187" t="s">
        <v>91</v>
      </c>
      <c r="C93" s="157">
        <f>SUM(C91+C84)</f>
        <v>1912.6590000000001</v>
      </c>
      <c r="D93" s="160">
        <f>D84+D91</f>
        <v>0</v>
      </c>
      <c r="E93" s="160">
        <f t="shared" si="15"/>
        <v>236</v>
      </c>
      <c r="F93" s="156">
        <f>F91+F84</f>
        <v>2148.6590000000001</v>
      </c>
      <c r="G93" s="155">
        <f>G84+G91</f>
        <v>300.10000000000002</v>
      </c>
      <c r="H93" s="188">
        <f>IF(AND(F93=0,G93&gt;0),"n/a",IF(F93=0,0,100*G93/F93))</f>
        <v>13.966850952152019</v>
      </c>
      <c r="I93" s="156">
        <f>IF(F93="*","*",F93-G93)</f>
        <v>1848.5590000000002</v>
      </c>
      <c r="J93" s="155">
        <f>J84+J91</f>
        <v>0</v>
      </c>
      <c r="K93" s="155">
        <f>K84+K91</f>
        <v>0</v>
      </c>
      <c r="L93" s="155">
        <f>L84+L91</f>
        <v>0</v>
      </c>
      <c r="M93" s="155">
        <f>M84+M91</f>
        <v>0</v>
      </c>
      <c r="N93" s="58">
        <f>IF(C93="*","*",IF(C93&gt;0,M93/C93*100,"-"))</f>
        <v>0</v>
      </c>
      <c r="O93" s="52">
        <f>IF(C93="*","*",SUM(J93:M93)/4)</f>
        <v>0</v>
      </c>
      <c r="P93" s="54" t="str">
        <f>IF(ISNUMBER(VLOOKUP(B93,[4]CLOSURES!B:BI,5,FALSE)),TEXT(VLOOKUP(B93,[4]CLOSURES!B:BI,5,FALSE),"ddmmm"),IF(F93&lt;=0,0,IF(I93&lt;=0,0,IF(AND(F93&gt;0,O93&lt;=0),"&gt;52",IF(I93/O93&gt;52,"&gt;52", MAX(0,I93/O93-2))))))</f>
        <v>&gt;52</v>
      </c>
      <c r="R93" s="185"/>
    </row>
    <row r="94" spans="1:254" ht="10.15" customHeight="1" x14ac:dyDescent="0.2">
      <c r="B94" s="198"/>
      <c r="C94" s="198"/>
      <c r="D94" s="198"/>
      <c r="E94" s="198"/>
      <c r="F94" s="199"/>
      <c r="G94" s="198"/>
      <c r="H94" s="198"/>
      <c r="I94" s="200"/>
      <c r="J94" s="198"/>
      <c r="K94" s="198"/>
      <c r="L94" s="198"/>
      <c r="M94" s="198"/>
      <c r="N94" s="201"/>
      <c r="O94" s="198"/>
      <c r="P94" s="201"/>
      <c r="Q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  <c r="EG94" s="198"/>
      <c r="EH94" s="198"/>
      <c r="EI94" s="198"/>
      <c r="EJ94" s="198"/>
      <c r="EK94" s="198"/>
      <c r="EL94" s="198"/>
      <c r="EM94" s="198"/>
      <c r="EN94" s="198"/>
      <c r="EO94" s="198"/>
      <c r="EP94" s="198"/>
      <c r="EQ94" s="198"/>
      <c r="ER94" s="198"/>
      <c r="ES94" s="198"/>
      <c r="ET94" s="198"/>
      <c r="EU94" s="198"/>
      <c r="EV94" s="198"/>
      <c r="EW94" s="198"/>
      <c r="EX94" s="198"/>
      <c r="EY94" s="198"/>
      <c r="EZ94" s="198"/>
      <c r="FA94" s="198"/>
      <c r="FB94" s="198"/>
      <c r="FC94" s="198"/>
      <c r="FD94" s="198"/>
      <c r="FE94" s="198"/>
      <c r="FF94" s="198"/>
      <c r="FG94" s="198"/>
      <c r="FH94" s="198"/>
      <c r="FI94" s="198"/>
      <c r="FJ94" s="198"/>
      <c r="FK94" s="198"/>
      <c r="FL94" s="198"/>
      <c r="FM94" s="198"/>
      <c r="FN94" s="198"/>
      <c r="FO94" s="198"/>
      <c r="FP94" s="198"/>
      <c r="FQ94" s="198"/>
      <c r="FR94" s="198"/>
      <c r="FS94" s="198"/>
      <c r="FT94" s="198"/>
      <c r="FU94" s="198"/>
      <c r="FV94" s="198"/>
      <c r="FW94" s="198"/>
      <c r="FX94" s="198"/>
      <c r="FY94" s="198"/>
      <c r="FZ94" s="198"/>
      <c r="GA94" s="198"/>
      <c r="GB94" s="198"/>
      <c r="GC94" s="198"/>
      <c r="GD94" s="198"/>
      <c r="GE94" s="198"/>
      <c r="GF94" s="198"/>
      <c r="GG94" s="198"/>
      <c r="GH94" s="198"/>
      <c r="GI94" s="198"/>
      <c r="GJ94" s="198"/>
      <c r="GK94" s="198"/>
      <c r="GL94" s="198"/>
      <c r="GM94" s="198"/>
      <c r="GN94" s="198"/>
      <c r="GO94" s="198"/>
      <c r="GP94" s="198"/>
      <c r="GQ94" s="198"/>
      <c r="GR94" s="198"/>
      <c r="GS94" s="198"/>
      <c r="GT94" s="198"/>
      <c r="GU94" s="198"/>
      <c r="GV94" s="198"/>
      <c r="GW94" s="198"/>
      <c r="GX94" s="198"/>
      <c r="GY94" s="198"/>
      <c r="GZ94" s="198"/>
      <c r="HA94" s="198"/>
      <c r="HB94" s="198"/>
      <c r="HC94" s="198"/>
      <c r="HD94" s="198"/>
      <c r="HE94" s="198"/>
      <c r="HF94" s="198"/>
      <c r="HG94" s="198"/>
      <c r="HH94" s="198"/>
      <c r="HI94" s="198"/>
      <c r="HJ94" s="198"/>
      <c r="HK94" s="198"/>
      <c r="HL94" s="198"/>
      <c r="HM94" s="198"/>
      <c r="HN94" s="198"/>
      <c r="HO94" s="198"/>
      <c r="HP94" s="198"/>
      <c r="HQ94" s="198"/>
      <c r="HR94" s="198"/>
      <c r="HS94" s="198"/>
      <c r="HT94" s="198"/>
      <c r="HU94" s="198"/>
      <c r="HV94" s="198"/>
      <c r="HW94" s="198"/>
      <c r="HX94" s="198"/>
      <c r="HY94" s="198"/>
      <c r="HZ94" s="198"/>
      <c r="IA94" s="198"/>
      <c r="IB94" s="198"/>
      <c r="IC94" s="198"/>
      <c r="ID94" s="198"/>
      <c r="IE94" s="198"/>
      <c r="IF94" s="198"/>
      <c r="IG94" s="198"/>
      <c r="IH94" s="198"/>
      <c r="II94" s="198"/>
      <c r="IJ94" s="198"/>
      <c r="IK94" s="198"/>
      <c r="IL94" s="198"/>
      <c r="IM94" s="198"/>
      <c r="IN94" s="198"/>
      <c r="IO94" s="198"/>
      <c r="IP94" s="198"/>
      <c r="IQ94" s="198"/>
      <c r="IR94" s="198"/>
      <c r="IS94" s="198"/>
      <c r="IT94" s="198"/>
    </row>
    <row r="95" spans="1:254" s="61" customFormat="1" ht="10.7" customHeight="1" x14ac:dyDescent="0.2">
      <c r="A95" s="2"/>
      <c r="B95" s="191"/>
      <c r="C95" s="191"/>
      <c r="D95" s="191"/>
      <c r="E95" s="191"/>
      <c r="F95" s="192"/>
      <c r="G95" s="191"/>
      <c r="H95" s="191"/>
      <c r="I95" s="193"/>
      <c r="J95" s="191"/>
      <c r="K95" s="191"/>
      <c r="L95" s="191"/>
      <c r="M95" s="191"/>
      <c r="N95" s="194"/>
      <c r="O95" s="191"/>
      <c r="P95" s="194"/>
      <c r="Q95" s="191"/>
      <c r="R95" s="185"/>
    </row>
    <row r="96" spans="1:254" s="61" customFormat="1" ht="10.7" customHeight="1" x14ac:dyDescent="0.2">
      <c r="A96" s="2"/>
      <c r="B96" s="14"/>
      <c r="C96" s="15" t="str">
        <f>C5</f>
        <v>Initial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1"/>
      <c r="R96" s="185"/>
    </row>
    <row r="97" spans="1:20" s="61" customFormat="1" ht="10.7" customHeight="1" x14ac:dyDescent="0.2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1"/>
      <c r="R97" s="185"/>
    </row>
    <row r="98" spans="1:20" s="61" customFormat="1" ht="10.7" customHeight="1" x14ac:dyDescent="0.2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f>$J7</f>
        <v>44468</v>
      </c>
      <c r="K98" s="33">
        <f>$K7</f>
        <v>44475</v>
      </c>
      <c r="L98" s="33">
        <f>$L7</f>
        <v>44482</v>
      </c>
      <c r="M98" s="15" t="s">
        <v>48</v>
      </c>
      <c r="N98" s="34" t="s">
        <v>56</v>
      </c>
      <c r="O98" s="34" t="s">
        <v>48</v>
      </c>
      <c r="P98" s="24" t="s">
        <v>58</v>
      </c>
      <c r="Q98" s="191"/>
      <c r="R98" s="185"/>
    </row>
    <row r="99" spans="1:20" s="61" customFormat="1" ht="10.7" customHeight="1" x14ac:dyDescent="0.2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1"/>
      <c r="R99" s="185"/>
    </row>
    <row r="100" spans="1:20" s="61" customFormat="1" ht="10.7" customHeight="1" x14ac:dyDescent="0.2">
      <c r="A100" s="2"/>
      <c r="B100" s="40"/>
      <c r="C100" s="233" t="s">
        <v>133</v>
      </c>
      <c r="D100" s="235"/>
      <c r="E100" s="235"/>
      <c r="F100" s="235"/>
      <c r="G100" s="235"/>
      <c r="H100" s="235"/>
      <c r="I100" s="235"/>
      <c r="J100" s="235"/>
      <c r="K100" s="235"/>
      <c r="L100" s="235"/>
      <c r="M100" s="235"/>
      <c r="N100" s="235"/>
      <c r="O100" s="235"/>
      <c r="P100" s="41" t="s">
        <v>4</v>
      </c>
      <c r="Q100" s="191"/>
      <c r="R100" s="185"/>
    </row>
    <row r="101" spans="1:20" s="61" customFormat="1" ht="10.7" customHeight="1" x14ac:dyDescent="0.2">
      <c r="A101" s="2"/>
      <c r="B101" s="222" t="s">
        <v>121</v>
      </c>
      <c r="C101" s="151">
        <f>'[5]Maj Pel Combined'!F29</f>
        <v>3.669</v>
      </c>
      <c r="D101" s="152">
        <f>F101-VLOOKUP(B101,[4]quotas!$B$85:$W$120,6,FALSE)</f>
        <v>0</v>
      </c>
      <c r="E101" s="152">
        <f>F101-C101</f>
        <v>0</v>
      </c>
      <c r="F101" s="153">
        <f>VLOOKUP(B101,[4]quotas!$B$46:$W$84,6,FALSE)</f>
        <v>3.669</v>
      </c>
      <c r="G101" s="154">
        <f>VLOOKUP(B101,[4]Cumulative!$A$56:$X$91,7,FALSE)+VLOOKUP(B123,[4]Cumulative!$A$56:$X$91,8,FALSE)</f>
        <v>0</v>
      </c>
      <c r="H101" s="183">
        <f>IF(AND(F101=0,G101&gt;0),"n/a",IF(F101=0,0,100*G101/F101))</f>
        <v>0</v>
      </c>
      <c r="I101" s="153">
        <f>IF(F101="*","*",F101-G101)</f>
        <v>3.669</v>
      </c>
      <c r="J101" s="154">
        <f>VLOOKUP(B101,[4]Weeks!$A$125:$X$161,7,FALSE)-VLOOKUP(B101,[4]Weeks!$A$165:$X$200,7,FALSE)+ VLOOKUP(B101,[4]Weeks!$A$125:$X$161,8,FALSE)-VLOOKUP(B101,[4]Weeks!$A$165:$X$200,8,FALSE)</f>
        <v>0</v>
      </c>
      <c r="K101" s="154">
        <f>VLOOKUP(B101,[4]Weeks!$A$85:$X$121,7,FALSE)-VLOOKUP(B101,[4]Weeks!$A$125:$X$161,7,FALSE)+ VLOOKUP(B101,[4]Weeks!$A$85:$X$121,8,FALSE)-VLOOKUP(B101,[4]Weeks!$A$125:$X$161,8,FALSE)</f>
        <v>0</v>
      </c>
      <c r="L101" s="154">
        <f>VLOOKUP(B101,[4]Weeks!$A$44:$X$81,7,FALSE)-VLOOKUP(B101,[4]Weeks!$A$85:$X$121,7,FALSE)+ VLOOKUP(B101,[4]Weeks!$A$44:$X$81,8,FALSE)-VLOOKUP(B101,[4]Weeks!$A$85:$X$121,8,FALSE)</f>
        <v>0</v>
      </c>
      <c r="M101" s="154">
        <f>VLOOKUP(B101,[4]Weeks!$A$3:$X$39,7,FALSE)-VLOOKUP(B101,[4]Weeks!$A$44:$X$81,7,FALSE)+ VLOOKUP(B101,[4]Weeks!$A$3:$X$39,8,FALSE)-VLOOKUP(B101,[4]Weeks!$A$44:$X$81,8,FALSE)</f>
        <v>0</v>
      </c>
      <c r="N101" s="46">
        <f t="shared" ref="N101:N110" si="19">IF(C101="*","*",IF(C101&gt;0,M101/C101*100,"-"))</f>
        <v>0</v>
      </c>
      <c r="O101" s="45">
        <f t="shared" ref="O101:O111" si="20">IF(C101="*","*",SUM(J101:M101)/4)</f>
        <v>0</v>
      </c>
      <c r="P101" s="41" t="str">
        <f>IF(ISNUMBER(VLOOKUP(B101,[4]CLOSURES!B:BI,6,FALSE)),TEXT(VLOOKUP(B101,[4]CLOSURES!B:BI,6,FALSE),"ddmmm"),IF(F101&lt;=0,0,IF(I101&lt;=0,0,IF(AND(F101&gt;0,O101&lt;=0),"&gt;52",IF(I101/O101&gt;52,"&gt;52", MAX(0,I101/O101-2))))))</f>
        <v>01Jan</v>
      </c>
      <c r="Q101" s="191"/>
      <c r="R101" s="185"/>
    </row>
    <row r="102" spans="1:20" s="61" customFormat="1" ht="10.7" customHeight="1" x14ac:dyDescent="0.2">
      <c r="A102" s="2"/>
      <c r="B102" s="222" t="s">
        <v>122</v>
      </c>
      <c r="C102" s="151">
        <f>'[5]Maj Pel Combined'!F30</f>
        <v>0</v>
      </c>
      <c r="D102" s="152">
        <f>F102-VLOOKUP(B102,[4]quotas!$B$85:$W$120,6,FALSE)</f>
        <v>0</v>
      </c>
      <c r="E102" s="152">
        <f t="shared" ref="E102:E115" si="21">F102-C102</f>
        <v>0</v>
      </c>
      <c r="F102" s="153">
        <f>VLOOKUP(B102,[4]quotas!$B$46:$W$84,6,FALSE)</f>
        <v>0</v>
      </c>
      <c r="G102" s="154">
        <f>VLOOKUP(B102,[4]Cumulative!$A$56:$X$91,7,FALSE)+VLOOKUP(B124,[4]Cumulative!$A$56:$X$91,8,FALSE)</f>
        <v>0</v>
      </c>
      <c r="H102" s="183">
        <f t="shared" ref="H102:H115" si="22">IF(AND(F102=0,G102&gt;0),"n/a",IF(F102=0,0,100*G102/F102))</f>
        <v>0</v>
      </c>
      <c r="I102" s="153">
        <f>IF(F102="*","*",F102-G102)</f>
        <v>0</v>
      </c>
      <c r="J102" s="154">
        <f>VLOOKUP(B102,[4]Weeks!$A$125:$X$161,7,FALSE)-VLOOKUP(B102,[4]Weeks!$A$165:$X$200,7,FALSE)+ VLOOKUP(B102,[4]Weeks!$A$125:$X$161,8,FALSE)-VLOOKUP(B102,[4]Weeks!$A$165:$X$200,8,FALSE)</f>
        <v>0</v>
      </c>
      <c r="K102" s="154">
        <f>VLOOKUP(B102,[4]Weeks!$A$85:$X$121,7,FALSE)-VLOOKUP(B102,[4]Weeks!$A$125:$X$161,7,FALSE)+ VLOOKUP(B102,[4]Weeks!$A$85:$X$121,8,FALSE)-VLOOKUP(B102,[4]Weeks!$A$125:$X$161,8,FALSE)</f>
        <v>0</v>
      </c>
      <c r="L102" s="154">
        <f>VLOOKUP(B102,[4]Weeks!$A$44:$X$81,7,FALSE)-VLOOKUP(B102,[4]Weeks!$A$85:$X$121,7,FALSE)+ VLOOKUP(B102,[4]Weeks!$A$44:$X$81,8,FALSE)-VLOOKUP(B102,[4]Weeks!$A$85:$X$121,8,FALSE)</f>
        <v>0</v>
      </c>
      <c r="M102" s="154">
        <f>VLOOKUP(B102,[4]Weeks!$A$3:$X$39,7,FALSE)-VLOOKUP(B102,[4]Weeks!$A$44:$X$81,7,FALSE)+ VLOOKUP(B102,[4]Weeks!$A$3:$X$39,8,FALSE)-VLOOKUP(B102,[4]Weeks!$A$44:$X$81,8,FALSE)</f>
        <v>0</v>
      </c>
      <c r="N102" s="46" t="str">
        <f t="shared" si="19"/>
        <v>-</v>
      </c>
      <c r="O102" s="45">
        <f t="shared" si="20"/>
        <v>0</v>
      </c>
      <c r="P102" s="41" t="str">
        <f>IF(ISNUMBER(VLOOKUP(B102,[4]CLOSURES!B:BI,6,FALSE)),TEXT(VLOOKUP(B102,[4]CLOSURES!B:BI,6,FALSE),"ddmmm"),IF(F102&lt;=0,0,IF(I102&lt;=0,0,IF(AND(F102&gt;0,O102&lt;=0),"&gt;52",IF(I102/O102&gt;52,"&gt;52", MAX(0,I102/O102-2))))))</f>
        <v>01Jan</v>
      </c>
      <c r="Q102" s="191"/>
      <c r="R102" s="185"/>
    </row>
    <row r="103" spans="1:20" s="61" customFormat="1" ht="10.7" customHeight="1" x14ac:dyDescent="0.2">
      <c r="A103" s="2"/>
      <c r="B103" s="222" t="s">
        <v>123</v>
      </c>
      <c r="C103" s="151">
        <f>'[5]Maj Pel Combined'!F31</f>
        <v>100.04300000000001</v>
      </c>
      <c r="D103" s="152">
        <f>F103-VLOOKUP(B103,[4]quotas!$B$85:$W$120,6,FALSE)</f>
        <v>-90</v>
      </c>
      <c r="E103" s="152">
        <f t="shared" si="21"/>
        <v>-90</v>
      </c>
      <c r="F103" s="153">
        <f>VLOOKUP(B103,[4]quotas!$B$46:$W$84,6,FALSE)</f>
        <v>10.043000000000006</v>
      </c>
      <c r="G103" s="154">
        <f>VLOOKUP(B103,[4]Cumulative!$A$56:$X$91,7,FALSE)+VLOOKUP(B125,[4]Cumulative!$A$56:$X$91,8,FALSE)</f>
        <v>0.18</v>
      </c>
      <c r="H103" s="183">
        <f t="shared" si="22"/>
        <v>1.7922931395001482</v>
      </c>
      <c r="I103" s="153">
        <f t="shared" ref="I103:I113" si="23">IF(F103="*","*",F103-G103)</f>
        <v>9.8630000000000067</v>
      </c>
      <c r="J103" s="154">
        <f>VLOOKUP(B103,[4]Weeks!$A$125:$X$161,7,FALSE)-VLOOKUP(B103,[4]Weeks!$A$165:$X$200,7,FALSE)+ VLOOKUP(B103,[4]Weeks!$A$125:$X$161,8,FALSE)-VLOOKUP(B103,[4]Weeks!$A$165:$X$200,8,FALSE)</f>
        <v>0</v>
      </c>
      <c r="K103" s="154">
        <f>VLOOKUP(B103,[4]Weeks!$A$85:$X$121,7,FALSE)-VLOOKUP(B103,[4]Weeks!$A$125:$X$161,7,FALSE)+ VLOOKUP(B103,[4]Weeks!$A$85:$X$121,8,FALSE)-VLOOKUP(B103,[4]Weeks!$A$125:$X$161,8,FALSE)</f>
        <v>0</v>
      </c>
      <c r="L103" s="154">
        <f>VLOOKUP(B103,[4]Weeks!$A$44:$X$81,7,FALSE)-VLOOKUP(B103,[4]Weeks!$A$85:$X$121,7,FALSE)+ VLOOKUP(B103,[4]Weeks!$A$44:$X$81,8,FALSE)-VLOOKUP(B103,[4]Weeks!$A$85:$X$121,8,FALSE)</f>
        <v>0</v>
      </c>
      <c r="M103" s="154">
        <f>VLOOKUP(B103,[4]Weeks!$A$3:$X$39,7,FALSE)-VLOOKUP(B103,[4]Weeks!$A$44:$X$81,7,FALSE)+ VLOOKUP(B103,[4]Weeks!$A$3:$X$39,8,FALSE)-VLOOKUP(B103,[4]Weeks!$A$44:$X$81,8,FALSE)</f>
        <v>0</v>
      </c>
      <c r="N103" s="46">
        <f t="shared" si="19"/>
        <v>0</v>
      </c>
      <c r="O103" s="45">
        <f t="shared" si="20"/>
        <v>0</v>
      </c>
      <c r="P103" s="41" t="str">
        <f>IF(ISNUMBER(VLOOKUP(B103,[4]CLOSURES!B:BI,6,FALSE)),TEXT(VLOOKUP(B103,[4]CLOSURES!B:BI,6,FALSE),"ddmmm"),IF(F103&lt;=0,0,IF(I103&lt;=0,0,IF(AND(F103&gt;0,O103&lt;=0),"&gt;52",IF(I103/O103&gt;52,"&gt;52", MAX(0,I103/O103-2))))))</f>
        <v>01Jan</v>
      </c>
      <c r="Q103" s="191"/>
      <c r="R103" s="185"/>
    </row>
    <row r="104" spans="1:20" s="61" customFormat="1" ht="10.7" customHeight="1" x14ac:dyDescent="0.2">
      <c r="A104" s="2"/>
      <c r="B104" s="222" t="s">
        <v>124</v>
      </c>
      <c r="C104" s="151">
        <f>'[5]Maj Pel Combined'!F32</f>
        <v>0</v>
      </c>
      <c r="D104" s="152">
        <f>F104-VLOOKUP(B104,[4]quotas!$B$85:$W$120,6,FALSE)</f>
        <v>0</v>
      </c>
      <c r="E104" s="152">
        <f t="shared" si="21"/>
        <v>0</v>
      </c>
      <c r="F104" s="153">
        <f>VLOOKUP(B104,[4]quotas!$B$46:$W$84,6,FALSE)</f>
        <v>0</v>
      </c>
      <c r="G104" s="154">
        <f>VLOOKUP(B104,[4]Cumulative!$A$56:$X$91,7,FALSE)+VLOOKUP(B126,[4]Cumulative!$A$56:$X$91,8,FALSE)</f>
        <v>0</v>
      </c>
      <c r="H104" s="183">
        <f t="shared" si="22"/>
        <v>0</v>
      </c>
      <c r="I104" s="153">
        <f t="shared" si="23"/>
        <v>0</v>
      </c>
      <c r="J104" s="154">
        <f>VLOOKUP(B104,[4]Weeks!$A$125:$X$161,7,FALSE)-VLOOKUP(B104,[4]Weeks!$A$165:$X$200,7,FALSE)+ VLOOKUP(B104,[4]Weeks!$A$125:$X$161,8,FALSE)-VLOOKUP(B104,[4]Weeks!$A$165:$X$200,8,FALSE)</f>
        <v>0</v>
      </c>
      <c r="K104" s="154">
        <f>VLOOKUP(B104,[4]Weeks!$A$85:$X$121,7,FALSE)-VLOOKUP(B104,[4]Weeks!$A$125:$X$161,7,FALSE)+ VLOOKUP(B104,[4]Weeks!$A$85:$X$121,8,FALSE)-VLOOKUP(B104,[4]Weeks!$A$125:$X$161,8,FALSE)</f>
        <v>0</v>
      </c>
      <c r="L104" s="154">
        <f>VLOOKUP(B104,[4]Weeks!$A$44:$X$81,7,FALSE)-VLOOKUP(B104,[4]Weeks!$A$85:$X$121,7,FALSE)+ VLOOKUP(B104,[4]Weeks!$A$44:$X$81,8,FALSE)-VLOOKUP(B104,[4]Weeks!$A$85:$X$121,8,FALSE)</f>
        <v>0</v>
      </c>
      <c r="M104" s="154">
        <f>VLOOKUP(B104,[4]Weeks!$A$3:$X$39,7,FALSE)-VLOOKUP(B104,[4]Weeks!$A$44:$X$81,7,FALSE)+ VLOOKUP(B104,[4]Weeks!$A$3:$X$39,8,FALSE)-VLOOKUP(B104,[4]Weeks!$A$44:$X$81,8,FALSE)</f>
        <v>0</v>
      </c>
      <c r="N104" s="46" t="str">
        <f t="shared" si="19"/>
        <v>-</v>
      </c>
      <c r="O104" s="45">
        <f t="shared" si="20"/>
        <v>0</v>
      </c>
      <c r="P104" s="41" t="str">
        <f>IF(ISNUMBER(VLOOKUP(B104,[4]CLOSURES!B:BI,6,FALSE)),TEXT(VLOOKUP(B104,[4]CLOSURES!B:BI,6,FALSE),"ddmmm"),IF(F104&lt;=0,0,IF(I104&lt;=0,0,IF(AND(F104&gt;0,O104&lt;=0),"&gt;52",IF(I104/O104&gt;52,"&gt;52", MAX(0,I104/O104-2))))))</f>
        <v>01Jan</v>
      </c>
      <c r="Q104" s="191"/>
      <c r="R104" s="185"/>
    </row>
    <row r="105" spans="1:20" s="61" customFormat="1" ht="10.7" customHeight="1" x14ac:dyDescent="0.2">
      <c r="A105" s="2"/>
      <c r="B105" s="222"/>
      <c r="C105" s="151"/>
      <c r="D105" s="152"/>
      <c r="E105" s="152"/>
      <c r="F105" s="153"/>
      <c r="G105" s="154"/>
      <c r="H105" s="183"/>
      <c r="I105" s="153"/>
      <c r="J105" s="154"/>
      <c r="K105" s="154"/>
      <c r="L105" s="154"/>
      <c r="M105" s="154"/>
      <c r="N105" s="46"/>
      <c r="O105" s="45"/>
      <c r="P105" s="41"/>
      <c r="Q105" s="191"/>
      <c r="R105" s="185"/>
    </row>
    <row r="106" spans="1:20" s="61" customFormat="1" ht="10.7" customHeight="1" x14ac:dyDescent="0.2">
      <c r="A106" s="2"/>
      <c r="B106" s="162" t="s">
        <v>125</v>
      </c>
      <c r="C106" s="151">
        <f>SUM(C101:C104)</f>
        <v>103.712</v>
      </c>
      <c r="D106" s="152">
        <f>SUM(D101:D105)</f>
        <v>-90</v>
      </c>
      <c r="E106" s="152">
        <f t="shared" si="21"/>
        <v>-90</v>
      </c>
      <c r="F106" s="153">
        <f>SUM(F101:F104)</f>
        <v>13.712000000000007</v>
      </c>
      <c r="G106" s="154">
        <f>SUM(G101:G104)</f>
        <v>0.18</v>
      </c>
      <c r="H106" s="183">
        <f t="shared" si="22"/>
        <v>1.3127187864644101</v>
      </c>
      <c r="I106" s="153">
        <f t="shared" si="23"/>
        <v>13.532000000000007</v>
      </c>
      <c r="J106" s="154">
        <f>SUM(J101:J104)</f>
        <v>0</v>
      </c>
      <c r="K106" s="154">
        <f>SUM(K101:K104)</f>
        <v>0</v>
      </c>
      <c r="L106" s="154">
        <f>SUM(L101:L104)</f>
        <v>0</v>
      </c>
      <c r="M106" s="154">
        <f>SUM(M101:M104)</f>
        <v>0</v>
      </c>
      <c r="N106" s="46">
        <f t="shared" si="19"/>
        <v>0</v>
      </c>
      <c r="O106" s="45">
        <f t="shared" si="20"/>
        <v>0</v>
      </c>
      <c r="P106" s="41" t="str">
        <f>IF(ISNUMBER(VLOOKUP(B106,[4]CLOSURES!B:BI,6,FALSE)),TEXT(VLOOKUP(B106,[4]CLOSURES!B:BI,6,FALSE),"ddmmm"),IF(F106&lt;=0,0,IF(I106&lt;=0,0,IF(AND(F106&gt;0,O106&lt;=0),"&gt;52",IF(I106/O106&gt;52,"&gt;52", MAX(0,I106/O106-2))))))</f>
        <v>&gt;52</v>
      </c>
      <c r="Q106" s="191"/>
      <c r="R106" s="185"/>
    </row>
    <row r="107" spans="1:20" s="61" customFormat="1" ht="10.7" customHeight="1" x14ac:dyDescent="0.2">
      <c r="A107" s="191"/>
      <c r="B107" s="162"/>
      <c r="C107" s="151"/>
      <c r="D107" s="152"/>
      <c r="E107" s="152"/>
      <c r="F107" s="153"/>
      <c r="G107" s="154"/>
      <c r="H107" s="183"/>
      <c r="I107" s="153"/>
      <c r="J107" s="154"/>
      <c r="K107" s="154"/>
      <c r="L107" s="154"/>
      <c r="M107" s="154"/>
      <c r="N107" s="46"/>
      <c r="O107" s="45"/>
      <c r="P107" s="41"/>
      <c r="Q107" s="191"/>
      <c r="R107" s="185"/>
    </row>
    <row r="108" spans="1:20" s="61" customFormat="1" ht="10.7" customHeight="1" x14ac:dyDescent="0.2">
      <c r="A108" s="2"/>
      <c r="B108" s="223" t="s">
        <v>126</v>
      </c>
      <c r="C108" s="151">
        <f>'[5]Maj Pel Combined'!F36</f>
        <v>10.595000000000001</v>
      </c>
      <c r="D108" s="152">
        <f>F108-VLOOKUP(B108,[4]quotas!$B$85:$W$120,6,FALSE)</f>
        <v>-41.099999999999994</v>
      </c>
      <c r="E108" s="152">
        <f t="shared" si="21"/>
        <v>58.800000000000011</v>
      </c>
      <c r="F108" s="153">
        <f>VLOOKUP(B108,[4]quotas!$B$46:$W$84,6,FALSE)</f>
        <v>69.39500000000001</v>
      </c>
      <c r="G108" s="154">
        <f>VLOOKUP(B108,[4]Cumulative!$A$56:$X$91,7,FALSE)+VLOOKUP(B130,[4]Cumulative!$A$56:$X$91,8,FALSE)</f>
        <v>4.9785700007527964</v>
      </c>
      <c r="H108" s="183">
        <f t="shared" si="22"/>
        <v>7.1742488662768151</v>
      </c>
      <c r="I108" s="153">
        <f t="shared" si="23"/>
        <v>64.416429999247214</v>
      </c>
      <c r="J108" s="154">
        <f>VLOOKUP(B108,[4]Weeks!$A$125:$X$161,7,FALSE)-VLOOKUP(B108,[4]Weeks!$A$165:$X$200,7,FALSE)+ VLOOKUP(B108,[4]Weeks!$A$125:$X$161,8,FALSE)-VLOOKUP(B108,[4]Weeks!$A$165:$X$200,8,FALSE)</f>
        <v>0.1582499999999909</v>
      </c>
      <c r="K108" s="154">
        <f>VLOOKUP(B108,[4]Weeks!$A$85:$X$121,7,FALSE)-VLOOKUP(B108,[4]Weeks!$A$125:$X$161,7,FALSE)+ VLOOKUP(B108,[4]Weeks!$A$85:$X$121,8,FALSE)-VLOOKUP(B108,[4]Weeks!$A$125:$X$161,8,FALSE)</f>
        <v>0.60524999999999984</v>
      </c>
      <c r="L108" s="154">
        <f>VLOOKUP(B108,[4]Weeks!$A$44:$X$81,7,FALSE)-VLOOKUP(B108,[4]Weeks!$A$85:$X$121,7,FALSE)+ VLOOKUP(B108,[4]Weeks!$A$44:$X$81,8,FALSE)-VLOOKUP(B108,[4]Weeks!$A$85:$X$121,8,FALSE)</f>
        <v>0.4134500001072885</v>
      </c>
      <c r="M108" s="154">
        <f>VLOOKUP(B108,[4]Weeks!$A$3:$X$39,7,FALSE)-VLOOKUP(B108,[4]Weeks!$A$44:$X$81,7,FALSE)+ VLOOKUP(B108,[4]Weeks!$A$3:$X$39,8,FALSE)-VLOOKUP(B108,[4]Weeks!$A$44:$X$81,8,FALSE)</f>
        <v>0.16525000108778354</v>
      </c>
      <c r="N108" s="46">
        <f t="shared" si="19"/>
        <v>1.5596979810078671</v>
      </c>
      <c r="O108" s="45">
        <f t="shared" si="20"/>
        <v>0.33555000029876569</v>
      </c>
      <c r="P108" s="41" t="str">
        <f>IF(ISNUMBER(VLOOKUP(B108,[4]CLOSURES!B:BI,6,FALSE)),TEXT(VLOOKUP(B108,[4]CLOSURES!B:BI,6,FALSE),"ddmmm"),IF(F108&lt;=0,0,IF(I108&lt;=0,0,IF(AND(F108&gt;0,O108&lt;=0),"&gt;52",IF(I108/O108&gt;52,"&gt;52", MAX(0,I108/O108-2))))))</f>
        <v>&gt;52</v>
      </c>
      <c r="Q108" s="191"/>
      <c r="R108" s="185"/>
    </row>
    <row r="109" spans="1:20" s="61" customFormat="1" ht="10.7" customHeight="1" x14ac:dyDescent="0.2">
      <c r="A109" s="2"/>
      <c r="B109" s="223" t="s">
        <v>127</v>
      </c>
      <c r="C109" s="151">
        <f>'[5]Maj Pel Combined'!F37</f>
        <v>0</v>
      </c>
      <c r="D109" s="152">
        <f>F109-VLOOKUP(B109,[4]quotas!$B$85:$W$120,6,FALSE)</f>
        <v>0</v>
      </c>
      <c r="E109" s="152">
        <f t="shared" si="21"/>
        <v>0</v>
      </c>
      <c r="F109" s="153">
        <f>VLOOKUP(B109,[4]quotas!$B$46:$W$84,6,FALSE)</f>
        <v>0</v>
      </c>
      <c r="G109" s="154">
        <f>VLOOKUP(B109,[4]Cumulative!$A$56:$X$91,7,FALSE)+VLOOKUP(B131,[4]Cumulative!$A$56:$X$91,8,FALSE)</f>
        <v>0</v>
      </c>
      <c r="H109" s="183">
        <f t="shared" si="22"/>
        <v>0</v>
      </c>
      <c r="I109" s="153">
        <f t="shared" si="23"/>
        <v>0</v>
      </c>
      <c r="J109" s="154">
        <f>VLOOKUP(B109,[4]Weeks!$A$125:$X$161,7,FALSE)-VLOOKUP(B109,[4]Weeks!$A$165:$X$200,7,FALSE)+ VLOOKUP(B109,[4]Weeks!$A$125:$X$161,8,FALSE)-VLOOKUP(B109,[4]Weeks!$A$165:$X$200,8,FALSE)</f>
        <v>0</v>
      </c>
      <c r="K109" s="154">
        <f>VLOOKUP(B109,[4]Weeks!$A$85:$X$121,7,FALSE)-VLOOKUP(B109,[4]Weeks!$A$125:$X$161,7,FALSE)+ VLOOKUP(B109,[4]Weeks!$A$85:$X$121,8,FALSE)-VLOOKUP(B109,[4]Weeks!$A$125:$X$161,8,FALSE)</f>
        <v>0</v>
      </c>
      <c r="L109" s="154">
        <f>VLOOKUP(B109,[4]Weeks!$A$44:$X$81,7,FALSE)-VLOOKUP(B109,[4]Weeks!$A$85:$X$121,7,FALSE)+ VLOOKUP(B109,[4]Weeks!$A$44:$X$81,8,FALSE)-VLOOKUP(B109,[4]Weeks!$A$85:$X$121,8,FALSE)</f>
        <v>0</v>
      </c>
      <c r="M109" s="154">
        <f>VLOOKUP(B109,[4]Weeks!$A$3:$X$39,7,FALSE)-VLOOKUP(B109,[4]Weeks!$A$44:$X$81,7,FALSE)+ VLOOKUP(B109,[4]Weeks!$A$3:$X$39,8,FALSE)-VLOOKUP(B109,[4]Weeks!$A$44:$X$81,8,FALSE)</f>
        <v>0</v>
      </c>
      <c r="N109" s="46" t="str">
        <f t="shared" si="19"/>
        <v>-</v>
      </c>
      <c r="O109" s="45">
        <f t="shared" si="20"/>
        <v>0</v>
      </c>
      <c r="P109" s="41">
        <f>IF(ISNUMBER(VLOOKUP(B109,[4]CLOSURES!B:BI,6,FALSE)),TEXT(VLOOKUP(B109,[4]CLOSURES!B:BI,6,FALSE),"ddmmm"),IF(F109&lt;=0,0,IF(I109&lt;=0,0,IF(AND(F109&gt;0,O109&lt;=0),"&gt;52",IF(I109/O109&gt;52,"&gt;52", MAX(0,I109/O109-2))))))</f>
        <v>0</v>
      </c>
      <c r="Q109" s="191"/>
      <c r="R109" s="185"/>
    </row>
    <row r="110" spans="1:20" s="191" customFormat="1" ht="10.7" customHeight="1" x14ac:dyDescent="0.2">
      <c r="A110" s="169"/>
      <c r="B110" s="223" t="s">
        <v>128</v>
      </c>
      <c r="C110" s="151">
        <f>'[5]Maj Pel Combined'!F38</f>
        <v>1064.0540000000001</v>
      </c>
      <c r="D110" s="152">
        <f>F110-VLOOKUP(B110,[4]quotas!$B$85:$W$120,6,FALSE)</f>
        <v>90</v>
      </c>
      <c r="E110" s="152">
        <f t="shared" si="21"/>
        <v>-257.5</v>
      </c>
      <c r="F110" s="153">
        <f>VLOOKUP(B110,[4]quotas!$B$46:$W$84,6,FALSE)</f>
        <v>806.55400000000009</v>
      </c>
      <c r="G110" s="154">
        <f>VLOOKUP(B110,[4]Cumulative!$A$56:$X$91,7,FALSE)+VLOOKUP(B132,[4]Cumulative!$A$56:$X$91,8,FALSE)-'[4]Special Conditions stocks'!C147</f>
        <v>688.7599999999992</v>
      </c>
      <c r="H110" s="183">
        <f t="shared" si="22"/>
        <v>85.395398200244387</v>
      </c>
      <c r="I110" s="153">
        <f t="shared" si="23"/>
        <v>117.79400000000089</v>
      </c>
      <c r="J110" s="154">
        <f>VLOOKUP(B110,[4]Weeks!$A$125:$X$161,7,FALSE)-VLOOKUP(B110,[4]Weeks!$A$165:$X$200,7,FALSE)+ VLOOKUP(B110,[4]Weeks!$A$125:$X$161,8,FALSE)-VLOOKUP(B110,[4]Weeks!$A$165:$X$200,8,FALSE)</f>
        <v>118.69999999999943</v>
      </c>
      <c r="K110" s="154">
        <f>VLOOKUP(B110,[4]Weeks!$A$85:$X$121,7,FALSE)-VLOOKUP(B110,[4]Weeks!$A$125:$X$161,7,FALSE)+ VLOOKUP(B110,[4]Weeks!$A$85:$X$121,8,FALSE)-VLOOKUP(B110,[4]Weeks!$A$125:$X$161,8,FALSE)</f>
        <v>90.93000000000022</v>
      </c>
      <c r="L110" s="154">
        <f>VLOOKUP(B110,[4]Weeks!$A$44:$X$81,7,FALSE)-VLOOKUP(B110,[4]Weeks!$A$85:$X$121,7,FALSE)+ VLOOKUP(B110,[4]Weeks!$A$44:$X$81,8,FALSE)-VLOOKUP(B110,[4]Weeks!$A$85:$X$121,8,FALSE)</f>
        <v>43.999999999999908</v>
      </c>
      <c r="M110" s="154">
        <f>VLOOKUP(B110,[4]Weeks!$A$3:$X$39,7,FALSE)-VLOOKUP(B110,[4]Weeks!$A$44:$X$81,7,FALSE)+ VLOOKUP(B110,[4]Weeks!$A$3:$X$39,8,FALSE)-VLOOKUP(B110,[4]Weeks!$A$44:$X$81,8,FALSE)</f>
        <v>69.250000000000085</v>
      </c>
      <c r="N110" s="46">
        <f t="shared" si="19"/>
        <v>6.5081283468696212</v>
      </c>
      <c r="O110" s="45">
        <f t="shared" si="20"/>
        <v>80.719999999999914</v>
      </c>
      <c r="P110" s="41">
        <f>IF(ISNUMBER(VLOOKUP(B110,[4]CLOSURES!B:BI,6,FALSE)),TEXT(VLOOKUP(B110,[4]CLOSURES!B:BI,6,FALSE),"ddmmm"),IF(F110&lt;=0,0,IF(I110&lt;=0,0,IF(AND(F110&gt;0,O110&lt;=0),"&gt;52",IF(I110/O110&gt;52,"&gt;52", MAX(0,I110/O110-2))))))</f>
        <v>0</v>
      </c>
      <c r="R110" s="185"/>
      <c r="T110" s="61"/>
    </row>
    <row r="111" spans="1:20" s="191" customFormat="1" ht="10.7" customHeight="1" x14ac:dyDescent="0.2">
      <c r="A111" s="2"/>
      <c r="B111" s="223" t="s">
        <v>129</v>
      </c>
      <c r="C111" s="151">
        <f>'[5]Maj Pel Combined'!F39</f>
        <v>0</v>
      </c>
      <c r="D111" s="152">
        <f>F111-VLOOKUP(B111,[4]quotas!$B$85:$W$120,6,FALSE)</f>
        <v>0</v>
      </c>
      <c r="E111" s="152">
        <f t="shared" si="21"/>
        <v>0</v>
      </c>
      <c r="F111" s="153">
        <f>VLOOKUP(B111,[4]quotas!$B$46:$W$84,6,FALSE)</f>
        <v>0</v>
      </c>
      <c r="G111" s="154">
        <f>VLOOKUP(B111,[4]Cumulative!$A$56:$X$91,7,FALSE)+VLOOKUP(B133,[4]Cumulative!$A$56:$X$91,8,FALSE)</f>
        <v>0</v>
      </c>
      <c r="H111" s="183">
        <f t="shared" si="22"/>
        <v>0</v>
      </c>
      <c r="I111" s="153">
        <f t="shared" si="23"/>
        <v>0</v>
      </c>
      <c r="J111" s="154">
        <f>VLOOKUP(B111,[4]Weeks!$A$125:$X$161,7,FALSE)-VLOOKUP(B111,[4]Weeks!$A$165:$X$200,7,FALSE)+ VLOOKUP(B111,[4]Weeks!$A$125:$X$161,8,FALSE)-VLOOKUP(B111,[4]Weeks!$A$165:$X$200,8,FALSE)</f>
        <v>0</v>
      </c>
      <c r="K111" s="154">
        <f>VLOOKUP(B111,[4]Weeks!$A$85:$X$121,7,FALSE)-VLOOKUP(B111,[4]Weeks!$A$125:$X$161,7,FALSE)+ VLOOKUP(B111,[4]Weeks!$A$85:$X$121,8,FALSE)-VLOOKUP(B111,[4]Weeks!$A$125:$X$161,8,FALSE)</f>
        <v>0</v>
      </c>
      <c r="L111" s="154">
        <f>VLOOKUP(B111,[4]Weeks!$A$44:$X$81,7,FALSE)-VLOOKUP(B111,[4]Weeks!$A$85:$X$121,7,FALSE)+ VLOOKUP(B111,[4]Weeks!$A$44:$X$81,8,FALSE)-VLOOKUP(B111,[4]Weeks!$A$85:$X$121,8,FALSE)</f>
        <v>0</v>
      </c>
      <c r="M111" s="154">
        <f>VLOOKUP(B111,[4]Weeks!$A$3:$X$39,7,FALSE)-VLOOKUP(B111,[4]Weeks!$A$44:$X$81,7,FALSE)+ VLOOKUP(B111,[4]Weeks!$A$3:$X$39,8,FALSE)-VLOOKUP(B111,[4]Weeks!$A$44:$X$81,8,FALSE)</f>
        <v>0</v>
      </c>
      <c r="N111" s="48">
        <f>SUM(N101:N110)</f>
        <v>8.0678263278774889</v>
      </c>
      <c r="O111" s="45">
        <f t="shared" si="20"/>
        <v>0</v>
      </c>
      <c r="P111" s="41">
        <f>IF(ISNUMBER(VLOOKUP(B111,[4]CLOSURES!B:BI,6,FALSE)),TEXT(VLOOKUP(B111,[4]CLOSURES!B:BI,6,FALSE),"ddmmm"),IF(F111&lt;=0,0,IF(I111&lt;=0,0,IF(AND(F111&gt;0,O111&lt;=0),"&gt;52",IF(I111/O111&gt;52,"&gt;52", MAX(0,I111/O111-2))))))</f>
        <v>0</v>
      </c>
      <c r="R111" s="185"/>
      <c r="T111" s="61"/>
    </row>
    <row r="112" spans="1:20" s="191" customFormat="1" ht="10.7" customHeight="1" x14ac:dyDescent="0.2">
      <c r="A112" s="2"/>
      <c r="B112" s="223"/>
      <c r="C112" s="151"/>
      <c r="D112" s="154"/>
      <c r="E112" s="152"/>
      <c r="F112" s="153"/>
      <c r="G112" s="154"/>
      <c r="H112" s="183"/>
      <c r="I112" s="153"/>
      <c r="J112" s="154"/>
      <c r="K112" s="154"/>
      <c r="L112" s="154"/>
      <c r="M112" s="154"/>
      <c r="N112" s="46"/>
      <c r="O112" s="45"/>
      <c r="P112" s="41"/>
      <c r="R112" s="185"/>
      <c r="T112" s="61"/>
    </row>
    <row r="113" spans="1:18" s="61" customFormat="1" ht="10.7" customHeight="1" x14ac:dyDescent="0.2">
      <c r="A113" s="2"/>
      <c r="B113" s="196" t="s">
        <v>130</v>
      </c>
      <c r="C113" s="151">
        <f>SUM(C108:C111)</f>
        <v>1074.6490000000001</v>
      </c>
      <c r="D113" s="152">
        <f>SUM(D108:D112)</f>
        <v>48.900000000000006</v>
      </c>
      <c r="E113" s="152">
        <f t="shared" si="21"/>
        <v>-198.70000000000005</v>
      </c>
      <c r="F113" s="153">
        <f>SUM(F108:F111)</f>
        <v>875.94900000000007</v>
      </c>
      <c r="G113" s="153">
        <f>SUM(G108:G111)</f>
        <v>693.73857000075202</v>
      </c>
      <c r="H113" s="183">
        <v>0</v>
      </c>
      <c r="I113" s="153">
        <f t="shared" si="23"/>
        <v>182.21042999924805</v>
      </c>
      <c r="J113" s="154">
        <f>SUM(J108:J111)</f>
        <v>118.85824999999943</v>
      </c>
      <c r="K113" s="154">
        <f>SUM(K108:K111)</f>
        <v>91.535250000000218</v>
      </c>
      <c r="L113" s="154">
        <f>SUM(L108:L111)</f>
        <v>44.413450000107197</v>
      </c>
      <c r="M113" s="154">
        <f>SUM(M108:M111)</f>
        <v>69.41525000108787</v>
      </c>
      <c r="N113" s="46">
        <f>IF(C113="*","*",IF(C113&gt;0,M113/C113*100,"-"))</f>
        <v>6.4593416083844915</v>
      </c>
      <c r="O113" s="45">
        <f>IF(C113="*","*",SUM(J113:M113)/4)</f>
        <v>81.05555000029868</v>
      </c>
      <c r="P113" s="41">
        <f>IF(ISNUMBER(VLOOKUP(B113,[4]CLOSURES!B:BI,6,FALSE)),TEXT(VLOOKUP(B113,[4]CLOSURES!B:BI,6,FALSE),"ddmmm"),IF(F113&lt;=0,0,IF(I113&lt;=0,0,IF(AND(F113&gt;0,O113&lt;=0),"&gt;52",IF(I113/O113&gt;52,"&gt;52", MAX(0,I113/O113-2))))))</f>
        <v>0.24796981821203623</v>
      </c>
      <c r="Q113" s="191"/>
      <c r="R113" s="185"/>
    </row>
    <row r="114" spans="1:18" s="61" customFormat="1" ht="10.7" customHeight="1" x14ac:dyDescent="0.2">
      <c r="A114" s="2"/>
      <c r="B114" s="186"/>
      <c r="C114" s="151"/>
      <c r="D114" s="152"/>
      <c r="E114" s="152"/>
      <c r="F114" s="153"/>
      <c r="G114" s="154"/>
      <c r="H114" s="183"/>
      <c r="I114" s="153"/>
      <c r="J114" s="154"/>
      <c r="K114" s="154"/>
      <c r="L114" s="154"/>
      <c r="M114" s="154"/>
      <c r="N114" s="46"/>
      <c r="O114" s="45"/>
      <c r="P114" s="41"/>
      <c r="Q114" s="191"/>
      <c r="R114" s="185"/>
    </row>
    <row r="115" spans="1:18" s="61" customFormat="1" ht="10.7" customHeight="1" x14ac:dyDescent="0.2">
      <c r="A115" s="2"/>
      <c r="B115" s="187" t="s">
        <v>91</v>
      </c>
      <c r="C115" s="157">
        <f>SUM(C113+C106)</f>
        <v>1178.3610000000001</v>
      </c>
      <c r="D115" s="160">
        <f>D106+D113</f>
        <v>-41.099999999999994</v>
      </c>
      <c r="E115" s="160">
        <f t="shared" si="21"/>
        <v>-288.70000000000005</v>
      </c>
      <c r="F115" s="156">
        <f>F113+F106</f>
        <v>889.66100000000006</v>
      </c>
      <c r="G115" s="155">
        <f>G106+G113</f>
        <v>693.91857000075197</v>
      </c>
      <c r="H115" s="188">
        <f t="shared" si="22"/>
        <v>77.998088035864441</v>
      </c>
      <c r="I115" s="156">
        <f>IF(F115="*","*",F115-G115)</f>
        <v>195.74242999924809</v>
      </c>
      <c r="J115" s="155">
        <f>J106+J113</f>
        <v>118.85824999999943</v>
      </c>
      <c r="K115" s="155">
        <f>K106+K113</f>
        <v>91.535250000000218</v>
      </c>
      <c r="L115" s="155">
        <f>L106+L113</f>
        <v>44.413450000107197</v>
      </c>
      <c r="M115" s="155">
        <f>M106+M113</f>
        <v>69.41525000108787</v>
      </c>
      <c r="N115" s="58">
        <f>IF(C115="*","*",IF(C115&gt;0,M115/C115*100,"-"))</f>
        <v>5.8908305689926825</v>
      </c>
      <c r="O115" s="52">
        <f>IF(C115="*","*",SUM(J115:M115)/4)</f>
        <v>81.05555000029868</v>
      </c>
      <c r="P115" s="54">
        <f>IF(ISNUMBER(VLOOKUP(B115,[4]CLOSURES!B:BI,6,FALSE)),TEXT(VLOOKUP(B115,[4]CLOSURES!B:BI,6,FALSE),"ddmmm"),IF(F115&lt;=0,0,IF(I115&lt;=0,0,IF(AND(F115&gt;0,O115&lt;=0),"&gt;52",IF(I115/O115&gt;52,"&gt;52", MAX(0,I115/O115-2))))))</f>
        <v>0.41491705378011501</v>
      </c>
      <c r="Q115" s="191"/>
      <c r="R115" s="185"/>
    </row>
    <row r="116" spans="1:18" s="191" customFormat="1" ht="10.7" customHeight="1" x14ac:dyDescent="0.2">
      <c r="A116" s="61"/>
      <c r="F116" s="192"/>
      <c r="I116" s="193"/>
      <c r="N116" s="194"/>
      <c r="P116" s="194"/>
      <c r="R116" s="185"/>
    </row>
    <row r="117" spans="1:18" s="191" customFormat="1" ht="10.7" hidden="1" customHeight="1" x14ac:dyDescent="0.2">
      <c r="A117" s="61"/>
      <c r="F117" s="192"/>
      <c r="I117" s="193"/>
      <c r="N117" s="194"/>
      <c r="P117" s="194"/>
      <c r="R117" s="185"/>
    </row>
    <row r="118" spans="1:18" s="191" customFormat="1" ht="10.7" hidden="1" customHeight="1" x14ac:dyDescent="0.2">
      <c r="A118" s="61"/>
      <c r="B118" s="14"/>
      <c r="C118" s="15" t="str">
        <f>C5</f>
        <v>Initial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5"/>
    </row>
    <row r="119" spans="1:18" s="191" customFormat="1" ht="10.7" hidden="1" customHeight="1" x14ac:dyDescent="0.2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5"/>
    </row>
    <row r="120" spans="1:18" s="191" customFormat="1" ht="10.7" hidden="1" customHeight="1" x14ac:dyDescent="0.2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f>$J7</f>
        <v>44468</v>
      </c>
      <c r="K120" s="33">
        <f>$K7</f>
        <v>44475</v>
      </c>
      <c r="L120" s="33">
        <f>$L7</f>
        <v>44482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5"/>
    </row>
    <row r="121" spans="1:18" s="191" customFormat="1" ht="10.7" hidden="1" customHeight="1" x14ac:dyDescent="0.2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5"/>
    </row>
    <row r="122" spans="1:18" s="191" customFormat="1" ht="10.7" hidden="1" customHeight="1" x14ac:dyDescent="0.2">
      <c r="A122" s="61"/>
      <c r="B122" s="40"/>
      <c r="C122" s="241" t="s">
        <v>117</v>
      </c>
      <c r="D122" s="242"/>
      <c r="E122" s="242"/>
      <c r="F122" s="242"/>
      <c r="G122" s="242"/>
      <c r="H122" s="242"/>
      <c r="I122" s="242"/>
      <c r="J122" s="242"/>
      <c r="K122" s="242"/>
      <c r="L122" s="242"/>
      <c r="M122" s="242"/>
      <c r="N122" s="242"/>
      <c r="O122" s="242"/>
      <c r="P122" s="41" t="s">
        <v>4</v>
      </c>
      <c r="R122" s="185"/>
    </row>
    <row r="123" spans="1:18" s="191" customFormat="1" ht="10.7" hidden="1" customHeight="1" x14ac:dyDescent="0.2">
      <c r="A123" s="61"/>
      <c r="B123" s="222" t="s">
        <v>121</v>
      </c>
      <c r="C123" s="151">
        <f>'[5]Maj Pel Combined'!G29</f>
        <v>3.669</v>
      </c>
      <c r="D123" s="152">
        <f>F123-VLOOKUP(B123,[4]quotas!$B$85:$W$120,7,FALSE)</f>
        <v>0</v>
      </c>
      <c r="E123" s="152">
        <f>F123-C123</f>
        <v>0</v>
      </c>
      <c r="F123" s="153">
        <f>VLOOKUP(B123,[4]quotas!$B$46:$W$84,7,FALSE)</f>
        <v>3.669</v>
      </c>
      <c r="G123" s="154">
        <f>VLOOKUP(B123,[4]Cumulative!$A$56:$X$91,8,FALSE)</f>
        <v>0</v>
      </c>
      <c r="H123" s="183">
        <f>IF(AND(F123=0,G123&gt;0),"n/a",IF(F123=0,0,100*G123/F123))</f>
        <v>0</v>
      </c>
      <c r="I123" s="153">
        <f>IF(F123="*","*",F123-G123)</f>
        <v>3.669</v>
      </c>
      <c r="J123" s="154">
        <f>VLOOKUP(B123,[4]Weeks!$A$125:$X$161,8,FALSE)-VLOOKUP(B123,[4]Weeks!$A$165:$X$200,8,FALSE)</f>
        <v>0</v>
      </c>
      <c r="K123" s="154">
        <f>VLOOKUP(B123,[4]Weeks!$A$85:$X$121,8,FALSE)-VLOOKUP(B123,[4]Weeks!$A$125:$X$161,8,FALSE)</f>
        <v>0</v>
      </c>
      <c r="L123" s="154">
        <f>VLOOKUP(B123,[4]Weeks!$A$44:$X$81,8,FALSE)-VLOOKUP(B123,[4]Weeks!$A$85:$X$121,8,FALSE)</f>
        <v>0</v>
      </c>
      <c r="M123" s="154">
        <f>VLOOKUP(B123,[4]Weeks!$A$3:$X$39,8,FALSE)-VLOOKUP(B123,[4]Weeks!$A$44:$X$81,8,FALSE)</f>
        <v>0</v>
      </c>
      <c r="N123" s="46">
        <f t="shared" ref="N123:N132" si="24">IF(C123="*","*",IF(C123&gt;0,M123/C123*100,"-"))</f>
        <v>0</v>
      </c>
      <c r="O123" s="45">
        <f t="shared" ref="O123:O133" si="25">IF(C123="*","*",SUM(J123:M123)/4)</f>
        <v>0</v>
      </c>
      <c r="P123" s="41" t="str">
        <f>IF(ISNUMBER(VLOOKUP(B123,[4]CLOSURES!B:BI,7,FALSE)),TEXT(VLOOKUP(B123,[4]CLOSURES!B:BI,7,FALSE),"ddmmm"),IF(F123&lt;=0,0,IF(I123&lt;=0,0,IF(AND(F123&gt;0,O123&lt;=0),"&gt;52",IF(I123/O123&gt;52,"&gt;52", MAX(0,I123/O123-2))))))</f>
        <v>01Jan</v>
      </c>
      <c r="R123" s="185"/>
    </row>
    <row r="124" spans="1:18" s="191" customFormat="1" ht="10.7" hidden="1" customHeight="1" x14ac:dyDescent="0.2">
      <c r="A124" s="61"/>
      <c r="B124" s="222" t="s">
        <v>122</v>
      </c>
      <c r="C124" s="151">
        <f>'[5]Maj Pel Combined'!G30</f>
        <v>0</v>
      </c>
      <c r="D124" s="152">
        <f>F124-VLOOKUP(B124,[4]quotas!$B$85:$W$120,7,FALSE)</f>
        <v>0</v>
      </c>
      <c r="E124" s="152">
        <f t="shared" ref="E124:E137" si="26">F124-C124</f>
        <v>0</v>
      </c>
      <c r="F124" s="153">
        <f>VLOOKUP(B124,[4]quotas!$B$46:$W$84,7,FALSE)</f>
        <v>0</v>
      </c>
      <c r="G124" s="154">
        <f>VLOOKUP(B124,[4]Cumulative!$A$56:$X$91,8,FALSE)</f>
        <v>0</v>
      </c>
      <c r="H124" s="183">
        <f t="shared" ref="H124:H135" si="27">IF(AND(F124=0,G124&gt;0),"n/a",IF(F124=0,0,100*G124/F124))</f>
        <v>0</v>
      </c>
      <c r="I124" s="153">
        <f t="shared" ref="I124:I135" si="28">IF(F124="*","*",F124-G124)</f>
        <v>0</v>
      </c>
      <c r="J124" s="154">
        <f>VLOOKUP(B124,[4]Weeks!$A$125:$X$161,8,FALSE)-VLOOKUP(B124,[4]Weeks!$A$165:$X$200,8,FALSE)</f>
        <v>0</v>
      </c>
      <c r="K124" s="154">
        <f>VLOOKUP(B124,[4]Weeks!$A$85:$X$121,8,FALSE)-VLOOKUP(B124,[4]Weeks!$A$125:$X$161,8,FALSE)</f>
        <v>0</v>
      </c>
      <c r="L124" s="154">
        <f>VLOOKUP(B124,[4]Weeks!$A$44:$X$81,8,FALSE)-VLOOKUP(B124,[4]Weeks!$A$85:$X$121,8,FALSE)</f>
        <v>0</v>
      </c>
      <c r="M124" s="154">
        <f>VLOOKUP(B124,[4]Weeks!$A$3:$X$39,8,FALSE)-VLOOKUP(B124,[4]Weeks!$A$44:$X$81,8,FALSE)</f>
        <v>0</v>
      </c>
      <c r="N124" s="46" t="str">
        <f t="shared" si="24"/>
        <v>-</v>
      </c>
      <c r="O124" s="45">
        <f t="shared" si="25"/>
        <v>0</v>
      </c>
      <c r="P124" s="41" t="str">
        <f>IF(ISNUMBER(VLOOKUP(B124,[4]CLOSURES!B:BI,7,FALSE)),TEXT(VLOOKUP(B124,[4]CLOSURES!B:BI,7,FALSE),"ddmmm"),IF(F124&lt;=0,0,IF(I124&lt;=0,0,IF(AND(F124&gt;0,O124&lt;=0),"&gt;52",IF(I124/O124&gt;52,"&gt;52", MAX(0,I124/O124-2))))))</f>
        <v>01Jan</v>
      </c>
      <c r="R124" s="185"/>
    </row>
    <row r="125" spans="1:18" s="191" customFormat="1" ht="10.7" hidden="1" customHeight="1" x14ac:dyDescent="0.2">
      <c r="A125" s="61"/>
      <c r="B125" s="222" t="s">
        <v>123</v>
      </c>
      <c r="C125" s="151">
        <f>'[5]Maj Pel Combined'!G31</f>
        <v>100.04300000000001</v>
      </c>
      <c r="D125" s="152">
        <f>F125-VLOOKUP(B125,[4]quotas!$B$85:$W$120,7,FALSE)</f>
        <v>0</v>
      </c>
      <c r="E125" s="152">
        <f t="shared" si="26"/>
        <v>0</v>
      </c>
      <c r="F125" s="153">
        <f>VLOOKUP(B125,[4]quotas!$B$46:$W$84,7,FALSE)</f>
        <v>100.04300000000001</v>
      </c>
      <c r="G125" s="154">
        <f>VLOOKUP(B125,[4]Cumulative!$A$56:$X$91,8,FALSE)</f>
        <v>0</v>
      </c>
      <c r="H125" s="183">
        <f t="shared" si="27"/>
        <v>0</v>
      </c>
      <c r="I125" s="153">
        <f t="shared" si="28"/>
        <v>100.04300000000001</v>
      </c>
      <c r="J125" s="154">
        <f>VLOOKUP(B125,[4]Weeks!$A$125:$X$161,8,FALSE)-VLOOKUP(B125,[4]Weeks!$A$165:$X$200,8,FALSE)</f>
        <v>0</v>
      </c>
      <c r="K125" s="154">
        <f>VLOOKUP(B125,[4]Weeks!$A$85:$X$121,8,FALSE)-VLOOKUP(B125,[4]Weeks!$A$125:$X$161,8,FALSE)</f>
        <v>0</v>
      </c>
      <c r="L125" s="154">
        <f>VLOOKUP(B125,[4]Weeks!$A$44:$X$81,8,FALSE)-VLOOKUP(B125,[4]Weeks!$A$85:$X$121,8,FALSE)</f>
        <v>0</v>
      </c>
      <c r="M125" s="154">
        <f>VLOOKUP(B125,[4]Weeks!$A$3:$X$39,8,FALSE)-VLOOKUP(B125,[4]Weeks!$A$44:$X$81,8,FALSE)</f>
        <v>0</v>
      </c>
      <c r="N125" s="46">
        <f t="shared" si="24"/>
        <v>0</v>
      </c>
      <c r="O125" s="45">
        <f t="shared" si="25"/>
        <v>0</v>
      </c>
      <c r="P125" s="41" t="str">
        <f>IF(ISNUMBER(VLOOKUP(B125,[4]CLOSURES!B:BI,7,FALSE)),TEXT(VLOOKUP(B125,[4]CLOSURES!B:BI,7,FALSE),"ddmmm"),IF(F125&lt;=0,0,IF(I125&lt;=0,0,IF(AND(F125&gt;0,O125&lt;=0),"&gt;52",IF(I125/O125&gt;52,"&gt;52", MAX(0,I125/O125-2))))))</f>
        <v>01Jan</v>
      </c>
      <c r="R125" s="185"/>
    </row>
    <row r="126" spans="1:18" s="191" customFormat="1" ht="10.7" hidden="1" customHeight="1" x14ac:dyDescent="0.2">
      <c r="A126" s="61"/>
      <c r="B126" s="222" t="s">
        <v>124</v>
      </c>
      <c r="C126" s="151">
        <f>'[5]Maj Pel Combined'!G32</f>
        <v>0</v>
      </c>
      <c r="D126" s="152">
        <f>F126-VLOOKUP(B126,[4]quotas!$B$85:$W$120,7,FALSE)</f>
        <v>0</v>
      </c>
      <c r="E126" s="152">
        <f t="shared" si="26"/>
        <v>0</v>
      </c>
      <c r="F126" s="153">
        <f>VLOOKUP(B126,[4]quotas!$B$46:$W$84,7,FALSE)</f>
        <v>0</v>
      </c>
      <c r="G126" s="154">
        <f>VLOOKUP(B126,[4]Cumulative!$A$56:$X$91,8,FALSE)</f>
        <v>0</v>
      </c>
      <c r="H126" s="183">
        <f t="shared" si="27"/>
        <v>0</v>
      </c>
      <c r="I126" s="153">
        <f t="shared" si="28"/>
        <v>0</v>
      </c>
      <c r="J126" s="154">
        <f>VLOOKUP(B126,[4]Weeks!$A$125:$X$161,8,FALSE)-VLOOKUP(B126,[4]Weeks!$A$165:$X$200,8,FALSE)</f>
        <v>0</v>
      </c>
      <c r="K126" s="154">
        <f>VLOOKUP(B126,[4]Weeks!$A$85:$X$121,8,FALSE)-VLOOKUP(B126,[4]Weeks!$A$125:$X$161,8,FALSE)</f>
        <v>0</v>
      </c>
      <c r="L126" s="154">
        <f>VLOOKUP(B126,[4]Weeks!$A$44:$X$81,8,FALSE)-VLOOKUP(B126,[4]Weeks!$A$85:$X$121,8,FALSE)</f>
        <v>0</v>
      </c>
      <c r="M126" s="154">
        <f>VLOOKUP(B126,[4]Weeks!$A$3:$X$39,8,FALSE)-VLOOKUP(B126,[4]Weeks!$A$44:$X$81,8,FALSE)</f>
        <v>0</v>
      </c>
      <c r="N126" s="46" t="str">
        <f t="shared" si="24"/>
        <v>-</v>
      </c>
      <c r="O126" s="45">
        <f t="shared" si="25"/>
        <v>0</v>
      </c>
      <c r="P126" s="41" t="str">
        <f>IF(ISNUMBER(VLOOKUP(B126,[4]CLOSURES!B:BI,7,FALSE)),TEXT(VLOOKUP(B126,[4]CLOSURES!B:BI,7,FALSE),"ddmmm"),IF(F126&lt;=0,0,IF(I126&lt;=0,0,IF(AND(F126&gt;0,O126&lt;=0),"&gt;52",IF(I126/O126&gt;52,"&gt;52", MAX(0,I126/O126-2))))))</f>
        <v>01Jan</v>
      </c>
      <c r="R126" s="185"/>
    </row>
    <row r="127" spans="1:18" s="191" customFormat="1" ht="10.7" hidden="1" customHeight="1" x14ac:dyDescent="0.2">
      <c r="A127" s="61"/>
      <c r="B127" s="222"/>
      <c r="C127" s="151"/>
      <c r="D127" s="152"/>
      <c r="E127" s="152"/>
      <c r="F127" s="153"/>
      <c r="G127" s="154"/>
      <c r="H127" s="183"/>
      <c r="I127" s="153"/>
      <c r="J127" s="154"/>
      <c r="K127" s="154"/>
      <c r="L127" s="154"/>
      <c r="M127" s="154"/>
      <c r="N127" s="46"/>
      <c r="O127" s="45"/>
      <c r="P127" s="41"/>
      <c r="R127" s="185"/>
    </row>
    <row r="128" spans="1:18" s="191" customFormat="1" ht="10.7" hidden="1" customHeight="1" x14ac:dyDescent="0.2">
      <c r="A128" s="61"/>
      <c r="B128" s="162" t="s">
        <v>125</v>
      </c>
      <c r="C128" s="151">
        <f>SUM(C123:C126)</f>
        <v>103.712</v>
      </c>
      <c r="D128" s="152">
        <f>SUM(D123:D127)</f>
        <v>0</v>
      </c>
      <c r="E128" s="152">
        <f t="shared" si="26"/>
        <v>0</v>
      </c>
      <c r="F128" s="153">
        <f>SUM(F123:F126)</f>
        <v>103.712</v>
      </c>
      <c r="G128" s="153">
        <f>SUM(G123:G126)</f>
        <v>0</v>
      </c>
      <c r="H128" s="183">
        <f t="shared" si="27"/>
        <v>0</v>
      </c>
      <c r="I128" s="153">
        <f t="shared" si="28"/>
        <v>103.712</v>
      </c>
      <c r="J128" s="154">
        <f>SUM(J123:J126)</f>
        <v>0</v>
      </c>
      <c r="K128" s="154">
        <f>SUM(K123:K126)</f>
        <v>0</v>
      </c>
      <c r="L128" s="154">
        <f>SUM(L123:L126)</f>
        <v>0</v>
      </c>
      <c r="M128" s="154">
        <f>SUM(M123:M126)</f>
        <v>0</v>
      </c>
      <c r="N128" s="46">
        <f t="shared" si="24"/>
        <v>0</v>
      </c>
      <c r="O128" s="45">
        <f t="shared" si="25"/>
        <v>0</v>
      </c>
      <c r="P128" s="41" t="str">
        <f>IF(ISNUMBER(VLOOKUP(B128,[4]CLOSURES!B:BI,7,FALSE)),TEXT(VLOOKUP(B128,[4]CLOSURES!B:BI,7,FALSE),"ddmmm"),IF(F128&lt;=0,0,IF(I128&lt;=0,0,IF(AND(F128&gt;0,O128&lt;=0),"&gt;52",IF(I128/O128&gt;52,"&gt;52", MAX(0,I128/O128-2))))))</f>
        <v>&gt;52</v>
      </c>
      <c r="R128" s="185"/>
    </row>
    <row r="129" spans="1:254" s="191" customFormat="1" ht="11.25" hidden="1" customHeight="1" x14ac:dyDescent="0.2">
      <c r="B129" s="162"/>
      <c r="C129" s="151"/>
      <c r="D129" s="152"/>
      <c r="E129" s="152"/>
      <c r="F129" s="153"/>
      <c r="G129" s="154"/>
      <c r="H129" s="183"/>
      <c r="I129" s="153"/>
      <c r="J129" s="154"/>
      <c r="K129" s="154"/>
      <c r="L129" s="154"/>
      <c r="M129" s="154"/>
      <c r="N129" s="46"/>
      <c r="O129" s="45"/>
      <c r="P129" s="41"/>
      <c r="R129" s="185"/>
    </row>
    <row r="130" spans="1:254" s="191" customFormat="1" ht="12" hidden="1" customHeight="1" x14ac:dyDescent="0.2">
      <c r="A130" s="61"/>
      <c r="B130" s="223" t="s">
        <v>126</v>
      </c>
      <c r="C130" s="151">
        <f>'[5]Maj Pel Combined'!$G36</f>
        <v>10.595000000000001</v>
      </c>
      <c r="D130" s="152">
        <f>F130-VLOOKUP(B130,[4]quotas!$B$85:$W$120,7,FALSE)</f>
        <v>0</v>
      </c>
      <c r="E130" s="152">
        <f t="shared" si="26"/>
        <v>99.9</v>
      </c>
      <c r="F130" s="153">
        <f>VLOOKUP(B130,[4]quotas!$B$46:$W$84,7,FALSE)</f>
        <v>110.495</v>
      </c>
      <c r="G130" s="154">
        <f>VLOOKUP(B130,[4]Cumulative!$A$56:$X$91,8,FALSE)</f>
        <v>4.9785700007527964</v>
      </c>
      <c r="H130" s="183">
        <f t="shared" si="27"/>
        <v>4.5056970910473746</v>
      </c>
      <c r="I130" s="153">
        <f t="shared" si="28"/>
        <v>105.51642999924721</v>
      </c>
      <c r="J130" s="154">
        <f>VLOOKUP(B130,[4]Weeks!$A$125:$X$161,8,FALSE)-VLOOKUP(B130,[4]Weeks!$A$165:$X$200,8,FALSE)</f>
        <v>0.1582499999999909</v>
      </c>
      <c r="K130" s="154">
        <f>VLOOKUP(B130,[4]Weeks!$A$85:$X$121,8,FALSE)-VLOOKUP(B130,[4]Weeks!$A$125:$X$161,8,FALSE)</f>
        <v>0.60524999999999984</v>
      </c>
      <c r="L130" s="154">
        <f>VLOOKUP(B130,[4]Weeks!$A$44:$X$81,8,FALSE)-VLOOKUP(B130,[4]Weeks!$A$85:$X$121,8,FALSE)</f>
        <v>0.4134500001072885</v>
      </c>
      <c r="M130" s="154">
        <f>VLOOKUP(B130,[4]Weeks!$A$3:$X$39,8,FALSE)-VLOOKUP(B130,[4]Weeks!$A$44:$X$81,8,FALSE)</f>
        <v>0.16525000108778354</v>
      </c>
      <c r="N130" s="46">
        <f t="shared" si="24"/>
        <v>1.5596979810078671</v>
      </c>
      <c r="O130" s="45">
        <f t="shared" si="25"/>
        <v>0.33555000029876569</v>
      </c>
      <c r="P130" s="41" t="str">
        <f>IF(ISNUMBER(VLOOKUP(B130,[4]CLOSURES!B:BI,7,FALSE)),TEXT(VLOOKUP(B130,[4]CLOSURES!B:BI,7,FALSE),"ddmmm"),IF(F130&lt;=0,0,IF(I130&lt;=0,0,IF(AND(F130&gt;0,O130&lt;=0),"&gt;52",IF(I130/O130&gt;52,"&gt;52", MAX(0,I130/O130-2))))))</f>
        <v>&gt;52</v>
      </c>
      <c r="R130" s="185"/>
    </row>
    <row r="131" spans="1:254" s="191" customFormat="1" ht="12" hidden="1" customHeight="1" x14ac:dyDescent="0.2">
      <c r="A131" s="61"/>
      <c r="B131" s="223" t="s">
        <v>127</v>
      </c>
      <c r="C131" s="151">
        <f>'[5]Maj Pel Combined'!$G37</f>
        <v>0</v>
      </c>
      <c r="D131" s="152">
        <f>F131-VLOOKUP(B131,[4]quotas!$B$85:$W$120,7,FALSE)</f>
        <v>0</v>
      </c>
      <c r="E131" s="152">
        <f t="shared" si="26"/>
        <v>0</v>
      </c>
      <c r="F131" s="153">
        <f>VLOOKUP(B131,[4]quotas!$B$46:$W$84,7,FALSE)</f>
        <v>0</v>
      </c>
      <c r="G131" s="154">
        <f>VLOOKUP(B131,[4]Cumulative!$A$56:$X$91,8,FALSE)</f>
        <v>0</v>
      </c>
      <c r="H131" s="183">
        <f t="shared" si="27"/>
        <v>0</v>
      </c>
      <c r="I131" s="153">
        <f t="shared" si="28"/>
        <v>0</v>
      </c>
      <c r="J131" s="154">
        <f>VLOOKUP(B131,[4]Weeks!$A$125:$X$161,8,FALSE)-VLOOKUP(B131,[4]Weeks!$A$165:$X$200,8,FALSE)</f>
        <v>0</v>
      </c>
      <c r="K131" s="154">
        <f>VLOOKUP(B131,[4]Weeks!$A$85:$X$121,8,FALSE)-VLOOKUP(B131,[4]Weeks!$A$125:$X$161,8,FALSE)</f>
        <v>0</v>
      </c>
      <c r="L131" s="154">
        <f>VLOOKUP(B131,[4]Weeks!$A$44:$X$81,8,FALSE)-VLOOKUP(B131,[4]Weeks!$A$85:$X$121,8,FALSE)</f>
        <v>0</v>
      </c>
      <c r="M131" s="154">
        <f>VLOOKUP(B131,[4]Weeks!$A$3:$X$39,8,FALSE)-VLOOKUP(B131,[4]Weeks!$A$44:$X$81,8,FALSE)</f>
        <v>0</v>
      </c>
      <c r="N131" s="46" t="str">
        <f t="shared" si="24"/>
        <v>-</v>
      </c>
      <c r="O131" s="45">
        <f t="shared" si="25"/>
        <v>0</v>
      </c>
      <c r="P131" s="41">
        <f>IF(ISNUMBER(VLOOKUP(B131,[4]CLOSURES!B:BI,7,FALSE)),TEXT(VLOOKUP(B131,[4]CLOSURES!B:BI,7,FALSE),"ddmmm"),IF(F131&lt;=0,0,IF(I131&lt;=0,0,IF(AND(F131&gt;0,O131&lt;=0),"&gt;52",IF(I131/O131&gt;52,"&gt;52", MAX(0,I131/O131-2))))))</f>
        <v>0</v>
      </c>
      <c r="R131" s="185"/>
    </row>
    <row r="132" spans="1:254" s="191" customFormat="1" ht="10.7" hidden="1" customHeight="1" x14ac:dyDescent="0.2">
      <c r="B132" s="223" t="s">
        <v>128</v>
      </c>
      <c r="C132" s="151">
        <f>'[5]Maj Pel Combined'!$G38</f>
        <v>1064.0540000000001</v>
      </c>
      <c r="D132" s="152">
        <f>F132-VLOOKUP(B132,[4]quotas!$B$85:$W$120,7,FALSE)</f>
        <v>0</v>
      </c>
      <c r="E132" s="152">
        <f t="shared" si="26"/>
        <v>0</v>
      </c>
      <c r="F132" s="153">
        <f>VLOOKUP(B132,[4]quotas!$B$46:$W$84,7,FALSE)</f>
        <v>1064.0540000000001</v>
      </c>
      <c r="G132" s="154">
        <f>VLOOKUP(B132,[4]Cumulative!$A$56:$X$91,8,FALSE)</f>
        <v>58.279999999999987</v>
      </c>
      <c r="H132" s="183">
        <f t="shared" si="27"/>
        <v>5.4771656325712783</v>
      </c>
      <c r="I132" s="153">
        <f t="shared" si="28"/>
        <v>1005.7740000000001</v>
      </c>
      <c r="J132" s="154">
        <f>VLOOKUP(B132,[4]Weeks!$A$125:$X$161,8,FALSE)-VLOOKUP(B132,[4]Weeks!$A$165:$X$200,8,FALSE)</f>
        <v>1.7199999999999989</v>
      </c>
      <c r="K132" s="154">
        <f>VLOOKUP(B132,[4]Weeks!$A$85:$X$121,8,FALSE)-VLOOKUP(B132,[4]Weeks!$A$125:$X$161,8,FALSE)</f>
        <v>3.8000000000000043</v>
      </c>
      <c r="L132" s="154">
        <f>VLOOKUP(B132,[4]Weeks!$A$44:$X$81,8,FALSE)-VLOOKUP(B132,[4]Weeks!$A$85:$X$121,8,FALSE)</f>
        <v>6.8099999999999739</v>
      </c>
      <c r="M132" s="154">
        <f>VLOOKUP(B132,[4]Weeks!$A$3:$X$39,8,FALSE)-VLOOKUP(B132,[4]Weeks!$A$44:$X$81,8,FALSE)</f>
        <v>2.6000000000000014</v>
      </c>
      <c r="N132" s="46">
        <f t="shared" si="24"/>
        <v>0.24434850110990619</v>
      </c>
      <c r="O132" s="45">
        <f t="shared" si="25"/>
        <v>3.7324999999999946</v>
      </c>
      <c r="P132" s="41" t="str">
        <f>IF(ISNUMBER(VLOOKUP(B132,[4]CLOSURES!B:BI,7,FALSE)),TEXT(VLOOKUP(B132,[4]CLOSURES!B:BI,7,FALSE),"ddmmm"),IF(F132&lt;=0,0,IF(I132&lt;=0,0,IF(AND(F132&gt;0,O132&lt;=0),"&gt;52",IF(I132/O132&gt;52,"&gt;52", MAX(0,I132/O132-2))))))</f>
        <v>&gt;52</v>
      </c>
      <c r="R132" s="185"/>
    </row>
    <row r="133" spans="1:254" s="191" customFormat="1" ht="10.7" hidden="1" customHeight="1" x14ac:dyDescent="0.2">
      <c r="B133" s="223" t="s">
        <v>129</v>
      </c>
      <c r="C133" s="151">
        <f>'[5]Maj Pel Combined'!$G39</f>
        <v>0</v>
      </c>
      <c r="D133" s="152">
        <f>F133-VLOOKUP(B133,[4]quotas!$B$85:$W$120,7,FALSE)</f>
        <v>0</v>
      </c>
      <c r="E133" s="152">
        <f t="shared" si="26"/>
        <v>0</v>
      </c>
      <c r="F133" s="153">
        <f>VLOOKUP(B133,[4]quotas!$B$46:$W$84,7,FALSE)</f>
        <v>0</v>
      </c>
      <c r="G133" s="154">
        <f>VLOOKUP(B133,[4]Cumulative!$A$56:$X$91,8,FALSE)</f>
        <v>0</v>
      </c>
      <c r="H133" s="183">
        <f t="shared" si="27"/>
        <v>0</v>
      </c>
      <c r="I133" s="153">
        <f t="shared" si="28"/>
        <v>0</v>
      </c>
      <c r="J133" s="154">
        <f>VLOOKUP(B133,[4]Weeks!$A$125:$X$161,8,FALSE)-VLOOKUP(B133,[4]Weeks!$A$165:$X$200,8,FALSE)</f>
        <v>0</v>
      </c>
      <c r="K133" s="154">
        <f>VLOOKUP(B133,[4]Weeks!$A$85:$X$121,8,FALSE)-VLOOKUP(B133,[4]Weeks!$A$125:$X$161,8,FALSE)</f>
        <v>0</v>
      </c>
      <c r="L133" s="154">
        <f>VLOOKUP(B133,[4]Weeks!$A$44:$X$81,8,FALSE)-VLOOKUP(B133,[4]Weeks!$A$85:$X$121,8,FALSE)</f>
        <v>0</v>
      </c>
      <c r="M133" s="154">
        <f>VLOOKUP(B133,[4]Weeks!$A$3:$X$39,8,FALSE)-VLOOKUP(B133,[4]Weeks!$A$44:$X$81,8,FALSE)</f>
        <v>0</v>
      </c>
      <c r="N133" s="48">
        <f>SUM(N123:N132)</f>
        <v>1.8040464821177733</v>
      </c>
      <c r="O133" s="45">
        <f t="shared" si="25"/>
        <v>0</v>
      </c>
      <c r="P133" s="41">
        <f>IF(ISNUMBER(VLOOKUP(B133,[4]CLOSURES!B:BI,7,FALSE)),TEXT(VLOOKUP(B133,[4]CLOSURES!B:BI,7,FALSE),"ddmmm"),IF(F133&lt;=0,0,IF(I133&lt;=0,0,IF(AND(F133&gt;0,O133&lt;=0),"&gt;52",IF(I133/O133&gt;52,"&gt;52", MAX(0,I133/O133-2))))))</f>
        <v>0</v>
      </c>
      <c r="R133" s="185"/>
    </row>
    <row r="134" spans="1:254" s="191" customFormat="1" ht="10.7" hidden="1" customHeight="1" x14ac:dyDescent="0.2">
      <c r="B134" s="223"/>
      <c r="C134" s="151"/>
      <c r="D134" s="154"/>
      <c r="E134" s="152"/>
      <c r="F134" s="153"/>
      <c r="G134" s="154"/>
      <c r="H134" s="183"/>
      <c r="I134" s="153"/>
      <c r="J134" s="154"/>
      <c r="K134" s="154"/>
      <c r="L134" s="154"/>
      <c r="M134" s="154"/>
      <c r="N134" s="46"/>
      <c r="O134" s="45"/>
      <c r="P134" s="41"/>
      <c r="R134" s="185"/>
    </row>
    <row r="135" spans="1:254" s="191" customFormat="1" ht="12" hidden="1" customHeight="1" x14ac:dyDescent="0.2">
      <c r="A135" s="61"/>
      <c r="B135" s="196" t="s">
        <v>130</v>
      </c>
      <c r="C135" s="151">
        <f>SUM(C130:C133)</f>
        <v>1074.6490000000001</v>
      </c>
      <c r="D135" s="152">
        <f>SUM(D130:D134)</f>
        <v>0</v>
      </c>
      <c r="E135" s="152">
        <f t="shared" si="26"/>
        <v>99.899999999999864</v>
      </c>
      <c r="F135" s="153">
        <f>SUM(F130:F133)</f>
        <v>1174.549</v>
      </c>
      <c r="G135" s="153">
        <f>SUM(G130:G133)</f>
        <v>63.258570000752783</v>
      </c>
      <c r="H135" s="183">
        <f t="shared" si="27"/>
        <v>5.3857753061603031</v>
      </c>
      <c r="I135" s="153">
        <f t="shared" si="28"/>
        <v>1111.2904299992472</v>
      </c>
      <c r="J135" s="154">
        <f>SUM(J130:J133)</f>
        <v>1.8782499999999898</v>
      </c>
      <c r="K135" s="154">
        <f>SUM(K130:K133)</f>
        <v>4.4052500000000041</v>
      </c>
      <c r="L135" s="154">
        <f>SUM(L130:L133)</f>
        <v>7.2234500001072623</v>
      </c>
      <c r="M135" s="154">
        <f>SUM(M130:M133)</f>
        <v>2.765250001087785</v>
      </c>
      <c r="N135" s="46">
        <f>IF(C135="*","*",IF(C135&gt;0,M135/C135*100,"-"))</f>
        <v>0.25731657509454575</v>
      </c>
      <c r="O135" s="45">
        <f>IF(C135="*","*",SUM(J135:M135)/4)</f>
        <v>4.0680500002987605</v>
      </c>
      <c r="P135" s="41" t="str">
        <f>IF(ISNUMBER(VLOOKUP(B135,[4]CLOSURES!B:BI,7,FALSE)),TEXT(VLOOKUP(B135,[4]CLOSURES!B:BI,7,FALSE),"ddmmm"),IF(F135&lt;=0,0,IF(I135&lt;=0,0,IF(AND(F135&gt;0,O135&lt;=0),"&gt;52",IF(I135/O135&gt;52,"&gt;52", MAX(0,I135/O135-2))))))</f>
        <v>&gt;52</v>
      </c>
      <c r="R135" s="185"/>
    </row>
    <row r="136" spans="1:254" s="191" customFormat="1" ht="10.7" hidden="1" customHeight="1" x14ac:dyDescent="0.2">
      <c r="B136" s="186"/>
      <c r="C136" s="151"/>
      <c r="D136" s="152"/>
      <c r="E136" s="152"/>
      <c r="F136" s="153"/>
      <c r="G136" s="154"/>
      <c r="H136" s="183"/>
      <c r="I136" s="153"/>
      <c r="J136" s="154"/>
      <c r="K136" s="154"/>
      <c r="L136" s="154"/>
      <c r="M136" s="154"/>
      <c r="N136" s="46"/>
      <c r="O136" s="45"/>
      <c r="P136" s="41"/>
      <c r="R136" s="185"/>
    </row>
    <row r="137" spans="1:254" s="191" customFormat="1" ht="10.7" hidden="1" customHeight="1" x14ac:dyDescent="0.2">
      <c r="B137" s="187" t="s">
        <v>91</v>
      </c>
      <c r="C137" s="157">
        <f>SUM(C135+C128)</f>
        <v>1178.3610000000001</v>
      </c>
      <c r="D137" s="160">
        <f>D128+D135</f>
        <v>0</v>
      </c>
      <c r="E137" s="160">
        <f t="shared" si="26"/>
        <v>99.899999999999864</v>
      </c>
      <c r="F137" s="156">
        <f>F135+F128</f>
        <v>1278.261</v>
      </c>
      <c r="G137" s="155">
        <f>G128+G135</f>
        <v>63.258570000752783</v>
      </c>
      <c r="H137" s="188">
        <f>IF(AND(F137=0,G137&gt;0),"n/a",IF(F137=0,0,100*G137/F137))</f>
        <v>4.9487991889569329</v>
      </c>
      <c r="I137" s="156">
        <f>I135+I128</f>
        <v>1215.0024299992472</v>
      </c>
      <c r="J137" s="155">
        <f>J128+J135</f>
        <v>1.8782499999999898</v>
      </c>
      <c r="K137" s="155">
        <f>K128+K135</f>
        <v>4.4052500000000041</v>
      </c>
      <c r="L137" s="155">
        <f>L128+L135</f>
        <v>7.2234500001072623</v>
      </c>
      <c r="M137" s="155">
        <f>M128+M135</f>
        <v>2.765250001087785</v>
      </c>
      <c r="N137" s="58">
        <f>IF(C137="*","*",IF(C137&gt;0,M137/C137*100,"-"))</f>
        <v>0.23466917193354031</v>
      </c>
      <c r="O137" s="52">
        <f>IF(C137="*","*",SUM(J137:M137)/4)</f>
        <v>4.0680500002987605</v>
      </c>
      <c r="P137" s="54" t="str">
        <f>IF(ISNUMBER(VLOOKUP(B137,[4]CLOSURES!B:BI,7,FALSE)),TEXT(VLOOKUP(B137,[4]CLOSURES!B:BI,7,FALSE),"ddmmm"),IF(F137&lt;=0,0,IF(I137&lt;=0,0,IF(AND(F137&gt;0,O137&lt;=0),"&gt;52",IF(I137/O137&gt;52,"&gt;52", MAX(0,I137/O137-2))))))</f>
        <v>&gt;52</v>
      </c>
      <c r="R137" s="185"/>
    </row>
    <row r="138" spans="1:254" ht="10.7" hidden="1" customHeight="1" x14ac:dyDescent="0.2">
      <c r="B138" s="198" t="str">
        <f>B69</f>
        <v>Number of Weeks to end of year is 10</v>
      </c>
      <c r="C138" s="198"/>
      <c r="D138" s="198"/>
      <c r="E138" s="198"/>
      <c r="F138" s="199"/>
      <c r="G138" s="198"/>
      <c r="H138" s="198"/>
      <c r="I138" s="200"/>
      <c r="J138" s="198"/>
      <c r="K138" s="198"/>
      <c r="L138" s="198"/>
      <c r="M138" s="198"/>
      <c r="N138" s="201"/>
      <c r="O138" s="198"/>
      <c r="P138" s="201"/>
      <c r="Q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/>
      <c r="CH138" s="198"/>
      <c r="CI138" s="198"/>
      <c r="CJ138" s="198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  <c r="DM138" s="198"/>
      <c r="DN138" s="198"/>
      <c r="DO138" s="198"/>
      <c r="DP138" s="198"/>
      <c r="DQ138" s="198"/>
      <c r="DR138" s="198"/>
      <c r="DS138" s="198"/>
      <c r="DT138" s="198"/>
      <c r="DU138" s="198"/>
      <c r="DV138" s="198"/>
      <c r="DW138" s="198"/>
      <c r="DX138" s="198"/>
      <c r="DY138" s="198"/>
      <c r="DZ138" s="198"/>
      <c r="EA138" s="198"/>
      <c r="EB138" s="198"/>
      <c r="EC138" s="198"/>
      <c r="ED138" s="198"/>
      <c r="EE138" s="198"/>
      <c r="EF138" s="198"/>
      <c r="EG138" s="198"/>
      <c r="EH138" s="198"/>
      <c r="EI138" s="198"/>
      <c r="EJ138" s="198"/>
      <c r="EK138" s="198"/>
      <c r="EL138" s="198"/>
      <c r="EM138" s="198"/>
      <c r="EN138" s="198"/>
      <c r="EO138" s="198"/>
      <c r="EP138" s="198"/>
      <c r="EQ138" s="198"/>
      <c r="ER138" s="198"/>
      <c r="ES138" s="198"/>
      <c r="ET138" s="198"/>
      <c r="EU138" s="198"/>
      <c r="EV138" s="198"/>
      <c r="EW138" s="198"/>
      <c r="EX138" s="198"/>
      <c r="EY138" s="198"/>
      <c r="EZ138" s="198"/>
      <c r="FA138" s="198"/>
      <c r="FB138" s="198"/>
      <c r="FC138" s="198"/>
      <c r="FD138" s="198"/>
      <c r="FE138" s="198"/>
      <c r="FF138" s="198"/>
      <c r="FG138" s="198"/>
      <c r="FH138" s="198"/>
      <c r="FI138" s="198"/>
      <c r="FJ138" s="198"/>
      <c r="FK138" s="198"/>
      <c r="FL138" s="198"/>
      <c r="FM138" s="198"/>
      <c r="FN138" s="198"/>
      <c r="FO138" s="198"/>
      <c r="FP138" s="198"/>
      <c r="FQ138" s="198"/>
      <c r="FR138" s="198"/>
      <c r="FS138" s="198"/>
      <c r="FT138" s="198"/>
      <c r="FU138" s="198"/>
      <c r="FV138" s="198"/>
      <c r="FW138" s="198"/>
      <c r="FX138" s="198"/>
      <c r="FY138" s="198"/>
      <c r="FZ138" s="198"/>
      <c r="GA138" s="198"/>
      <c r="GB138" s="198"/>
      <c r="GC138" s="198"/>
      <c r="GD138" s="198"/>
      <c r="GE138" s="198"/>
      <c r="GF138" s="198"/>
      <c r="GG138" s="198"/>
      <c r="GH138" s="198"/>
      <c r="GI138" s="198"/>
      <c r="GJ138" s="198"/>
      <c r="GK138" s="198"/>
      <c r="GL138" s="198"/>
      <c r="GM138" s="198"/>
      <c r="GN138" s="198"/>
      <c r="GO138" s="198"/>
      <c r="GP138" s="198"/>
      <c r="GQ138" s="198"/>
      <c r="GR138" s="198"/>
      <c r="GS138" s="198"/>
      <c r="GT138" s="198"/>
      <c r="GU138" s="198"/>
      <c r="GV138" s="198"/>
      <c r="GW138" s="198"/>
      <c r="GX138" s="198"/>
      <c r="GY138" s="198"/>
      <c r="GZ138" s="198"/>
      <c r="HA138" s="198"/>
      <c r="HB138" s="198"/>
      <c r="HC138" s="198"/>
      <c r="HD138" s="198"/>
      <c r="HE138" s="198"/>
      <c r="HF138" s="198"/>
      <c r="HG138" s="198"/>
      <c r="HH138" s="198"/>
      <c r="HI138" s="198"/>
      <c r="HJ138" s="198"/>
      <c r="HK138" s="198"/>
      <c r="HL138" s="198"/>
      <c r="HM138" s="198"/>
      <c r="HN138" s="198"/>
      <c r="HO138" s="198"/>
      <c r="HP138" s="198"/>
      <c r="HQ138" s="198"/>
      <c r="HR138" s="198"/>
      <c r="HS138" s="198"/>
      <c r="HT138" s="198"/>
      <c r="HU138" s="198"/>
      <c r="HV138" s="198"/>
      <c r="HW138" s="198"/>
      <c r="HX138" s="198"/>
      <c r="HY138" s="198"/>
      <c r="HZ138" s="198"/>
      <c r="IA138" s="198"/>
      <c r="IB138" s="198"/>
      <c r="IC138" s="198"/>
      <c r="ID138" s="198"/>
      <c r="IE138" s="198"/>
      <c r="IF138" s="198"/>
      <c r="IG138" s="198"/>
      <c r="IH138" s="198"/>
      <c r="II138" s="198"/>
      <c r="IJ138" s="198"/>
      <c r="IK138" s="198"/>
      <c r="IL138" s="198"/>
      <c r="IM138" s="198"/>
      <c r="IN138" s="198"/>
      <c r="IO138" s="198"/>
      <c r="IP138" s="198"/>
      <c r="IQ138" s="198"/>
      <c r="IR138" s="198"/>
      <c r="IS138" s="198"/>
      <c r="IT138" s="198"/>
    </row>
    <row r="139" spans="1:254" ht="10.7" hidden="1" customHeight="1" x14ac:dyDescent="0.2">
      <c r="B139" s="198" t="str">
        <f>B70</f>
        <v>Estimated weeks left after applying 4 week average to amount left, and subtracting 2 weeks to account for lags in recording.</v>
      </c>
      <c r="C139" s="202"/>
      <c r="D139" s="202"/>
      <c r="E139" s="202"/>
      <c r="F139" s="203"/>
      <c r="G139" s="202"/>
      <c r="H139" s="202"/>
      <c r="I139" s="204"/>
      <c r="J139" s="202"/>
      <c r="K139" s="202"/>
      <c r="L139" s="202"/>
      <c r="M139" s="202"/>
      <c r="N139" s="194"/>
      <c r="O139" s="202"/>
      <c r="P139" s="194"/>
      <c r="Q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202"/>
      <c r="BV139" s="202"/>
      <c r="BW139" s="202"/>
      <c r="BX139" s="202"/>
      <c r="BY139" s="202"/>
      <c r="BZ139" s="202"/>
      <c r="CA139" s="202"/>
      <c r="CB139" s="202"/>
      <c r="CC139" s="202"/>
      <c r="CD139" s="202"/>
      <c r="CE139" s="202"/>
      <c r="CF139" s="202"/>
      <c r="CG139" s="202"/>
      <c r="CH139" s="202"/>
      <c r="CI139" s="202"/>
      <c r="CJ139" s="202"/>
      <c r="CK139" s="202"/>
      <c r="CL139" s="202"/>
      <c r="CM139" s="202"/>
      <c r="CN139" s="202"/>
      <c r="CO139" s="202"/>
      <c r="CP139" s="202"/>
      <c r="CQ139" s="202"/>
      <c r="CR139" s="202"/>
      <c r="CS139" s="202"/>
      <c r="CT139" s="202"/>
      <c r="CU139" s="202"/>
      <c r="CV139" s="202"/>
      <c r="CW139" s="202"/>
      <c r="CX139" s="202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2"/>
      <c r="DJ139" s="202"/>
      <c r="DK139" s="202"/>
      <c r="DL139" s="202"/>
      <c r="DM139" s="202"/>
      <c r="DN139" s="202"/>
      <c r="DO139" s="202"/>
      <c r="DP139" s="202"/>
      <c r="DQ139" s="202"/>
      <c r="DR139" s="202"/>
      <c r="DS139" s="202"/>
      <c r="DT139" s="202"/>
      <c r="DU139" s="202"/>
      <c r="DV139" s="202"/>
      <c r="DW139" s="202"/>
      <c r="DX139" s="202"/>
      <c r="DY139" s="202"/>
      <c r="DZ139" s="202"/>
      <c r="EA139" s="202"/>
      <c r="EB139" s="202"/>
      <c r="EC139" s="202"/>
      <c r="ED139" s="202"/>
      <c r="EE139" s="202"/>
      <c r="EF139" s="202"/>
      <c r="EG139" s="202"/>
      <c r="EH139" s="202"/>
      <c r="EI139" s="202"/>
      <c r="EJ139" s="202"/>
      <c r="EK139" s="202"/>
      <c r="EL139" s="202"/>
      <c r="EM139" s="202"/>
      <c r="EN139" s="202"/>
      <c r="EO139" s="202"/>
      <c r="EP139" s="202"/>
      <c r="EQ139" s="202"/>
      <c r="ER139" s="202"/>
      <c r="ES139" s="202"/>
      <c r="ET139" s="202"/>
      <c r="EU139" s="202"/>
      <c r="EV139" s="202"/>
      <c r="EW139" s="202"/>
      <c r="EX139" s="202"/>
      <c r="EY139" s="202"/>
      <c r="EZ139" s="202"/>
      <c r="FA139" s="202"/>
      <c r="FB139" s="202"/>
      <c r="FC139" s="202"/>
      <c r="FD139" s="202"/>
      <c r="FE139" s="202"/>
      <c r="FF139" s="202"/>
      <c r="FG139" s="202"/>
      <c r="FH139" s="202"/>
      <c r="FI139" s="202"/>
      <c r="FJ139" s="202"/>
      <c r="FK139" s="202"/>
      <c r="FL139" s="202"/>
      <c r="FM139" s="202"/>
      <c r="FN139" s="202"/>
      <c r="FO139" s="202"/>
      <c r="FP139" s="202"/>
      <c r="FQ139" s="202"/>
      <c r="FR139" s="202"/>
      <c r="FS139" s="202"/>
      <c r="FT139" s="202"/>
      <c r="FU139" s="202"/>
      <c r="FV139" s="202"/>
      <c r="FW139" s="202"/>
      <c r="FX139" s="202"/>
      <c r="FY139" s="202"/>
      <c r="FZ139" s="202"/>
      <c r="GA139" s="202"/>
      <c r="GB139" s="202"/>
      <c r="GC139" s="202"/>
      <c r="GD139" s="202"/>
      <c r="GE139" s="202"/>
      <c r="GF139" s="202"/>
      <c r="GG139" s="202"/>
      <c r="GH139" s="202"/>
      <c r="GI139" s="202"/>
      <c r="GJ139" s="202"/>
      <c r="GK139" s="202"/>
      <c r="GL139" s="202"/>
      <c r="GM139" s="202"/>
      <c r="GN139" s="202"/>
      <c r="GO139" s="202"/>
      <c r="GP139" s="202"/>
      <c r="GQ139" s="202"/>
      <c r="GR139" s="202"/>
      <c r="GS139" s="202"/>
      <c r="GT139" s="202"/>
      <c r="GU139" s="202"/>
      <c r="GV139" s="202"/>
      <c r="GW139" s="202"/>
      <c r="GX139" s="202"/>
      <c r="GY139" s="202"/>
      <c r="GZ139" s="202"/>
      <c r="HA139" s="202"/>
      <c r="HB139" s="202"/>
      <c r="HC139" s="202"/>
      <c r="HD139" s="202"/>
      <c r="HE139" s="202"/>
      <c r="HF139" s="202"/>
      <c r="HG139" s="202"/>
      <c r="HH139" s="202"/>
      <c r="HI139" s="202"/>
      <c r="HJ139" s="202"/>
      <c r="HK139" s="202"/>
      <c r="HL139" s="202"/>
      <c r="HM139" s="202"/>
      <c r="HN139" s="202"/>
      <c r="HO139" s="202"/>
      <c r="HP139" s="202"/>
      <c r="HQ139" s="202"/>
      <c r="HR139" s="202"/>
      <c r="HS139" s="202"/>
      <c r="HT139" s="202"/>
      <c r="HU139" s="202"/>
      <c r="HV139" s="202"/>
      <c r="HW139" s="202"/>
      <c r="HX139" s="202"/>
      <c r="HY139" s="202"/>
      <c r="HZ139" s="202"/>
      <c r="IA139" s="202"/>
      <c r="IB139" s="202"/>
      <c r="IC139" s="202"/>
      <c r="ID139" s="202"/>
      <c r="IE139" s="202"/>
      <c r="IF139" s="202"/>
      <c r="IG139" s="202"/>
      <c r="IH139" s="202"/>
      <c r="II139" s="202"/>
      <c r="IJ139" s="202"/>
      <c r="IK139" s="202"/>
      <c r="IL139" s="202"/>
      <c r="IM139" s="202"/>
      <c r="IN139" s="202"/>
      <c r="IO139" s="202"/>
      <c r="IP139" s="202"/>
      <c r="IQ139" s="202"/>
      <c r="IR139" s="202"/>
      <c r="IS139" s="202"/>
      <c r="IT139" s="202"/>
    </row>
    <row r="140" spans="1:254" ht="10.7" hidden="1" customHeight="1" x14ac:dyDescent="0.2">
      <c r="B140" s="198"/>
      <c r="C140" s="191"/>
      <c r="D140" s="191"/>
      <c r="E140" s="191"/>
      <c r="F140" s="192"/>
      <c r="G140" s="191"/>
      <c r="H140" s="191"/>
      <c r="I140" s="193"/>
      <c r="J140" s="191"/>
      <c r="K140" s="191"/>
      <c r="L140" s="191"/>
      <c r="M140" s="191"/>
      <c r="N140" s="194"/>
      <c r="O140" s="191"/>
      <c r="P140" s="194"/>
      <c r="Q140" s="191"/>
    </row>
    <row r="141" spans="1:254" s="191" customFormat="1" ht="10.7" customHeight="1" x14ac:dyDescent="0.2">
      <c r="F141" s="192"/>
      <c r="I141" s="193"/>
      <c r="N141" s="194"/>
      <c r="P141" s="194"/>
      <c r="R141" s="185"/>
    </row>
    <row r="142" spans="1:254" s="191" customFormat="1" ht="10.7" customHeight="1" x14ac:dyDescent="0.2">
      <c r="F142" s="192"/>
      <c r="I142" s="193"/>
      <c r="N142" s="194"/>
      <c r="P142" s="194"/>
      <c r="R142" s="185"/>
    </row>
    <row r="143" spans="1:254" s="191" customFormat="1" ht="10.7" customHeight="1" x14ac:dyDescent="0.2">
      <c r="B143" s="14"/>
      <c r="C143" s="15" t="str">
        <f>C5</f>
        <v>Initial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5"/>
    </row>
    <row r="144" spans="1:254" s="191" customFormat="1" ht="10.7" customHeight="1" x14ac:dyDescent="0.2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5"/>
    </row>
    <row r="145" spans="2:18" s="191" customFormat="1" ht="10.7" customHeight="1" x14ac:dyDescent="0.2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f>$J7</f>
        <v>44468</v>
      </c>
      <c r="K145" s="33">
        <f>$K7</f>
        <v>44475</v>
      </c>
      <c r="L145" s="33">
        <f>$L7</f>
        <v>44482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5"/>
    </row>
    <row r="146" spans="2:18" s="191" customFormat="1" ht="10.7" customHeight="1" x14ac:dyDescent="0.2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5"/>
    </row>
    <row r="147" spans="2:18" s="191" customFormat="1" ht="10.7" customHeight="1" x14ac:dyDescent="0.2">
      <c r="B147" s="40"/>
      <c r="C147" s="233" t="s">
        <v>120</v>
      </c>
      <c r="D147" s="235"/>
      <c r="E147" s="235"/>
      <c r="F147" s="235"/>
      <c r="G147" s="235"/>
      <c r="H147" s="235"/>
      <c r="I147" s="235"/>
      <c r="J147" s="235"/>
      <c r="K147" s="235"/>
      <c r="L147" s="235"/>
      <c r="M147" s="235"/>
      <c r="N147" s="235"/>
      <c r="O147" s="235"/>
      <c r="P147" s="41" t="s">
        <v>4</v>
      </c>
      <c r="R147" s="185"/>
    </row>
    <row r="148" spans="2:18" s="191" customFormat="1" ht="10.7" customHeight="1" x14ac:dyDescent="0.2">
      <c r="B148" s="222" t="s">
        <v>121</v>
      </c>
      <c r="C148" s="151">
        <f>'[5]Maj Pel Combined'!I29</f>
        <v>356.81299999999999</v>
      </c>
      <c r="D148" s="152">
        <f>F148-VLOOKUP(B148,[4]quotas!$B$85:$W$120,13,FALSE)</f>
        <v>0</v>
      </c>
      <c r="E148" s="152">
        <f>F148-C148</f>
        <v>0</v>
      </c>
      <c r="F148" s="153">
        <f>VLOOKUP(B148,[4]quotas!$B$46:$W$84,13,FALSE)</f>
        <v>356.81299999999999</v>
      </c>
      <c r="G148" s="154">
        <f>VLOOKUP(B148,[4]Cumulative!$A$56:$X$91,14,FALSE)</f>
        <v>0</v>
      </c>
      <c r="H148" s="183">
        <f>IF(AND(F148=0,G148&gt;0),"n/a",IF(F148=0,0,100*G148/F148))</f>
        <v>0</v>
      </c>
      <c r="I148" s="153">
        <f>IF(F148="*","*",F148-G148)</f>
        <v>356.81299999999999</v>
      </c>
      <c r="J148" s="154">
        <f>VLOOKUP(B148,[4]Weeks!$A$125:$X$161,14,FALSE)-VLOOKUP(B148,[4]Weeks!$A$165:$X$200,14,FALSE)</f>
        <v>0</v>
      </c>
      <c r="K148" s="154">
        <f>VLOOKUP(B148,[4]Weeks!$A$85:$X$121,14,FALSE)-VLOOKUP(B148,[4]Weeks!$A$125:$X$161,14,FALSE)</f>
        <v>0</v>
      </c>
      <c r="L148" s="154">
        <f>VLOOKUP(B148,[4]Weeks!$A$44:$X$81,14,FALSE)-VLOOKUP(B148,[4]Weeks!$A$85:$X$121,14,FALSE)</f>
        <v>0</v>
      </c>
      <c r="M148" s="154">
        <f>VLOOKUP(B148,[4]Weeks!$A$3:$X$39,14,FALSE)-VLOOKUP(B148,[4]Weeks!$A$44:$X$81,14,FALSE)</f>
        <v>0</v>
      </c>
      <c r="N148" s="46">
        <f t="shared" ref="N148:N157" si="29">IF(C148="*","*",IF(C148&gt;0,M148/C148*100,"-"))</f>
        <v>0</v>
      </c>
      <c r="O148" s="45">
        <f t="shared" ref="O148:O158" si="30">IF(C148="*","*",SUM(J148:M148)/4)</f>
        <v>0</v>
      </c>
      <c r="P148" s="41" t="str">
        <f>IF(ISNUMBER(VLOOKUP(B148,[4]CLOSURES!B:BI,13,FALSE)),TEXT(VLOOKUP(B148,[4]CLOSURES!B:BI,13,FALSE),"ddmmm"),IF(F148&lt;=0,0,IF(I148&lt;=0,0,IF(AND(F148&gt;0,O148&lt;=0),"&gt;52",IF(I148/O148&gt;52,"&gt;52", MAX(0,I148/O148-2))))))</f>
        <v>01Jan</v>
      </c>
      <c r="R148" s="185"/>
    </row>
    <row r="149" spans="2:18" s="191" customFormat="1" ht="10.7" customHeight="1" x14ac:dyDescent="0.2">
      <c r="B149" s="222" t="s">
        <v>122</v>
      </c>
      <c r="C149" s="151">
        <f>'[5]Maj Pel Combined'!I30</f>
        <v>0</v>
      </c>
      <c r="D149" s="152">
        <f>F149-VLOOKUP(B149,[4]quotas!$B$85:$W$120,13,FALSE)</f>
        <v>0</v>
      </c>
      <c r="E149" s="152">
        <f t="shared" ref="E149:E162" si="31">F149-C149</f>
        <v>0</v>
      </c>
      <c r="F149" s="153">
        <f>VLOOKUP(B149,[4]quotas!$B$46:$W$84,13,FALSE)</f>
        <v>0</v>
      </c>
      <c r="G149" s="154">
        <f>VLOOKUP(B149,[4]Cumulative!$A$56:$X$91,14,FALSE)</f>
        <v>0</v>
      </c>
      <c r="H149" s="183">
        <f t="shared" ref="H149:H160" si="32">IF(AND(F149=0,G149&gt;0),"n/a",IF(F149=0,0,100*G149/F149))</f>
        <v>0</v>
      </c>
      <c r="I149" s="153">
        <f t="shared" ref="I149:I160" si="33">IF(F149="*","*",F149-G149)</f>
        <v>0</v>
      </c>
      <c r="J149" s="154">
        <f>VLOOKUP(B149,[4]Weeks!$A$125:$X$161,14,FALSE)-VLOOKUP(B149,[4]Weeks!$A$165:$X$200,14,FALSE)</f>
        <v>0</v>
      </c>
      <c r="K149" s="154">
        <f>VLOOKUP(B149,[4]Weeks!$A$85:$X$121,14,FALSE)-VLOOKUP(B149,[4]Weeks!$A$125:$X$161,14,FALSE)</f>
        <v>0</v>
      </c>
      <c r="L149" s="154">
        <f>VLOOKUP(B149,[4]Weeks!$A$44:$X$81,14,FALSE)-VLOOKUP(B149,[4]Weeks!$A$85:$X$121,14,FALSE)</f>
        <v>0</v>
      </c>
      <c r="M149" s="154">
        <f>VLOOKUP(B149,[4]Weeks!$A$3:$X$39,14,FALSE)-VLOOKUP(B149,[4]Weeks!$A$44:$X$81,14,FALSE)</f>
        <v>0</v>
      </c>
      <c r="N149" s="46" t="str">
        <f t="shared" si="29"/>
        <v>-</v>
      </c>
      <c r="O149" s="45">
        <f t="shared" si="30"/>
        <v>0</v>
      </c>
      <c r="P149" s="41" t="str">
        <f>IF(ISNUMBER(VLOOKUP(B149,[4]CLOSURES!B:BI,13,FALSE)),TEXT(VLOOKUP(B149,[4]CLOSURES!B:BI,13,FALSE),"ddmmm"),IF(F149&lt;=0,0,IF(I149&lt;=0,0,IF(AND(F149&gt;0,O149&lt;=0),"&gt;52",IF(I149/O149&gt;52,"&gt;52", MAX(0,I149/O149-2))))))</f>
        <v>01Jan</v>
      </c>
      <c r="R149" s="185"/>
    </row>
    <row r="150" spans="2:18" s="191" customFormat="1" ht="10.7" customHeight="1" x14ac:dyDescent="0.2">
      <c r="B150" s="222" t="s">
        <v>123</v>
      </c>
      <c r="C150" s="151">
        <f>'[5]Maj Pel Combined'!I31</f>
        <v>0</v>
      </c>
      <c r="D150" s="152">
        <f>F150-VLOOKUP(B150,[4]quotas!$B$85:$W$120,13,FALSE)</f>
        <v>0</v>
      </c>
      <c r="E150" s="152">
        <f t="shared" si="31"/>
        <v>0</v>
      </c>
      <c r="F150" s="153">
        <f>VLOOKUP(B150,[4]quotas!$B$46:$W$84,13,FALSE)</f>
        <v>0</v>
      </c>
      <c r="G150" s="154">
        <f>VLOOKUP(B150,[4]Cumulative!$A$56:$X$91,14,FALSE)</f>
        <v>0</v>
      </c>
      <c r="H150" s="183">
        <f t="shared" si="32"/>
        <v>0</v>
      </c>
      <c r="I150" s="153">
        <f t="shared" si="33"/>
        <v>0</v>
      </c>
      <c r="J150" s="154">
        <f>VLOOKUP(B150,[4]Weeks!$A$125:$X$161,14,FALSE)-VLOOKUP(B150,[4]Weeks!$A$165:$X$200,14,FALSE)</f>
        <v>0</v>
      </c>
      <c r="K150" s="154">
        <f>VLOOKUP(B150,[4]Weeks!$A$85:$X$121,14,FALSE)-VLOOKUP(B150,[4]Weeks!$A$125:$X$161,14,FALSE)</f>
        <v>0</v>
      </c>
      <c r="L150" s="154">
        <f>VLOOKUP(B150,[4]Weeks!$A$44:$X$81,14,FALSE)-VLOOKUP(B150,[4]Weeks!$A$85:$X$121,14,FALSE)</f>
        <v>0</v>
      </c>
      <c r="M150" s="154">
        <f>VLOOKUP(B150,[4]Weeks!$A$3:$X$39,14,FALSE)-VLOOKUP(B150,[4]Weeks!$A$44:$X$81,14,FALSE)</f>
        <v>0</v>
      </c>
      <c r="N150" s="46" t="str">
        <f t="shared" si="29"/>
        <v>-</v>
      </c>
      <c r="O150" s="45">
        <f t="shared" si="30"/>
        <v>0</v>
      </c>
      <c r="P150" s="41" t="str">
        <f>IF(ISNUMBER(VLOOKUP(B150,[4]CLOSURES!B:BI,13,FALSE)),TEXT(VLOOKUP(B150,[4]CLOSURES!B:BI,13,FALSE),"ddmmm"),IF(F150&lt;=0,0,IF(I150&lt;=0,0,IF(AND(F150&gt;0,O150&lt;=0),"&gt;52",IF(I150/O150&gt;52,"&gt;52", MAX(0,I150/O150-2))))))</f>
        <v>01Jan</v>
      </c>
      <c r="R150" s="185"/>
    </row>
    <row r="151" spans="2:18" s="191" customFormat="1" ht="10.7" customHeight="1" x14ac:dyDescent="0.2">
      <c r="B151" s="222" t="s">
        <v>124</v>
      </c>
      <c r="C151" s="151">
        <f>'[5]Maj Pel Combined'!I32</f>
        <v>0</v>
      </c>
      <c r="D151" s="152">
        <f>F151-VLOOKUP(B151,[4]quotas!$B$85:$W$120,13,FALSE)</f>
        <v>0</v>
      </c>
      <c r="E151" s="152">
        <f t="shared" si="31"/>
        <v>0</v>
      </c>
      <c r="F151" s="153">
        <f>VLOOKUP(B151,[4]quotas!$B$46:$W$84,13,FALSE)</f>
        <v>0</v>
      </c>
      <c r="G151" s="154">
        <f>VLOOKUP(B151,[4]Cumulative!$A$56:$X$91,14,FALSE)</f>
        <v>0</v>
      </c>
      <c r="H151" s="183">
        <f t="shared" si="32"/>
        <v>0</v>
      </c>
      <c r="I151" s="153">
        <f t="shared" si="33"/>
        <v>0</v>
      </c>
      <c r="J151" s="154">
        <f>VLOOKUP(B151,[4]Weeks!$A$125:$X$161,14,FALSE)-VLOOKUP(B151,[4]Weeks!$A$165:$X$200,14,FALSE)</f>
        <v>0</v>
      </c>
      <c r="K151" s="154">
        <f>VLOOKUP(B151,[4]Weeks!$A$85:$X$121,14,FALSE)-VLOOKUP(B151,[4]Weeks!$A$125:$X$161,14,FALSE)</f>
        <v>0</v>
      </c>
      <c r="L151" s="154">
        <f>VLOOKUP(B151,[4]Weeks!$A$44:$X$81,14,FALSE)-VLOOKUP(B151,[4]Weeks!$A$85:$X$121,14,FALSE)</f>
        <v>0</v>
      </c>
      <c r="M151" s="154">
        <f>VLOOKUP(B151,[4]Weeks!$A$3:$X$39,14,FALSE)-VLOOKUP(B151,[4]Weeks!$A$44:$X$81,14,FALSE)</f>
        <v>0</v>
      </c>
      <c r="N151" s="46" t="str">
        <f t="shared" si="29"/>
        <v>-</v>
      </c>
      <c r="O151" s="45">
        <f t="shared" si="30"/>
        <v>0</v>
      </c>
      <c r="P151" s="41" t="str">
        <f>IF(ISNUMBER(VLOOKUP(B151,[4]CLOSURES!B:BI,13,FALSE)),TEXT(VLOOKUP(B151,[4]CLOSURES!B:BI,13,FALSE),"ddmmm"),IF(F151&lt;=0,0,IF(I151&lt;=0,0,IF(AND(F151&gt;0,O151&lt;=0),"&gt;52",IF(I151/O151&gt;52,"&gt;52", MAX(0,I151/O151-2))))))</f>
        <v>01Jan</v>
      </c>
      <c r="R151" s="185"/>
    </row>
    <row r="152" spans="2:18" s="191" customFormat="1" ht="10.7" customHeight="1" x14ac:dyDescent="0.2">
      <c r="B152" s="222"/>
      <c r="C152" s="151"/>
      <c r="D152" s="152"/>
      <c r="E152" s="152"/>
      <c r="F152" s="153"/>
      <c r="G152" s="154"/>
      <c r="H152" s="183"/>
      <c r="I152" s="153"/>
      <c r="J152" s="154"/>
      <c r="K152" s="154"/>
      <c r="L152" s="154"/>
      <c r="M152" s="154"/>
      <c r="N152" s="46"/>
      <c r="O152" s="45"/>
      <c r="P152" s="41"/>
      <c r="R152" s="185"/>
    </row>
    <row r="153" spans="2:18" s="191" customFormat="1" ht="10.7" customHeight="1" x14ac:dyDescent="0.2">
      <c r="B153" s="162" t="s">
        <v>125</v>
      </c>
      <c r="C153" s="151">
        <f>SUM(C148:C151)</f>
        <v>356.81299999999999</v>
      </c>
      <c r="D153" s="152">
        <f>SUM(D148:D152)</f>
        <v>0</v>
      </c>
      <c r="E153" s="152">
        <f t="shared" si="31"/>
        <v>0</v>
      </c>
      <c r="F153" s="153">
        <f>SUM(F148:F151)</f>
        <v>356.81299999999999</v>
      </c>
      <c r="G153" s="153">
        <f>SUM(G148:G151)</f>
        <v>0</v>
      </c>
      <c r="H153" s="183">
        <f t="shared" si="32"/>
        <v>0</v>
      </c>
      <c r="I153" s="153">
        <f t="shared" si="33"/>
        <v>356.81299999999999</v>
      </c>
      <c r="J153" s="154">
        <f>SUM(J148:J151)</f>
        <v>0</v>
      </c>
      <c r="K153" s="154">
        <f>SUM(K148:K151)</f>
        <v>0</v>
      </c>
      <c r="L153" s="154">
        <f>SUM(L148:L151)</f>
        <v>0</v>
      </c>
      <c r="M153" s="154">
        <f>SUM(M148:M151)</f>
        <v>0</v>
      </c>
      <c r="N153" s="46">
        <f t="shared" si="29"/>
        <v>0</v>
      </c>
      <c r="O153" s="45">
        <f t="shared" si="30"/>
        <v>0</v>
      </c>
      <c r="P153" s="41" t="str">
        <f>IF(ISNUMBER(VLOOKUP(B153,[4]CLOSURES!B:BI,13,FALSE)),TEXT(VLOOKUP(B153,[4]CLOSURES!B:BI,13,FALSE),"ddmmm"),IF(F153&lt;=0,0,IF(I153&lt;=0,0,IF(AND(F153&gt;0,O153&lt;=0),"&gt;52",IF(I153/O153&gt;52,"&gt;52", MAX(0,I153/O153-2))))))</f>
        <v>&gt;52</v>
      </c>
      <c r="R153" s="185"/>
    </row>
    <row r="154" spans="2:18" s="191" customFormat="1" ht="10.7" customHeight="1" x14ac:dyDescent="0.2">
      <c r="B154" s="162"/>
      <c r="C154" s="151"/>
      <c r="D154" s="152"/>
      <c r="E154" s="152"/>
      <c r="F154" s="153"/>
      <c r="G154" s="154"/>
      <c r="H154" s="183"/>
      <c r="I154" s="153"/>
      <c r="J154" s="154"/>
      <c r="K154" s="154"/>
      <c r="L154" s="154"/>
      <c r="M154" s="154"/>
      <c r="N154" s="46"/>
      <c r="O154" s="45"/>
      <c r="P154" s="41"/>
      <c r="R154" s="185"/>
    </row>
    <row r="155" spans="2:18" s="191" customFormat="1" ht="10.7" customHeight="1" x14ac:dyDescent="0.2">
      <c r="B155" s="223" t="s">
        <v>126</v>
      </c>
      <c r="C155" s="151">
        <f>'[5]Maj Pel Combined'!I36</f>
        <v>1027.2850000000001</v>
      </c>
      <c r="D155" s="152">
        <f>F155-VLOOKUP(B155,[4]quotas!$B$85:$W$120,13,FALSE)</f>
        <v>-10</v>
      </c>
      <c r="E155" s="152">
        <f t="shared" si="31"/>
        <v>-1010</v>
      </c>
      <c r="F155" s="153">
        <f>VLOOKUP(B155,[4]quotas!$B$46:$W$84,13,FALSE)</f>
        <v>17.285000000000082</v>
      </c>
      <c r="G155" s="154">
        <f>VLOOKUP(B155,[4]Cumulative!$A$56:$X$91,14,FALSE)</f>
        <v>0.86950000108033354</v>
      </c>
      <c r="H155" s="183">
        <f t="shared" si="32"/>
        <v>5.0303731621656311</v>
      </c>
      <c r="I155" s="153">
        <f t="shared" si="33"/>
        <v>16.415499998919749</v>
      </c>
      <c r="J155" s="154">
        <f>VLOOKUP(B155,[4]Weeks!$A$125:$X$161,14,FALSE)-VLOOKUP(B155,[4]Weeks!$A$165:$X$200,14,FALSE)</f>
        <v>0.17499999999999927</v>
      </c>
      <c r="K155" s="154">
        <f>VLOOKUP(B155,[4]Weeks!$A$85:$X$121,14,FALSE)-VLOOKUP(B155,[4]Weeks!$A$125:$X$161,14,FALSE)</f>
        <v>4.6449999988079083E-2</v>
      </c>
      <c r="L155" s="154">
        <f>VLOOKUP(B155,[4]Weeks!$A$44:$X$81,14,FALSE)-VLOOKUP(B155,[4]Weeks!$A$85:$X$121,14,FALSE)</f>
        <v>1.8450000002980249E-2</v>
      </c>
      <c r="M155" s="154">
        <f>VLOOKUP(B155,[4]Weeks!$A$3:$X$39,14,FALSE)-VLOOKUP(B155,[4]Weeks!$A$44:$X$81,14,FALSE)</f>
        <v>2.4900000005960266E-2</v>
      </c>
      <c r="N155" s="46">
        <f t="shared" si="29"/>
        <v>2.423864848212547E-3</v>
      </c>
      <c r="O155" s="45">
        <f t="shared" si="30"/>
        <v>6.6199999999254716E-2</v>
      </c>
      <c r="P155" s="41" t="str">
        <f>IF(ISNUMBER(VLOOKUP(B155,[4]CLOSURES!B:BI,13,FALSE)),TEXT(VLOOKUP(B155,[4]CLOSURES!B:BI,13,FALSE),"ddmmm"),IF(F155&lt;=0,0,IF(I155&lt;=0,0,IF(AND(F155&gt;0,O155&lt;=0),"&gt;52",IF(I155/O155&gt;52,"&gt;52", MAX(0,I155/O155-2))))))</f>
        <v>01Jan</v>
      </c>
      <c r="R155" s="185"/>
    </row>
    <row r="156" spans="2:18" s="191" customFormat="1" ht="10.7" customHeight="1" x14ac:dyDescent="0.2">
      <c r="B156" s="223" t="s">
        <v>127</v>
      </c>
      <c r="C156" s="151">
        <f>'[5]Maj Pel Combined'!I37</f>
        <v>0</v>
      </c>
      <c r="D156" s="152">
        <f>F156-VLOOKUP(B156,[4]quotas!$B$85:$W$120,13,FALSE)</f>
        <v>0</v>
      </c>
      <c r="E156" s="152">
        <f t="shared" si="31"/>
        <v>0</v>
      </c>
      <c r="F156" s="153">
        <f>VLOOKUP(B156,[4]quotas!$B$46:$W$84,13,FALSE)</f>
        <v>0</v>
      </c>
      <c r="G156" s="154">
        <f>VLOOKUP(B156,[4]Cumulative!$A$56:$X$91,14,FALSE)</f>
        <v>0</v>
      </c>
      <c r="H156" s="183">
        <f t="shared" si="32"/>
        <v>0</v>
      </c>
      <c r="I156" s="153">
        <f t="shared" si="33"/>
        <v>0</v>
      </c>
      <c r="J156" s="154">
        <f>VLOOKUP(B156,[4]Weeks!$A$125:$X$161,14,FALSE)-VLOOKUP(B156,[4]Weeks!$A$165:$X$200,14,FALSE)</f>
        <v>0</v>
      </c>
      <c r="K156" s="154">
        <f>VLOOKUP(B156,[4]Weeks!$A$85:$X$121,14,FALSE)-VLOOKUP(B156,[4]Weeks!$A$125:$X$161,14,FALSE)</f>
        <v>0</v>
      </c>
      <c r="L156" s="154">
        <f>VLOOKUP(B156,[4]Weeks!$A$44:$X$81,14,FALSE)-VLOOKUP(B156,[4]Weeks!$A$85:$X$121,14,FALSE)</f>
        <v>0</v>
      </c>
      <c r="M156" s="154">
        <f>VLOOKUP(B156,[4]Weeks!$A$3:$X$39,14,FALSE)-VLOOKUP(B156,[4]Weeks!$A$44:$X$81,14,FALSE)</f>
        <v>0</v>
      </c>
      <c r="N156" s="46" t="str">
        <f t="shared" si="29"/>
        <v>-</v>
      </c>
      <c r="O156" s="45">
        <f t="shared" si="30"/>
        <v>0</v>
      </c>
      <c r="P156" s="41" t="str">
        <f>IF(ISNUMBER(VLOOKUP(B156,[4]CLOSURES!B:BI,13,FALSE)),TEXT(VLOOKUP(B156,[4]CLOSURES!B:BI,13,FALSE),"ddmmm"),IF(F156&lt;=0,0,IF(I156&lt;=0,0,IF(AND(F156&gt;0,O156&lt;=0),"&gt;52",IF(I156/O156&gt;52,"&gt;52", MAX(0,I156/O156-2))))))</f>
        <v>01Jan</v>
      </c>
      <c r="R156" s="185"/>
    </row>
    <row r="157" spans="2:18" s="191" customFormat="1" ht="10.7" customHeight="1" x14ac:dyDescent="0.2">
      <c r="B157" s="223" t="s">
        <v>128</v>
      </c>
      <c r="C157" s="151">
        <f>'[5]Maj Pel Combined'!I38</f>
        <v>0</v>
      </c>
      <c r="D157" s="152">
        <f>F157-VLOOKUP(B157,[4]quotas!$B$85:$W$120,13,FALSE)</f>
        <v>0</v>
      </c>
      <c r="E157" s="152">
        <f t="shared" si="31"/>
        <v>0</v>
      </c>
      <c r="F157" s="153">
        <f>VLOOKUP(B157,[4]quotas!$B$46:$W$84,13,FALSE)</f>
        <v>0</v>
      </c>
      <c r="G157" s="154">
        <f>VLOOKUP(B157,[4]Cumulative!$A$56:$X$91,14,FALSE)</f>
        <v>0.06</v>
      </c>
      <c r="H157" s="183" t="str">
        <f t="shared" si="32"/>
        <v>n/a</v>
      </c>
      <c r="I157" s="153">
        <f t="shared" si="33"/>
        <v>-0.06</v>
      </c>
      <c r="J157" s="154">
        <f>VLOOKUP(B157,[4]Weeks!$A$125:$X$161,14,FALSE)-VLOOKUP(B157,[4]Weeks!$A$165:$X$200,14,FALSE)</f>
        <v>0</v>
      </c>
      <c r="K157" s="154">
        <f>VLOOKUP(B157,[4]Weeks!$A$85:$X$121,14,FALSE)-VLOOKUP(B157,[4]Weeks!$A$125:$X$161,14,FALSE)</f>
        <v>0</v>
      </c>
      <c r="L157" s="154">
        <f>VLOOKUP(B157,[4]Weeks!$A$44:$X$81,14,FALSE)-VLOOKUP(B157,[4]Weeks!$A$85:$X$121,14,FALSE)</f>
        <v>0</v>
      </c>
      <c r="M157" s="154">
        <f>VLOOKUP(B157,[4]Weeks!$A$3:$X$39,14,FALSE)-VLOOKUP(B157,[4]Weeks!$A$44:$X$81,14,FALSE)</f>
        <v>0</v>
      </c>
      <c r="N157" s="46" t="str">
        <f t="shared" si="29"/>
        <v>-</v>
      </c>
      <c r="O157" s="45">
        <f t="shared" si="30"/>
        <v>0</v>
      </c>
      <c r="P157" s="41" t="str">
        <f>IF(ISNUMBER(VLOOKUP(B157,[4]CLOSURES!B:BI,13,FALSE)),TEXT(VLOOKUP(B157,[4]CLOSURES!B:BI,13,FALSE),"ddmmm"),IF(F157&lt;=0,0,IF(I157&lt;=0,0,IF(AND(F157&gt;0,O157&lt;=0),"&gt;52",IF(I157/O157&gt;52,"&gt;52", MAX(0,I157/O157-2))))))</f>
        <v>01Jan</v>
      </c>
      <c r="R157" s="185"/>
    </row>
    <row r="158" spans="2:18" s="191" customFormat="1" ht="10.7" customHeight="1" x14ac:dyDescent="0.2">
      <c r="B158" s="223" t="s">
        <v>129</v>
      </c>
      <c r="C158" s="151">
        <f>'[5]Maj Pel Combined'!I39</f>
        <v>0</v>
      </c>
      <c r="D158" s="152">
        <f>F158-VLOOKUP(B158,[4]quotas!$B$85:$W$120,13,FALSE)</f>
        <v>0</v>
      </c>
      <c r="E158" s="152">
        <f t="shared" si="31"/>
        <v>0</v>
      </c>
      <c r="F158" s="153">
        <f>VLOOKUP(B158,[4]quotas!$B$46:$W$84,13,FALSE)</f>
        <v>0</v>
      </c>
      <c r="G158" s="154">
        <f>VLOOKUP(B158,[4]Cumulative!$A$56:$X$91,14,FALSE)</f>
        <v>0</v>
      </c>
      <c r="H158" s="183">
        <f t="shared" si="32"/>
        <v>0</v>
      </c>
      <c r="I158" s="153">
        <f t="shared" si="33"/>
        <v>0</v>
      </c>
      <c r="J158" s="154">
        <f>VLOOKUP(B158,[4]Weeks!$A$125:$X$161,14,FALSE)-VLOOKUP(B158,[4]Weeks!$A$165:$X$200,14,FALSE)</f>
        <v>0</v>
      </c>
      <c r="K158" s="154">
        <f>VLOOKUP(B158,[4]Weeks!$A$85:$X$121,14,FALSE)-VLOOKUP(B158,[4]Weeks!$A$125:$X$161,14,FALSE)</f>
        <v>0</v>
      </c>
      <c r="L158" s="154">
        <f>VLOOKUP(B158,[4]Weeks!$A$44:$X$81,14,FALSE)-VLOOKUP(B158,[4]Weeks!$A$85:$X$121,14,FALSE)</f>
        <v>0</v>
      </c>
      <c r="M158" s="154">
        <f>VLOOKUP(B158,[4]Weeks!$A$3:$X$39,14,FALSE)-VLOOKUP(B158,[4]Weeks!$A$44:$X$81,14,FALSE)</f>
        <v>0</v>
      </c>
      <c r="N158" s="48">
        <f>SUM(N148:N157)</f>
        <v>2.423864848212547E-3</v>
      </c>
      <c r="O158" s="45">
        <f t="shared" si="30"/>
        <v>0</v>
      </c>
      <c r="P158" s="41" t="str">
        <f>IF(ISNUMBER(VLOOKUP(B158,[4]CLOSURES!B:BI,13,FALSE)),TEXT(VLOOKUP(B158,[4]CLOSURES!B:BI,13,FALSE),"ddmmm"),IF(F158&lt;=0,0,IF(I158&lt;=0,0,IF(AND(F158&gt;0,O158&lt;=0),"&gt;52",IF(I158/O158&gt;52,"&gt;52", MAX(0,I158/O158-2))))))</f>
        <v>01Jan</v>
      </c>
      <c r="R158" s="185"/>
    </row>
    <row r="159" spans="2:18" s="191" customFormat="1" ht="10.7" customHeight="1" x14ac:dyDescent="0.2">
      <c r="B159" s="223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45"/>
      <c r="P159" s="41"/>
      <c r="R159" s="185"/>
    </row>
    <row r="160" spans="2:18" s="191" customFormat="1" ht="10.7" customHeight="1" x14ac:dyDescent="0.2">
      <c r="B160" s="196" t="s">
        <v>130</v>
      </c>
      <c r="C160" s="151">
        <f>SUM(C155:C158)</f>
        <v>1027.2850000000001</v>
      </c>
      <c r="D160" s="152">
        <f>SUM(D155:D159)</f>
        <v>-10</v>
      </c>
      <c r="E160" s="152">
        <f t="shared" si="31"/>
        <v>-1010</v>
      </c>
      <c r="F160" s="153">
        <f>SUM(F155:F158)</f>
        <v>17.285000000000082</v>
      </c>
      <c r="G160" s="153">
        <f>SUM(G155:G158)</f>
        <v>0.92950000108033359</v>
      </c>
      <c r="H160" s="183">
        <f t="shared" si="32"/>
        <v>5.3774949440574442</v>
      </c>
      <c r="I160" s="153">
        <f t="shared" si="33"/>
        <v>16.355499998919747</v>
      </c>
      <c r="J160" s="154">
        <f>SUM(J155:J158)</f>
        <v>0.17499999999999927</v>
      </c>
      <c r="K160" s="154">
        <f>SUM(K155:K158)</f>
        <v>4.6449999988079083E-2</v>
      </c>
      <c r="L160" s="154">
        <f>SUM(L155:L158)</f>
        <v>1.8450000002980249E-2</v>
      </c>
      <c r="M160" s="154">
        <f>SUM(M155:M158)</f>
        <v>2.4900000005960266E-2</v>
      </c>
      <c r="N160" s="46">
        <f>IF(C160="*","*",IF(C160&gt;0,M160/C160*100,"-"))</f>
        <v>2.423864848212547E-3</v>
      </c>
      <c r="O160" s="45">
        <f>IF(C160="*","*",SUM(J160:M160)/4)</f>
        <v>6.6199999999254716E-2</v>
      </c>
      <c r="P160" s="41" t="str">
        <f>IF(ISNUMBER(VLOOKUP(B160,[4]CLOSURES!B:BI,13,FALSE)),TEXT(VLOOKUP(B160,[4]CLOSURES!B:BI,13,FALSE),"ddmmm"),IF(F160&lt;=0,0,IF(I160&lt;=0,0,IF(AND(F160&gt;0,O160&lt;=0),"&gt;52",IF(I160/O160&gt;52,"&gt;52", MAX(0,I160/O160-2))))))</f>
        <v>&gt;52</v>
      </c>
      <c r="R160" s="185"/>
    </row>
    <row r="161" spans="2:254" s="191" customFormat="1" ht="10.7" customHeight="1" x14ac:dyDescent="0.2">
      <c r="B161" s="186"/>
      <c r="C161" s="151"/>
      <c r="D161" s="152"/>
      <c r="E161" s="152"/>
      <c r="F161" s="153"/>
      <c r="G161" s="154"/>
      <c r="H161" s="183"/>
      <c r="I161" s="153"/>
      <c r="J161" s="154"/>
      <c r="K161" s="154"/>
      <c r="L161" s="154"/>
      <c r="M161" s="154"/>
      <c r="N161" s="46"/>
      <c r="O161" s="45"/>
      <c r="P161" s="41"/>
      <c r="R161" s="185"/>
    </row>
    <row r="162" spans="2:254" s="191" customFormat="1" ht="10.7" customHeight="1" x14ac:dyDescent="0.2">
      <c r="B162" s="187" t="s">
        <v>91</v>
      </c>
      <c r="C162" s="157">
        <f>SUM(C160+C153)</f>
        <v>1384.098</v>
      </c>
      <c r="D162" s="160">
        <f>D153+D160</f>
        <v>-10</v>
      </c>
      <c r="E162" s="160">
        <f t="shared" si="31"/>
        <v>-1009.9999999999999</v>
      </c>
      <c r="F162" s="156">
        <f>F160+F153</f>
        <v>374.09800000000007</v>
      </c>
      <c r="G162" s="155">
        <f>G153+G160</f>
        <v>0.92950000108033359</v>
      </c>
      <c r="H162" s="188">
        <f>IF(AND(F162=0,G162&gt;0),"n/a",IF(F162=0,0,100*G162/F162))</f>
        <v>0.24846430643316283</v>
      </c>
      <c r="I162" s="156">
        <f>I160+I153</f>
        <v>373.16849999891974</v>
      </c>
      <c r="J162" s="155">
        <f>J153+J160</f>
        <v>0.17499999999999927</v>
      </c>
      <c r="K162" s="155">
        <f>K153+K160</f>
        <v>4.6449999988079083E-2</v>
      </c>
      <c r="L162" s="155">
        <f>L153+L160</f>
        <v>1.8450000002980249E-2</v>
      </c>
      <c r="M162" s="155">
        <f>M153+M160</f>
        <v>2.4900000005960266E-2</v>
      </c>
      <c r="N162" s="58">
        <f>IF(C162="*","*",IF(C162&gt;0,M162/C162*100,"-"))</f>
        <v>1.7990055621755299E-3</v>
      </c>
      <c r="O162" s="52">
        <f>IF(C162="*","*",SUM(J162:M162)/4)</f>
        <v>6.6199999999254716E-2</v>
      </c>
      <c r="P162" s="54" t="str">
        <f>IF(ISNUMBER(VLOOKUP(B162,[4]CLOSURES!B:BI,13,FALSE)),TEXT(VLOOKUP(B162,[4]CLOSURES!B:BI,13,FALSE),"ddmmm"),IF(F162&lt;=0,0,IF(I162&lt;=0,0,IF(AND(F162&gt;0,O162&lt;=0),"&gt;52",IF(I162/O162&gt;52,"&gt;52", MAX(0,I162/O162-2))))))</f>
        <v>&gt;52</v>
      </c>
      <c r="R162" s="185"/>
    </row>
    <row r="163" spans="2:254" ht="10.7" customHeight="1" x14ac:dyDescent="0.2">
      <c r="B163" s="198"/>
      <c r="C163" s="198"/>
      <c r="D163" s="198"/>
      <c r="E163" s="198"/>
      <c r="F163" s="199"/>
      <c r="G163" s="198"/>
      <c r="H163" s="198"/>
      <c r="I163" s="200"/>
      <c r="J163" s="198"/>
      <c r="K163" s="198"/>
      <c r="L163" s="198"/>
      <c r="M163" s="198"/>
      <c r="N163" s="201"/>
      <c r="O163" s="198"/>
      <c r="P163" s="201"/>
      <c r="Q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8"/>
      <c r="CH163" s="198"/>
      <c r="CI163" s="198"/>
      <c r="CJ163" s="198"/>
      <c r="CK163" s="198"/>
      <c r="CL163" s="198"/>
      <c r="CM163" s="198"/>
      <c r="CN163" s="198"/>
      <c r="CO163" s="198"/>
      <c r="CP163" s="198"/>
      <c r="CQ163" s="198"/>
      <c r="CR163" s="198"/>
      <c r="CS163" s="198"/>
      <c r="CT163" s="198"/>
      <c r="CU163" s="198"/>
      <c r="CV163" s="198"/>
      <c r="CW163" s="198"/>
      <c r="CX163" s="198"/>
      <c r="CY163" s="198"/>
      <c r="CZ163" s="198"/>
      <c r="DA163" s="198"/>
      <c r="DB163" s="198"/>
      <c r="DC163" s="198"/>
      <c r="DD163" s="198"/>
      <c r="DE163" s="198"/>
      <c r="DF163" s="198"/>
      <c r="DG163" s="198"/>
      <c r="DH163" s="198"/>
      <c r="DI163" s="198"/>
      <c r="DJ163" s="198"/>
      <c r="DK163" s="198"/>
      <c r="DL163" s="198"/>
      <c r="DM163" s="198"/>
      <c r="DN163" s="198"/>
      <c r="DO163" s="198"/>
      <c r="DP163" s="198"/>
      <c r="DQ163" s="198"/>
      <c r="DR163" s="198"/>
      <c r="DS163" s="198"/>
      <c r="DT163" s="198"/>
      <c r="DU163" s="198"/>
      <c r="DV163" s="198"/>
      <c r="DW163" s="198"/>
      <c r="DX163" s="198"/>
      <c r="DY163" s="198"/>
      <c r="DZ163" s="198"/>
      <c r="EA163" s="198"/>
      <c r="EB163" s="198"/>
      <c r="EC163" s="198"/>
      <c r="ED163" s="198"/>
      <c r="EE163" s="198"/>
      <c r="EF163" s="198"/>
      <c r="EG163" s="198"/>
      <c r="EH163" s="198"/>
      <c r="EI163" s="198"/>
      <c r="EJ163" s="198"/>
      <c r="EK163" s="198"/>
      <c r="EL163" s="198"/>
      <c r="EM163" s="198"/>
      <c r="EN163" s="198"/>
      <c r="EO163" s="198"/>
      <c r="EP163" s="198"/>
      <c r="EQ163" s="198"/>
      <c r="ER163" s="198"/>
      <c r="ES163" s="198"/>
      <c r="ET163" s="198"/>
      <c r="EU163" s="198"/>
      <c r="EV163" s="198"/>
      <c r="EW163" s="198"/>
      <c r="EX163" s="198"/>
      <c r="EY163" s="198"/>
      <c r="EZ163" s="198"/>
      <c r="FA163" s="198"/>
      <c r="FB163" s="198"/>
      <c r="FC163" s="198"/>
      <c r="FD163" s="198"/>
      <c r="FE163" s="198"/>
      <c r="FF163" s="198"/>
      <c r="FG163" s="198"/>
      <c r="FH163" s="198"/>
      <c r="FI163" s="198"/>
      <c r="FJ163" s="198"/>
      <c r="FK163" s="198"/>
      <c r="FL163" s="198"/>
      <c r="FM163" s="198"/>
      <c r="FN163" s="198"/>
      <c r="FO163" s="198"/>
      <c r="FP163" s="198"/>
      <c r="FQ163" s="198"/>
      <c r="FR163" s="198"/>
      <c r="FS163" s="198"/>
      <c r="FT163" s="198"/>
      <c r="FU163" s="198"/>
      <c r="FV163" s="198"/>
      <c r="FW163" s="198"/>
      <c r="FX163" s="198"/>
      <c r="FY163" s="198"/>
      <c r="FZ163" s="198"/>
      <c r="GA163" s="198"/>
      <c r="GB163" s="198"/>
      <c r="GC163" s="198"/>
      <c r="GD163" s="198"/>
      <c r="GE163" s="198"/>
      <c r="GF163" s="198"/>
      <c r="GG163" s="198"/>
      <c r="GH163" s="198"/>
      <c r="GI163" s="198"/>
      <c r="GJ163" s="198"/>
      <c r="GK163" s="198"/>
      <c r="GL163" s="198"/>
      <c r="GM163" s="198"/>
      <c r="GN163" s="198"/>
      <c r="GO163" s="198"/>
      <c r="GP163" s="198"/>
      <c r="GQ163" s="198"/>
      <c r="GR163" s="198"/>
      <c r="GS163" s="198"/>
      <c r="GT163" s="198"/>
      <c r="GU163" s="198"/>
      <c r="GV163" s="198"/>
      <c r="GW163" s="198"/>
      <c r="GX163" s="198"/>
      <c r="GY163" s="198"/>
      <c r="GZ163" s="198"/>
      <c r="HA163" s="198"/>
      <c r="HB163" s="198"/>
      <c r="HC163" s="198"/>
      <c r="HD163" s="198"/>
      <c r="HE163" s="198"/>
      <c r="HF163" s="198"/>
      <c r="HG163" s="198"/>
      <c r="HH163" s="198"/>
      <c r="HI163" s="198"/>
      <c r="HJ163" s="198"/>
      <c r="HK163" s="198"/>
      <c r="HL163" s="198"/>
      <c r="HM163" s="198"/>
      <c r="HN163" s="198"/>
      <c r="HO163" s="198"/>
      <c r="HP163" s="198"/>
      <c r="HQ163" s="198"/>
      <c r="HR163" s="198"/>
      <c r="HS163" s="198"/>
      <c r="HT163" s="198"/>
      <c r="HU163" s="198"/>
      <c r="HV163" s="198"/>
      <c r="HW163" s="198"/>
      <c r="HX163" s="198"/>
      <c r="HY163" s="198"/>
      <c r="HZ163" s="198"/>
      <c r="IA163" s="198"/>
      <c r="IB163" s="198"/>
      <c r="IC163" s="198"/>
      <c r="ID163" s="198"/>
      <c r="IE163" s="198"/>
      <c r="IF163" s="198"/>
      <c r="IG163" s="198"/>
      <c r="IH163" s="198"/>
      <c r="II163" s="198"/>
      <c r="IJ163" s="198"/>
      <c r="IK163" s="198"/>
      <c r="IL163" s="198"/>
      <c r="IM163" s="198"/>
      <c r="IN163" s="198"/>
      <c r="IO163" s="198"/>
      <c r="IP163" s="198"/>
      <c r="IQ163" s="198"/>
      <c r="IR163" s="198"/>
      <c r="IS163" s="198"/>
      <c r="IT163" s="198"/>
    </row>
    <row r="164" spans="2:254" s="191" customFormat="1" ht="10.7" customHeight="1" x14ac:dyDescent="0.2">
      <c r="F164" s="192"/>
      <c r="I164" s="193"/>
      <c r="N164" s="194"/>
      <c r="P164" s="194"/>
      <c r="R164" s="185"/>
    </row>
    <row r="165" spans="2:254" s="191" customFormat="1" ht="10.7" customHeight="1" x14ac:dyDescent="0.2">
      <c r="B165" s="14"/>
      <c r="C165" s="15" t="str">
        <f>C5</f>
        <v>Initial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5"/>
    </row>
    <row r="166" spans="2:254" s="191" customFormat="1" ht="10.7" customHeight="1" x14ac:dyDescent="0.2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5"/>
    </row>
    <row r="167" spans="2:254" s="191" customFormat="1" ht="10.7" customHeight="1" x14ac:dyDescent="0.2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f>$J7</f>
        <v>44468</v>
      </c>
      <c r="K167" s="33">
        <f>$K7</f>
        <v>44475</v>
      </c>
      <c r="L167" s="33">
        <f>$L7</f>
        <v>44482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5"/>
    </row>
    <row r="168" spans="2:254" s="191" customFormat="1" ht="10.7" customHeight="1" x14ac:dyDescent="0.2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5"/>
    </row>
    <row r="169" spans="2:254" s="191" customFormat="1" ht="10.7" customHeight="1" x14ac:dyDescent="0.2">
      <c r="B169" s="40"/>
      <c r="C169" s="233" t="s">
        <v>134</v>
      </c>
      <c r="D169" s="235"/>
      <c r="E169" s="235"/>
      <c r="F169" s="235"/>
      <c r="G169" s="235"/>
      <c r="H169" s="235"/>
      <c r="I169" s="235"/>
      <c r="J169" s="235"/>
      <c r="K169" s="235"/>
      <c r="L169" s="235"/>
      <c r="M169" s="235"/>
      <c r="N169" s="235"/>
      <c r="O169" s="235"/>
      <c r="P169" s="41" t="s">
        <v>4</v>
      </c>
      <c r="R169" s="185"/>
    </row>
    <row r="170" spans="2:254" s="191" customFormat="1" ht="10.7" customHeight="1" x14ac:dyDescent="0.2">
      <c r="B170" s="222" t="s">
        <v>121</v>
      </c>
      <c r="C170" s="151">
        <f>'[5]Maj Pel Combined'!J29</f>
        <v>0.4</v>
      </c>
      <c r="D170" s="152">
        <f>F170-VLOOKUP(B170,[4]quotas!$B$85:$W$120,14,FALSE)</f>
        <v>0</v>
      </c>
      <c r="E170" s="152">
        <f>F170-C170</f>
        <v>0</v>
      </c>
      <c r="F170" s="153">
        <f>VLOOKUP(B170,[4]quotas!$B$46:$W$84,14,FALSE)</f>
        <v>0.4</v>
      </c>
      <c r="G170" s="154">
        <f>VLOOKUP(B170,[4]Cumulative!$A$56:$X$91,15,FALSE)</f>
        <v>0</v>
      </c>
      <c r="H170" s="183">
        <f>IF(AND(F170=0,G170&gt;0),"n/a",IF(F170=0,0,100*G170/F170))</f>
        <v>0</v>
      </c>
      <c r="I170" s="153">
        <f>IF(F170="*","*",F170-G170)</f>
        <v>0.4</v>
      </c>
      <c r="J170" s="154">
        <f>VLOOKUP(B170,[4]Weeks!$A$125:$X$161,15,FALSE)-VLOOKUP(B170,[4]Weeks!$A$165:$X$200,15,FALSE)</f>
        <v>0</v>
      </c>
      <c r="K170" s="154">
        <f>VLOOKUP(B170,[4]Weeks!$A$85:$X$121,15,FALSE)-VLOOKUP(B170,[4]Weeks!$A$125:$X$161,15,FALSE)</f>
        <v>0</v>
      </c>
      <c r="L170" s="154">
        <f>VLOOKUP(B170,[4]Weeks!$A$44:$X$81,15,FALSE)-VLOOKUP(B170,[4]Weeks!$A$85:$X$121,15,FALSE)</f>
        <v>0</v>
      </c>
      <c r="M170" s="154">
        <f>VLOOKUP(B170,[4]Weeks!$A$3:$X$39,15,FALSE)-VLOOKUP(B170,[4]Weeks!$A$44:$X$81,15,FALSE)</f>
        <v>0</v>
      </c>
      <c r="N170" s="46">
        <f t="shared" ref="N170:N179" si="34">IF(C170="*","*",IF(C170&gt;0,M170/C170*100,"-"))</f>
        <v>0</v>
      </c>
      <c r="O170" s="45">
        <f t="shared" ref="O170:O180" si="35">IF(C170="*","*",SUM(J170:M170)/4)</f>
        <v>0</v>
      </c>
      <c r="P170" s="41" t="str">
        <f>IF(ISNUMBER(VLOOKUP(B170,[4]CLOSURES!B:BI,14,FALSE)),TEXT(VLOOKUP(B170,[4]CLOSURES!B:BI,14,FALSE),"ddmmm"),IF(F170&lt;=0,0,IF(I170&lt;=0,0,IF(AND(F170&gt;0,O170&lt;=0),"&gt;52",IF(I170/O170&gt;52,"&gt;52", MAX(0,I170/O170-2))))))</f>
        <v>&gt;52</v>
      </c>
      <c r="R170" s="185"/>
    </row>
    <row r="171" spans="2:254" s="191" customFormat="1" ht="10.7" customHeight="1" x14ac:dyDescent="0.2">
      <c r="B171" s="222" t="s">
        <v>122</v>
      </c>
      <c r="C171" s="151">
        <f>'[5]Maj Pel Combined'!J30</f>
        <v>0</v>
      </c>
      <c r="D171" s="152">
        <f>F171-VLOOKUP(B171,[4]quotas!$B$85:$W$120,14,FALSE)</f>
        <v>0</v>
      </c>
      <c r="E171" s="152">
        <f t="shared" ref="E171:E184" si="36">F171-C171</f>
        <v>0</v>
      </c>
      <c r="F171" s="153">
        <f>VLOOKUP(B171,[4]quotas!$B$46:$W$84,14,FALSE)</f>
        <v>0</v>
      </c>
      <c r="G171" s="154">
        <f>VLOOKUP(B171,[4]Cumulative!$A$56:$X$91,15,FALSE)</f>
        <v>0</v>
      </c>
      <c r="H171" s="183">
        <f t="shared" ref="H171:H182" si="37">IF(AND(F171=0,G171&gt;0),"n/a",IF(F171=0,0,100*G171/F171))</f>
        <v>0</v>
      </c>
      <c r="I171" s="153">
        <f t="shared" ref="I171:I182" si="38">IF(F171="*","*",F171-G171)</f>
        <v>0</v>
      </c>
      <c r="J171" s="154">
        <f>VLOOKUP(B171,[4]Weeks!$A$125:$X$161,15,FALSE)-VLOOKUP(B171,[4]Weeks!$A$165:$X$200,15,FALSE)</f>
        <v>0</v>
      </c>
      <c r="K171" s="154">
        <f>VLOOKUP(B171,[4]Weeks!$A$85:$X$121,15,FALSE)-VLOOKUP(B171,[4]Weeks!$A$125:$X$161,15,FALSE)</f>
        <v>0</v>
      </c>
      <c r="L171" s="154">
        <f>VLOOKUP(B171,[4]Weeks!$A$44:$X$81,15,FALSE)-VLOOKUP(B171,[4]Weeks!$A$85:$X$121,15,FALSE)</f>
        <v>0</v>
      </c>
      <c r="M171" s="154">
        <f>VLOOKUP(B171,[4]Weeks!$A$3:$X$39,15,FALSE)-VLOOKUP(B171,[4]Weeks!$A$44:$X$81,15,FALSE)</f>
        <v>0</v>
      </c>
      <c r="N171" s="46" t="str">
        <f t="shared" si="34"/>
        <v>-</v>
      </c>
      <c r="O171" s="45">
        <f t="shared" si="35"/>
        <v>0</v>
      </c>
      <c r="P171" s="41">
        <f>IF(ISNUMBER(VLOOKUP(B171,[4]CLOSURES!B:BI,14,FALSE)),TEXT(VLOOKUP(B171,[4]CLOSURES!B:BI,14,FALSE),"ddmmm"),IF(F171&lt;=0,0,IF(I171&lt;=0,0,IF(AND(F171&gt;0,O171&lt;=0),"&gt;52",IF(I171/O171&gt;52,"&gt;52", MAX(0,I171/O171-2))))))</f>
        <v>0</v>
      </c>
      <c r="R171" s="185"/>
    </row>
    <row r="172" spans="2:254" s="191" customFormat="1" ht="10.7" customHeight="1" x14ac:dyDescent="0.2">
      <c r="B172" s="222" t="s">
        <v>123</v>
      </c>
      <c r="C172" s="151">
        <f>'[5]Maj Pel Combined'!J31</f>
        <v>0</v>
      </c>
      <c r="D172" s="152">
        <f>F172-VLOOKUP(B172,[4]quotas!$B$85:$W$120,14,FALSE)</f>
        <v>0</v>
      </c>
      <c r="E172" s="152">
        <f t="shared" si="36"/>
        <v>0</v>
      </c>
      <c r="F172" s="153">
        <f>VLOOKUP(B172,[4]quotas!$B$46:$W$84,14,FALSE)</f>
        <v>0</v>
      </c>
      <c r="G172" s="154">
        <f>VLOOKUP(B172,[4]Cumulative!$A$56:$X$91,15,FALSE)</f>
        <v>0</v>
      </c>
      <c r="H172" s="183">
        <f t="shared" si="37"/>
        <v>0</v>
      </c>
      <c r="I172" s="153">
        <f t="shared" si="38"/>
        <v>0</v>
      </c>
      <c r="J172" s="154">
        <f>VLOOKUP(B172,[4]Weeks!$A$125:$X$161,15,FALSE)-VLOOKUP(B172,[4]Weeks!$A$165:$X$200,15,FALSE)</f>
        <v>0</v>
      </c>
      <c r="K172" s="154">
        <f>VLOOKUP(B172,[4]Weeks!$A$85:$X$121,15,FALSE)-VLOOKUP(B172,[4]Weeks!$A$125:$X$161,15,FALSE)</f>
        <v>0</v>
      </c>
      <c r="L172" s="154">
        <f>VLOOKUP(B172,[4]Weeks!$A$44:$X$81,15,FALSE)-VLOOKUP(B172,[4]Weeks!$A$85:$X$121,15,FALSE)</f>
        <v>0</v>
      </c>
      <c r="M172" s="154">
        <f>VLOOKUP(B172,[4]Weeks!$A$3:$X$39,15,FALSE)-VLOOKUP(B172,[4]Weeks!$A$44:$X$81,15,FALSE)</f>
        <v>0</v>
      </c>
      <c r="N172" s="46" t="str">
        <f t="shared" si="34"/>
        <v>-</v>
      </c>
      <c r="O172" s="45">
        <f t="shared" si="35"/>
        <v>0</v>
      </c>
      <c r="P172" s="41">
        <f>IF(ISNUMBER(VLOOKUP(B172,[4]CLOSURES!B:BI,14,FALSE)),TEXT(VLOOKUP(B172,[4]CLOSURES!B:BI,14,FALSE),"ddmmm"),IF(F172&lt;=0,0,IF(I172&lt;=0,0,IF(AND(F172&gt;0,O172&lt;=0),"&gt;52",IF(I172/O172&gt;52,"&gt;52", MAX(0,I172/O172-2))))))</f>
        <v>0</v>
      </c>
      <c r="R172" s="185"/>
    </row>
    <row r="173" spans="2:254" s="191" customFormat="1" ht="10.7" customHeight="1" x14ac:dyDescent="0.2">
      <c r="B173" s="222" t="s">
        <v>124</v>
      </c>
      <c r="C173" s="151">
        <f>'[5]Maj Pel Combined'!J32</f>
        <v>0</v>
      </c>
      <c r="D173" s="152">
        <f>F173-VLOOKUP(B173,[4]quotas!$B$85:$W$120,14,FALSE)</f>
        <v>0</v>
      </c>
      <c r="E173" s="152">
        <f t="shared" si="36"/>
        <v>0</v>
      </c>
      <c r="F173" s="153">
        <f>VLOOKUP(B173,[4]quotas!$B$46:$W$84,14,FALSE)</f>
        <v>0</v>
      </c>
      <c r="G173" s="154">
        <f>VLOOKUP(B173,[4]Cumulative!$A$56:$X$91,15,FALSE)</f>
        <v>0</v>
      </c>
      <c r="H173" s="183">
        <f t="shared" si="37"/>
        <v>0</v>
      </c>
      <c r="I173" s="153">
        <f t="shared" si="38"/>
        <v>0</v>
      </c>
      <c r="J173" s="154">
        <f>VLOOKUP(B173,[4]Weeks!$A$125:$X$161,15,FALSE)-VLOOKUP(B173,[4]Weeks!$A$165:$X$200,15,FALSE)</f>
        <v>0</v>
      </c>
      <c r="K173" s="154">
        <f>VLOOKUP(B173,[4]Weeks!$A$85:$X$121,15,FALSE)-VLOOKUP(B173,[4]Weeks!$A$125:$X$161,15,FALSE)</f>
        <v>0</v>
      </c>
      <c r="L173" s="154">
        <f>VLOOKUP(B173,[4]Weeks!$A$44:$X$81,15,FALSE)-VLOOKUP(B173,[4]Weeks!$A$85:$X$121,15,FALSE)</f>
        <v>0</v>
      </c>
      <c r="M173" s="154">
        <f>VLOOKUP(B173,[4]Weeks!$A$3:$X$39,15,FALSE)-VLOOKUP(B173,[4]Weeks!$A$44:$X$81,15,FALSE)</f>
        <v>0</v>
      </c>
      <c r="N173" s="46" t="str">
        <f t="shared" si="34"/>
        <v>-</v>
      </c>
      <c r="O173" s="45">
        <f t="shared" si="35"/>
        <v>0</v>
      </c>
      <c r="P173" s="41">
        <f>IF(ISNUMBER(VLOOKUP(B173,[4]CLOSURES!B:BI,14,FALSE)),TEXT(VLOOKUP(B173,[4]CLOSURES!B:BI,14,FALSE),"ddmmm"),IF(F173&lt;=0,0,IF(I173&lt;=0,0,IF(AND(F173&gt;0,O173&lt;=0),"&gt;52",IF(I173/O173&gt;52,"&gt;52", MAX(0,I173/O173-2))))))</f>
        <v>0</v>
      </c>
      <c r="R173" s="185"/>
    </row>
    <row r="174" spans="2:254" s="191" customFormat="1" ht="10.7" customHeight="1" x14ac:dyDescent="0.2">
      <c r="B174" s="222"/>
      <c r="C174" s="151"/>
      <c r="D174" s="152"/>
      <c r="E174" s="152"/>
      <c r="F174" s="153"/>
      <c r="G174" s="154"/>
      <c r="H174" s="183"/>
      <c r="I174" s="153"/>
      <c r="J174" s="154"/>
      <c r="K174" s="154"/>
      <c r="L174" s="154"/>
      <c r="M174" s="154"/>
      <c r="N174" s="46"/>
      <c r="O174" s="45"/>
      <c r="P174" s="41"/>
      <c r="R174" s="185"/>
    </row>
    <row r="175" spans="2:254" s="191" customFormat="1" ht="10.7" customHeight="1" x14ac:dyDescent="0.2">
      <c r="B175" s="162" t="s">
        <v>125</v>
      </c>
      <c r="C175" s="151">
        <f>SUM(C170:C173)</f>
        <v>0.4</v>
      </c>
      <c r="D175" s="152">
        <f>SUM(D170:D174)</f>
        <v>0</v>
      </c>
      <c r="E175" s="152">
        <f t="shared" si="36"/>
        <v>0</v>
      </c>
      <c r="F175" s="153">
        <f>SUM(F170:F173)</f>
        <v>0.4</v>
      </c>
      <c r="G175" s="153">
        <f>SUM(G170:G173)</f>
        <v>0</v>
      </c>
      <c r="H175" s="183">
        <f t="shared" si="37"/>
        <v>0</v>
      </c>
      <c r="I175" s="153">
        <f t="shared" si="38"/>
        <v>0.4</v>
      </c>
      <c r="J175" s="154">
        <f>SUM(J170:J173)</f>
        <v>0</v>
      </c>
      <c r="K175" s="154">
        <f>SUM(K170:K173)</f>
        <v>0</v>
      </c>
      <c r="L175" s="154">
        <f>SUM(L170:L173)</f>
        <v>0</v>
      </c>
      <c r="M175" s="154">
        <f>SUM(M170:M173)</f>
        <v>0</v>
      </c>
      <c r="N175" s="46">
        <f t="shared" si="34"/>
        <v>0</v>
      </c>
      <c r="O175" s="45">
        <f t="shared" si="35"/>
        <v>0</v>
      </c>
      <c r="P175" s="41" t="str">
        <f>IF(ISNUMBER(VLOOKUP(B175,[4]CLOSURES!B:BI,14,FALSE)),TEXT(VLOOKUP(B175,[4]CLOSURES!B:BI,14,FALSE),"ddmmm"),IF(F175&lt;=0,0,IF(I175&lt;=0,0,IF(AND(F175&gt;0,O175&lt;=0),"&gt;52",IF(I175/O175&gt;52,"&gt;52", MAX(0,I175/O175-2))))))</f>
        <v>&gt;52</v>
      </c>
      <c r="R175" s="185"/>
    </row>
    <row r="176" spans="2:254" s="191" customFormat="1" ht="10.7" customHeight="1" x14ac:dyDescent="0.2">
      <c r="B176" s="162"/>
      <c r="C176" s="151"/>
      <c r="D176" s="152"/>
      <c r="E176" s="152"/>
      <c r="F176" s="153"/>
      <c r="G176" s="154"/>
      <c r="H176" s="183"/>
      <c r="I176" s="153"/>
      <c r="J176" s="154"/>
      <c r="K176" s="154"/>
      <c r="L176" s="154"/>
      <c r="M176" s="154"/>
      <c r="N176" s="46"/>
      <c r="O176" s="45"/>
      <c r="P176" s="41"/>
      <c r="R176" s="185"/>
    </row>
    <row r="177" spans="2:18" s="191" customFormat="1" ht="10.7" customHeight="1" x14ac:dyDescent="0.2">
      <c r="B177" s="223" t="s">
        <v>126</v>
      </c>
      <c r="C177" s="151">
        <f>'[5]Maj Pel Combined'!J36</f>
        <v>0.93899999999999995</v>
      </c>
      <c r="D177" s="152">
        <f>F177-VLOOKUP(B177,[4]quotas!$B$85:$W$120,14,FALSE)</f>
        <v>0</v>
      </c>
      <c r="E177" s="152">
        <f t="shared" si="36"/>
        <v>15</v>
      </c>
      <c r="F177" s="153">
        <f>VLOOKUP(B177,[4]quotas!$B$46:$W$84,14,FALSE)</f>
        <v>15.939</v>
      </c>
      <c r="G177" s="154">
        <f>VLOOKUP(B177,[4]Cumulative!$A$56:$X$91,15,FALSE)</f>
        <v>1.7793300024121996</v>
      </c>
      <c r="H177" s="183">
        <f t="shared" si="37"/>
        <v>11.163372874158979</v>
      </c>
      <c r="I177" s="153">
        <f t="shared" si="38"/>
        <v>14.1596699975878</v>
      </c>
      <c r="J177" s="154">
        <f>VLOOKUP(B177,[4]Weeks!$A$125:$X$161,15,FALSE)-VLOOKUP(B177,[4]Weeks!$A$165:$X$200,15,FALSE)</f>
        <v>1.1499999880789868E-2</v>
      </c>
      <c r="K177" s="154">
        <f>VLOOKUP(B177,[4]Weeks!$A$85:$X$121,15,FALSE)-VLOOKUP(B177,[4]Weeks!$A$125:$X$161,15,FALSE)</f>
        <v>5.3890000164508622E-2</v>
      </c>
      <c r="L177" s="154">
        <f>VLOOKUP(B177,[4]Weeks!$A$44:$X$81,15,FALSE)-VLOOKUP(B177,[4]Weeks!$A$85:$X$121,15,FALSE)</f>
        <v>2.5500000000000522E-2</v>
      </c>
      <c r="M177" s="154">
        <f>VLOOKUP(B177,[4]Weeks!$A$3:$X$39,15,FALSE)-VLOOKUP(B177,[4]Weeks!$A$44:$X$81,15,FALSE)</f>
        <v>5.9500001072883224E-2</v>
      </c>
      <c r="N177" s="46">
        <f t="shared" si="34"/>
        <v>6.3365283357703115</v>
      </c>
      <c r="O177" s="45">
        <f t="shared" si="35"/>
        <v>3.7597500279545559E-2</v>
      </c>
      <c r="P177" s="41" t="str">
        <f>IF(ISNUMBER(VLOOKUP(B177,[4]CLOSURES!B:BI,14,FALSE)),TEXT(VLOOKUP(B177,[4]CLOSURES!B:BI,14,FALSE),"ddmmm"),IF(F177&lt;=0,0,IF(I177&lt;=0,0,IF(AND(F177&gt;0,O177&lt;=0),"&gt;52",IF(I177/O177&gt;52,"&gt;52", MAX(0,I177/O177-2))))))</f>
        <v>&gt;52</v>
      </c>
      <c r="R177" s="185"/>
    </row>
    <row r="178" spans="2:18" s="191" customFormat="1" ht="10.7" customHeight="1" x14ac:dyDescent="0.2">
      <c r="B178" s="223" t="s">
        <v>127</v>
      </c>
      <c r="C178" s="151">
        <f>'[5]Maj Pel Combined'!J37</f>
        <v>0</v>
      </c>
      <c r="D178" s="152">
        <f>F178-VLOOKUP(B178,[4]quotas!$B$85:$W$120,14,FALSE)</f>
        <v>0</v>
      </c>
      <c r="E178" s="152">
        <f t="shared" si="36"/>
        <v>0</v>
      </c>
      <c r="F178" s="153">
        <f>VLOOKUP(B178,[4]quotas!$B$46:$W$84,14,FALSE)</f>
        <v>0</v>
      </c>
      <c r="G178" s="154">
        <f>VLOOKUP(B178,[4]Cumulative!$A$56:$X$91,15,FALSE)</f>
        <v>0</v>
      </c>
      <c r="H178" s="183">
        <f t="shared" si="37"/>
        <v>0</v>
      </c>
      <c r="I178" s="153">
        <f t="shared" si="38"/>
        <v>0</v>
      </c>
      <c r="J178" s="154">
        <f>VLOOKUP(B178,[4]Weeks!$A$125:$X$161,15,FALSE)-VLOOKUP(B178,[4]Weeks!$A$165:$X$200,15,FALSE)</f>
        <v>0</v>
      </c>
      <c r="K178" s="154">
        <f>VLOOKUP(B178,[4]Weeks!$A$85:$X$121,15,FALSE)-VLOOKUP(B178,[4]Weeks!$A$125:$X$161,15,FALSE)</f>
        <v>0</v>
      </c>
      <c r="L178" s="154">
        <f>VLOOKUP(B178,[4]Weeks!$A$44:$X$81,15,FALSE)-VLOOKUP(B178,[4]Weeks!$A$85:$X$121,15,FALSE)</f>
        <v>0</v>
      </c>
      <c r="M178" s="154">
        <f>VLOOKUP(B178,[4]Weeks!$A$3:$X$39,15,FALSE)-VLOOKUP(B178,[4]Weeks!$A$44:$X$81,15,FALSE)</f>
        <v>0</v>
      </c>
      <c r="N178" s="46" t="str">
        <f t="shared" si="34"/>
        <v>-</v>
      </c>
      <c r="O178" s="45">
        <f t="shared" si="35"/>
        <v>0</v>
      </c>
      <c r="P178" s="41">
        <f>IF(ISNUMBER(VLOOKUP(B178,[4]CLOSURES!B:BI,14,FALSE)),TEXT(VLOOKUP(B178,[4]CLOSURES!B:BI,14,FALSE),"ddmmm"),IF(F178&lt;=0,0,IF(I178&lt;=0,0,IF(AND(F178&gt;0,O178&lt;=0),"&gt;52",IF(I178/O178&gt;52,"&gt;52", MAX(0,I178/O178-2))))))</f>
        <v>0</v>
      </c>
      <c r="R178" s="185"/>
    </row>
    <row r="179" spans="2:18" s="191" customFormat="1" ht="10.7" customHeight="1" x14ac:dyDescent="0.2">
      <c r="B179" s="223" t="s">
        <v>128</v>
      </c>
      <c r="C179" s="151">
        <f>'[5]Maj Pel Combined'!J38</f>
        <v>0</v>
      </c>
      <c r="D179" s="152">
        <f>F179-VLOOKUP(B179,[4]quotas!$B$85:$W$120,14,FALSE)</f>
        <v>0</v>
      </c>
      <c r="E179" s="152">
        <f t="shared" si="36"/>
        <v>0</v>
      </c>
      <c r="F179" s="153">
        <f>VLOOKUP(B179,[4]quotas!$B$46:$W$84,14,FALSE)</f>
        <v>0</v>
      </c>
      <c r="G179" s="154">
        <f>VLOOKUP(B179,[4]Cumulative!$A$56:$X$91,15,FALSE)</f>
        <v>0</v>
      </c>
      <c r="H179" s="183">
        <f t="shared" si="37"/>
        <v>0</v>
      </c>
      <c r="I179" s="153">
        <f t="shared" si="38"/>
        <v>0</v>
      </c>
      <c r="J179" s="154">
        <f>VLOOKUP(B179,[4]Weeks!$A$125:$X$161,15,FALSE)-VLOOKUP(B179,[4]Weeks!$A$165:$X$200,15,FALSE)</f>
        <v>0</v>
      </c>
      <c r="K179" s="154">
        <f>VLOOKUP(B179,[4]Weeks!$A$85:$X$121,15,FALSE)-VLOOKUP(B179,[4]Weeks!$A$125:$X$161,15,FALSE)</f>
        <v>0</v>
      </c>
      <c r="L179" s="154">
        <f>VLOOKUP(B179,[4]Weeks!$A$44:$X$81,15,FALSE)-VLOOKUP(B179,[4]Weeks!$A$85:$X$121,15,FALSE)</f>
        <v>0</v>
      </c>
      <c r="M179" s="154">
        <f>VLOOKUP(B179,[4]Weeks!$A$3:$X$39,15,FALSE)-VLOOKUP(B179,[4]Weeks!$A$44:$X$81,15,FALSE)</f>
        <v>0</v>
      </c>
      <c r="N179" s="46" t="str">
        <f t="shared" si="34"/>
        <v>-</v>
      </c>
      <c r="O179" s="45">
        <f t="shared" si="35"/>
        <v>0</v>
      </c>
      <c r="P179" s="41">
        <f>IF(ISNUMBER(VLOOKUP(B179,[4]CLOSURES!B:BI,14,FALSE)),TEXT(VLOOKUP(B179,[4]CLOSURES!B:BI,14,FALSE),"ddmmm"),IF(F179&lt;=0,0,IF(I179&lt;=0,0,IF(AND(F179&gt;0,O179&lt;=0),"&gt;52",IF(I179/O179&gt;52,"&gt;52", MAX(0,I179/O179-2))))))</f>
        <v>0</v>
      </c>
      <c r="R179" s="185"/>
    </row>
    <row r="180" spans="2:18" s="191" customFormat="1" ht="10.7" customHeight="1" x14ac:dyDescent="0.2">
      <c r="B180" s="223" t="s">
        <v>129</v>
      </c>
      <c r="C180" s="151">
        <f>'[5]Maj Pel Combined'!J39</f>
        <v>0</v>
      </c>
      <c r="D180" s="152">
        <f>F180-VLOOKUP(B180,[4]quotas!$B$85:$W$120,14,FALSE)</f>
        <v>0</v>
      </c>
      <c r="E180" s="152">
        <f t="shared" si="36"/>
        <v>0</v>
      </c>
      <c r="F180" s="153">
        <f>VLOOKUP(B180,[4]quotas!$B$46:$W$84,14,FALSE)</f>
        <v>0</v>
      </c>
      <c r="G180" s="154">
        <f>VLOOKUP(B180,[4]Cumulative!$A$56:$X$91,15,FALSE)</f>
        <v>0</v>
      </c>
      <c r="H180" s="183">
        <f t="shared" si="37"/>
        <v>0</v>
      </c>
      <c r="I180" s="153">
        <f t="shared" si="38"/>
        <v>0</v>
      </c>
      <c r="J180" s="154">
        <f>VLOOKUP(B180,[4]Weeks!$A$125:$X$161,15,FALSE)-VLOOKUP(B180,[4]Weeks!$A$165:$X$200,15,FALSE)</f>
        <v>0</v>
      </c>
      <c r="K180" s="154">
        <f>VLOOKUP(B180,[4]Weeks!$A$85:$X$121,15,FALSE)-VLOOKUP(B180,[4]Weeks!$A$125:$X$161,15,FALSE)</f>
        <v>0</v>
      </c>
      <c r="L180" s="154">
        <f>VLOOKUP(B180,[4]Weeks!$A$44:$X$81,15,FALSE)-VLOOKUP(B180,[4]Weeks!$A$85:$X$121,15,FALSE)</f>
        <v>0</v>
      </c>
      <c r="M180" s="154">
        <f>VLOOKUP(B180,[4]Weeks!$A$3:$X$39,15,FALSE)-VLOOKUP(B180,[4]Weeks!$A$44:$X$81,15,FALSE)</f>
        <v>0</v>
      </c>
      <c r="N180" s="48">
        <f>SUM(N170:N179)</f>
        <v>6.3365283357703115</v>
      </c>
      <c r="O180" s="45">
        <f t="shared" si="35"/>
        <v>0</v>
      </c>
      <c r="P180" s="41">
        <f>IF(ISNUMBER(VLOOKUP(B180,[4]CLOSURES!B:BI,14,FALSE)),TEXT(VLOOKUP(B180,[4]CLOSURES!B:BI,14,FALSE),"ddmmm"),IF(F180&lt;=0,0,IF(I180&lt;=0,0,IF(AND(F180&gt;0,O180&lt;=0),"&gt;52",IF(I180/O180&gt;52,"&gt;52", MAX(0,I180/O180-2))))))</f>
        <v>0</v>
      </c>
      <c r="R180" s="185"/>
    </row>
    <row r="181" spans="2:18" s="191" customFormat="1" ht="10.7" customHeight="1" x14ac:dyDescent="0.2">
      <c r="B181" s="223"/>
      <c r="C181" s="151"/>
      <c r="D181" s="154"/>
      <c r="E181" s="152"/>
      <c r="F181" s="153"/>
      <c r="G181" s="154"/>
      <c r="H181" s="183"/>
      <c r="I181" s="153"/>
      <c r="J181" s="154"/>
      <c r="K181" s="154"/>
      <c r="L181" s="154"/>
      <c r="M181" s="154"/>
      <c r="N181" s="46"/>
      <c r="O181" s="45"/>
      <c r="P181" s="41"/>
      <c r="R181" s="185"/>
    </row>
    <row r="182" spans="2:18" s="191" customFormat="1" ht="10.7" customHeight="1" x14ac:dyDescent="0.2">
      <c r="B182" s="196" t="s">
        <v>130</v>
      </c>
      <c r="C182" s="151">
        <f>SUM(C177:C180)</f>
        <v>0.93899999999999995</v>
      </c>
      <c r="D182" s="152">
        <f>SUM(D177:D181)</f>
        <v>0</v>
      </c>
      <c r="E182" s="152">
        <f t="shared" si="36"/>
        <v>15</v>
      </c>
      <c r="F182" s="153">
        <f>SUM(F177:F180)</f>
        <v>15.939</v>
      </c>
      <c r="G182" s="153">
        <f>SUM(G177:G180)</f>
        <v>1.7793300024121996</v>
      </c>
      <c r="H182" s="183">
        <f t="shared" si="37"/>
        <v>11.163372874158979</v>
      </c>
      <c r="I182" s="153">
        <f t="shared" si="38"/>
        <v>14.1596699975878</v>
      </c>
      <c r="J182" s="154">
        <f>SUM(J177:J180)</f>
        <v>1.1499999880789868E-2</v>
      </c>
      <c r="K182" s="154">
        <f>SUM(K177:K180)</f>
        <v>5.3890000164508622E-2</v>
      </c>
      <c r="L182" s="154">
        <f>SUM(L177:L180)</f>
        <v>2.5500000000000522E-2</v>
      </c>
      <c r="M182" s="154">
        <f>SUM(M177:M180)</f>
        <v>5.9500001072883224E-2</v>
      </c>
      <c r="N182" s="46">
        <f>IF(C182="*","*",IF(C182&gt;0,M182/C182*100,"-"))</f>
        <v>6.3365283357703115</v>
      </c>
      <c r="O182" s="45">
        <f>IF(C182="*","*",SUM(J182:M182)/4)</f>
        <v>3.7597500279545559E-2</v>
      </c>
      <c r="P182" s="41" t="str">
        <f>IF(ISNUMBER(VLOOKUP(B182,[4]CLOSURES!B:BI,14,FALSE)),TEXT(VLOOKUP(B182,[4]CLOSURES!B:BI,14,FALSE),"ddmmm"),IF(F182&lt;=0,0,IF(I182&lt;=0,0,IF(AND(F182&gt;0,O182&lt;=0),"&gt;52",IF(I182/O182&gt;52,"&gt;52", MAX(0,I182/O182-2))))))</f>
        <v>&gt;52</v>
      </c>
      <c r="R182" s="185"/>
    </row>
    <row r="183" spans="2:18" s="191" customFormat="1" ht="10.7" customHeight="1" x14ac:dyDescent="0.2">
      <c r="B183" s="186"/>
      <c r="C183" s="151"/>
      <c r="D183" s="152"/>
      <c r="E183" s="152"/>
      <c r="F183" s="153"/>
      <c r="G183" s="154"/>
      <c r="H183" s="183"/>
      <c r="I183" s="153"/>
      <c r="J183" s="154"/>
      <c r="K183" s="154"/>
      <c r="L183" s="154"/>
      <c r="M183" s="154"/>
      <c r="N183" s="46"/>
      <c r="O183" s="45"/>
      <c r="P183" s="41"/>
      <c r="R183" s="185"/>
    </row>
    <row r="184" spans="2:18" s="191" customFormat="1" ht="10.7" customHeight="1" x14ac:dyDescent="0.2">
      <c r="B184" s="187" t="s">
        <v>91</v>
      </c>
      <c r="C184" s="157">
        <f>SUM(C182+C175)</f>
        <v>1.339</v>
      </c>
      <c r="D184" s="160">
        <f>D175+D182</f>
        <v>0</v>
      </c>
      <c r="E184" s="160">
        <f t="shared" si="36"/>
        <v>14.999999999999998</v>
      </c>
      <c r="F184" s="156">
        <f>F182+F175</f>
        <v>16.338999999999999</v>
      </c>
      <c r="G184" s="155">
        <f>G182+G175</f>
        <v>1.7793300024121996</v>
      </c>
      <c r="H184" s="188">
        <f>IF(AND(F184=0,G184&gt;0),"n/a",IF(F184=0,0,100*G184/F184))</f>
        <v>10.890078966963705</v>
      </c>
      <c r="I184" s="156">
        <f>IF(F184="*","*",F184-G184)</f>
        <v>14.559669997587799</v>
      </c>
      <c r="J184" s="155">
        <f>J175+J182</f>
        <v>1.1499999880789868E-2</v>
      </c>
      <c r="K184" s="155">
        <f>K175+K182</f>
        <v>5.3890000164508622E-2</v>
      </c>
      <c r="L184" s="155">
        <f>L175+L182</f>
        <v>2.5500000000000522E-2</v>
      </c>
      <c r="M184" s="155">
        <f>M175+M182</f>
        <v>5.9500001072883224E-2</v>
      </c>
      <c r="N184" s="58">
        <f>IF(C184="*","*",IF(C184&gt;0,M184/C184*100,"-"))</f>
        <v>4.4436147179151027</v>
      </c>
      <c r="O184" s="52">
        <f>IF(C184="*","*",SUM(J184:M184)/4)</f>
        <v>3.7597500279545559E-2</v>
      </c>
      <c r="P184" s="54">
        <v>0</v>
      </c>
      <c r="R184" s="185"/>
    </row>
    <row r="185" spans="2:18" s="191" customFormat="1" ht="10.7" customHeight="1" x14ac:dyDescent="0.2">
      <c r="F185" s="192"/>
      <c r="I185" s="192"/>
      <c r="N185" s="194"/>
      <c r="P185" s="194"/>
      <c r="R185" s="185"/>
    </row>
    <row r="186" spans="2:18" s="191" customFormat="1" x14ac:dyDescent="0.2">
      <c r="F186" s="192"/>
      <c r="I186" s="192"/>
      <c r="N186" s="194"/>
      <c r="P186" s="194"/>
      <c r="R186" s="185"/>
    </row>
    <row r="187" spans="2:18" s="191" customFormat="1" ht="10.7" customHeight="1" x14ac:dyDescent="0.2">
      <c r="B187" s="14"/>
      <c r="C187" s="15" t="str">
        <f>C5</f>
        <v>Initial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5"/>
    </row>
    <row r="188" spans="2:18" s="191" customFormat="1" ht="10.7" customHeight="1" x14ac:dyDescent="0.2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5"/>
    </row>
    <row r="189" spans="2:18" s="191" customFormat="1" ht="10.7" customHeight="1" x14ac:dyDescent="0.2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f>$J7</f>
        <v>44468</v>
      </c>
      <c r="K189" s="33">
        <f>$K7</f>
        <v>44475</v>
      </c>
      <c r="L189" s="33">
        <f>$L7</f>
        <v>44482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5"/>
    </row>
    <row r="190" spans="2:18" s="191" customFormat="1" ht="10.7" customHeight="1" x14ac:dyDescent="0.2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5"/>
    </row>
    <row r="191" spans="2:18" s="191" customFormat="1" ht="10.7" customHeight="1" x14ac:dyDescent="0.2">
      <c r="B191" s="40"/>
      <c r="C191" s="233" t="s">
        <v>96</v>
      </c>
      <c r="D191" s="235"/>
      <c r="E191" s="235"/>
      <c r="F191" s="235"/>
      <c r="G191" s="235"/>
      <c r="H191" s="235"/>
      <c r="I191" s="235"/>
      <c r="J191" s="235"/>
      <c r="K191" s="235"/>
      <c r="L191" s="235"/>
      <c r="M191" s="235"/>
      <c r="N191" s="235"/>
      <c r="O191" s="235"/>
      <c r="P191" s="41" t="s">
        <v>4</v>
      </c>
      <c r="R191" s="185"/>
    </row>
    <row r="192" spans="2:18" s="191" customFormat="1" ht="10.7" customHeight="1" x14ac:dyDescent="0.2">
      <c r="B192" s="222" t="s">
        <v>121</v>
      </c>
      <c r="C192" s="151">
        <f>'[5]Maj Pel Combined'!O29</f>
        <v>0</v>
      </c>
      <c r="D192" s="154">
        <f>D468+D508+D548+D588+D628</f>
        <v>0</v>
      </c>
      <c r="E192" s="152">
        <f>F192-C192</f>
        <v>0</v>
      </c>
      <c r="F192" s="153">
        <f>VLOOKUP(B192,[4]quotas!$B$46:$W$84,16,FALSE)</f>
        <v>0</v>
      </c>
      <c r="G192" s="154">
        <f>VLOOKUP(B192,[4]Cumulative!$A$56:$AE$91,25,FALSE)+VLOOKUP(B192,[4]Cumulative!$A$56:$AE$91,27,FALSE)+VLOOKUP(B192,[4]Cumulative!$A$56:$AE$91,26,FALSE)</f>
        <v>0</v>
      </c>
      <c r="H192" s="183">
        <f>IF(AND(F192=0,G192&gt;0),"n/a",IF(F192=0,0,100*G192/F192))</f>
        <v>0</v>
      </c>
      <c r="I192" s="153">
        <f>IF(F192="*","*",F192-G192)</f>
        <v>0</v>
      </c>
      <c r="J192" s="154">
        <f>VLOOKUP(B192,[4]Weeks!$A$125:$X$161,17,FALSE)-VLOOKUP(B192,[4]Weeks!$A$165:$X$200,17,FALSE)</f>
        <v>0</v>
      </c>
      <c r="K192" s="154">
        <f>VLOOKUP(B192,[4]Weeks!$A$85:$X$121,17,FALSE)-VLOOKUP(B192,[4]Weeks!$A$125:$X$161,17,FALSE)</f>
        <v>0</v>
      </c>
      <c r="L192" s="154">
        <f>VLOOKUP(B192,[4]Weeks!$A$44:$X$81,17,FALSE)-VLOOKUP(B192,[4]Weeks!$A$85:$X$121,17,FALSE)</f>
        <v>0</v>
      </c>
      <c r="M192" s="154">
        <f>VLOOKUP(B192,[4]Weeks!$A$3:$X$39,17,FALSE)-VLOOKUP(B192,[4]Weeks!$A$44:$X$81,17,FALSE)</f>
        <v>0</v>
      </c>
      <c r="N192" s="46" t="str">
        <f t="shared" ref="N192:N201" si="39">IF(C192="*","*",IF(C192&gt;0,M192/C192*100,"-"))</f>
        <v>-</v>
      </c>
      <c r="O192" s="45">
        <f t="shared" ref="O192:O201" si="40">IF(C192="*","*",SUM(J192:M192)/4)</f>
        <v>0</v>
      </c>
      <c r="P192" s="41" t="str">
        <f>IF(ISNUMBER(VLOOKUP(B192,[4]CLOSURES!B:BI,16,FALSE)),TEXT(VLOOKUP(B192,[4]CLOSURES!B:BI,16,FALSE),"ddmmm"),IF(F192&lt;=0,0,IF(I192&lt;=0,0,IF(AND(F192&gt;0,O192&lt;=0),"&gt;52",IF(I192/O192&gt;52,"&gt;52", MAX(0,I192/O192-2))))))</f>
        <v>01Jan</v>
      </c>
      <c r="R192" s="185"/>
    </row>
    <row r="193" spans="2:254" s="191" customFormat="1" ht="10.7" customHeight="1" x14ac:dyDescent="0.2">
      <c r="B193" s="222" t="s">
        <v>122</v>
      </c>
      <c r="C193" s="151">
        <f>'[5]Maj Pel Combined'!O30</f>
        <v>0</v>
      </c>
      <c r="D193" s="154">
        <f>D469+D509+D549+D589+D629</f>
        <v>0</v>
      </c>
      <c r="E193" s="152">
        <f t="shared" ref="E193:E206" si="41">F193-C193</f>
        <v>0</v>
      </c>
      <c r="F193" s="153">
        <f>VLOOKUP(B193,[4]quotas!$B$46:$W$84,16,FALSE)</f>
        <v>0</v>
      </c>
      <c r="G193" s="154">
        <f>VLOOKUP(B193,[4]Cumulative!$A$56:$X$91,17,FALSE)</f>
        <v>0</v>
      </c>
      <c r="H193" s="183">
        <f t="shared" ref="H193:H204" si="42">IF(AND(F193=0,G193&gt;0),"n/a",IF(F193=0,0,100*G193/F193))</f>
        <v>0</v>
      </c>
      <c r="I193" s="153">
        <f t="shared" ref="I193:I204" si="43">IF(F193="*","*",F193-G193)</f>
        <v>0</v>
      </c>
      <c r="J193" s="154">
        <f>VLOOKUP(B193,[4]Weeks!$A$125:$X$161,17,FALSE)-VLOOKUP(B193,[4]Weeks!$A$165:$X$200,17,FALSE)</f>
        <v>0</v>
      </c>
      <c r="K193" s="154">
        <f>VLOOKUP(B193,[4]Weeks!$A$85:$X$121,17,FALSE)-VLOOKUP(B193,[4]Weeks!$A$125:$X$161,17,FALSE)</f>
        <v>0</v>
      </c>
      <c r="L193" s="154">
        <f>VLOOKUP(B193,[4]Weeks!$A$44:$X$81,17,FALSE)-VLOOKUP(B193,[4]Weeks!$A$85:$X$121,17,FALSE)</f>
        <v>0</v>
      </c>
      <c r="M193" s="154">
        <f>VLOOKUP(B193,[4]Weeks!$A$3:$X$39,17,FALSE)-VLOOKUP(B193,[4]Weeks!$A$44:$X$81,17,FALSE)</f>
        <v>0</v>
      </c>
      <c r="N193" s="46"/>
      <c r="O193" s="45">
        <f t="shared" si="40"/>
        <v>0</v>
      </c>
      <c r="P193" s="41" t="str">
        <f>IF(ISNUMBER(VLOOKUP(B193,[4]CLOSURES!B:BI,16,FALSE)),TEXT(VLOOKUP(B193,[4]CLOSURES!B:BI,16,FALSE),"ddmmm"),IF(F193&lt;=0,0,IF(I193&lt;=0,0,IF(AND(F193&gt;0,O193&lt;=0),"&gt;52",IF(I193/O193&gt;52,"&gt;52", MAX(0,I193/O193-2))))))</f>
        <v>01Jan</v>
      </c>
      <c r="R193" s="185"/>
    </row>
    <row r="194" spans="2:254" s="191" customFormat="1" ht="10.7" customHeight="1" x14ac:dyDescent="0.2">
      <c r="B194" s="222" t="s">
        <v>123</v>
      </c>
      <c r="C194" s="151">
        <f>'[5]Maj Pel Combined'!O31</f>
        <v>0</v>
      </c>
      <c r="D194" s="154">
        <f>D470+D510+D550+D590+D630</f>
        <v>0</v>
      </c>
      <c r="E194" s="152">
        <f t="shared" si="41"/>
        <v>0</v>
      </c>
      <c r="F194" s="153">
        <f>VLOOKUP(B194,[4]quotas!$B$46:$W$84,16,FALSE)</f>
        <v>0</v>
      </c>
      <c r="G194" s="154">
        <f>VLOOKUP(B194,[4]Cumulative!$A$56:$X$91,17,FALSE)</f>
        <v>0</v>
      </c>
      <c r="H194" s="183">
        <f t="shared" si="42"/>
        <v>0</v>
      </c>
      <c r="I194" s="153">
        <f t="shared" si="43"/>
        <v>0</v>
      </c>
      <c r="J194" s="154">
        <f>VLOOKUP(B194,[4]Weeks!$A$125:$X$161,17,FALSE)-VLOOKUP(B194,[4]Weeks!$A$165:$X$200,17,FALSE)</f>
        <v>0</v>
      </c>
      <c r="K194" s="154">
        <f>VLOOKUP(B194,[4]Weeks!$A$85:$X$121,17,FALSE)-VLOOKUP(B194,[4]Weeks!$A$125:$X$161,17,FALSE)</f>
        <v>0</v>
      </c>
      <c r="L194" s="154">
        <f>VLOOKUP(B194,[4]Weeks!$A$44:$X$81,17,FALSE)-VLOOKUP(B194,[4]Weeks!$A$85:$X$121,17,FALSE)</f>
        <v>0</v>
      </c>
      <c r="M194" s="154">
        <f>VLOOKUP(B194,[4]Weeks!$A$3:$X$39,17,FALSE)-VLOOKUP(B194,[4]Weeks!$A$44:$X$81,17,FALSE)</f>
        <v>0</v>
      </c>
      <c r="N194" s="46" t="str">
        <f t="shared" si="39"/>
        <v>-</v>
      </c>
      <c r="O194" s="45">
        <f t="shared" si="40"/>
        <v>0</v>
      </c>
      <c r="P194" s="41" t="str">
        <f>IF(ISNUMBER(VLOOKUP(B194,[4]CLOSURES!B:BI,16,FALSE)),TEXT(VLOOKUP(B194,[4]CLOSURES!B:BI,16,FALSE),"ddmmm"),IF(F194&lt;=0,0,IF(I194&lt;=0,0,IF(AND(F194&gt;0,O194&lt;=0),"&gt;52",IF(I194/O194&gt;52,"&gt;52", MAX(0,I194/O194-2))))))</f>
        <v>01Jan</v>
      </c>
      <c r="R194" s="185"/>
    </row>
    <row r="195" spans="2:254" s="191" customFormat="1" ht="10.7" customHeight="1" x14ac:dyDescent="0.2">
      <c r="B195" s="222" t="s">
        <v>124</v>
      </c>
      <c r="C195" s="151">
        <f>'[5]Maj Pel Combined'!O32</f>
        <v>0</v>
      </c>
      <c r="D195" s="154">
        <f>D471+D511+D551+D591+D631</f>
        <v>0</v>
      </c>
      <c r="E195" s="152">
        <f t="shared" si="41"/>
        <v>0</v>
      </c>
      <c r="F195" s="153">
        <f>VLOOKUP(B195,[4]quotas!$B$46:$W$84,16,FALSE)</f>
        <v>0</v>
      </c>
      <c r="G195" s="154">
        <f>VLOOKUP(B195,[4]Cumulative!$A$56:$X$91,17,FALSE)</f>
        <v>0</v>
      </c>
      <c r="H195" s="183">
        <f t="shared" si="42"/>
        <v>0</v>
      </c>
      <c r="I195" s="153">
        <f t="shared" si="43"/>
        <v>0</v>
      </c>
      <c r="J195" s="154">
        <f>VLOOKUP(B195,[4]Weeks!$A$125:$X$161,17,FALSE)-VLOOKUP(B195,[4]Weeks!$A$165:$X$200,17,FALSE)</f>
        <v>0</v>
      </c>
      <c r="K195" s="154">
        <f>VLOOKUP(B195,[4]Weeks!$A$85:$X$121,17,FALSE)-VLOOKUP(B195,[4]Weeks!$A$125:$X$161,17,FALSE)</f>
        <v>0</v>
      </c>
      <c r="L195" s="154">
        <f>VLOOKUP(B195,[4]Weeks!$A$44:$X$81,17,FALSE)-VLOOKUP(B195,[4]Weeks!$A$85:$X$121,17,FALSE)</f>
        <v>0</v>
      </c>
      <c r="M195" s="154">
        <f>VLOOKUP(B195,[4]Weeks!$A$3:$X$39,17,FALSE)-VLOOKUP(B195,[4]Weeks!$A$44:$X$81,17,FALSE)</f>
        <v>0</v>
      </c>
      <c r="N195" s="46" t="str">
        <f t="shared" si="39"/>
        <v>-</v>
      </c>
      <c r="O195" s="45">
        <f t="shared" si="40"/>
        <v>0</v>
      </c>
      <c r="P195" s="41" t="str">
        <f>IF(ISNUMBER(VLOOKUP(B195,[4]CLOSURES!B:BI,16,FALSE)),TEXT(VLOOKUP(B195,[4]CLOSURES!B:BI,16,FALSE),"ddmmm"),IF(F195&lt;=0,0,IF(I195&lt;=0,0,IF(AND(F195&gt;0,O195&lt;=0),"&gt;52",IF(I195/O195&gt;52,"&gt;52", MAX(0,I195/O195-2))))))</f>
        <v>01Jan</v>
      </c>
      <c r="R195" s="185"/>
    </row>
    <row r="196" spans="2:254" s="191" customFormat="1" ht="10.7" customHeight="1" x14ac:dyDescent="0.2">
      <c r="B196" s="222"/>
      <c r="C196" s="151"/>
      <c r="D196" s="152"/>
      <c r="E196" s="152"/>
      <c r="F196" s="153"/>
      <c r="G196" s="154"/>
      <c r="H196" s="183"/>
      <c r="I196" s="153"/>
      <c r="J196" s="154"/>
      <c r="K196" s="154"/>
      <c r="L196" s="154"/>
      <c r="M196" s="154"/>
      <c r="N196" s="46"/>
      <c r="O196" s="45"/>
      <c r="P196" s="41"/>
      <c r="R196" s="185"/>
    </row>
    <row r="197" spans="2:254" s="191" customFormat="1" ht="10.7" customHeight="1" x14ac:dyDescent="0.2">
      <c r="B197" s="162" t="s">
        <v>125</v>
      </c>
      <c r="C197" s="151">
        <f>SUM(C192:C195)</f>
        <v>0</v>
      </c>
      <c r="D197" s="152">
        <f>SUM(D192:D196)</f>
        <v>0</v>
      </c>
      <c r="E197" s="152">
        <f t="shared" si="41"/>
        <v>0</v>
      </c>
      <c r="F197" s="153">
        <f>SUM(F192:F195)</f>
        <v>0</v>
      </c>
      <c r="G197" s="153">
        <f>SUM(G192:G195)</f>
        <v>0</v>
      </c>
      <c r="H197" s="183">
        <f t="shared" si="42"/>
        <v>0</v>
      </c>
      <c r="I197" s="153">
        <f t="shared" si="43"/>
        <v>0</v>
      </c>
      <c r="J197" s="154">
        <f>SUM(J192:J195)</f>
        <v>0</v>
      </c>
      <c r="K197" s="154">
        <f>SUM(K192:K195)</f>
        <v>0</v>
      </c>
      <c r="L197" s="154">
        <f>SUM(L192:L195)</f>
        <v>0</v>
      </c>
      <c r="M197" s="154">
        <f>SUM(M192:M195)</f>
        <v>0</v>
      </c>
      <c r="N197" s="46" t="str">
        <f t="shared" si="39"/>
        <v>-</v>
      </c>
      <c r="O197" s="45">
        <f t="shared" si="40"/>
        <v>0</v>
      </c>
      <c r="P197" s="41">
        <f>IF(ISNUMBER(VLOOKUP(B197,[4]CLOSURES!B:BI,16,FALSE)),TEXT(VLOOKUP(B197,[4]CLOSURES!B:BI,16,FALSE),"ddmmm"),IF(F197&lt;=0,0,IF(I197&lt;=0,0,IF(AND(F197&gt;0,O197&lt;=0),"&gt;52",IF(I197/O197&gt;52,"&gt;52", MAX(0,I197/O197-2))))))</f>
        <v>0</v>
      </c>
      <c r="R197" s="185"/>
    </row>
    <row r="198" spans="2:254" s="191" customFormat="1" ht="10.7" customHeight="1" x14ac:dyDescent="0.2">
      <c r="B198" s="162"/>
      <c r="C198" s="151"/>
      <c r="D198" s="152"/>
      <c r="E198" s="152"/>
      <c r="F198" s="153"/>
      <c r="G198" s="154"/>
      <c r="H198" s="183"/>
      <c r="I198" s="153"/>
      <c r="J198" s="154"/>
      <c r="K198" s="154"/>
      <c r="L198" s="154"/>
      <c r="M198" s="154"/>
      <c r="N198" s="46"/>
      <c r="O198" s="45"/>
      <c r="P198" s="41"/>
      <c r="R198" s="185"/>
    </row>
    <row r="199" spans="2:254" s="191" customFormat="1" ht="10.7" customHeight="1" x14ac:dyDescent="0.2">
      <c r="B199" s="223" t="s">
        <v>126</v>
      </c>
      <c r="C199" s="151">
        <f>'[5]Maj Pel Combined'!O36</f>
        <v>0</v>
      </c>
      <c r="D199" s="154">
        <f>D475+D515+D555+D595+D635</f>
        <v>0</v>
      </c>
      <c r="E199" s="152">
        <f t="shared" si="41"/>
        <v>0</v>
      </c>
      <c r="F199" s="153">
        <f>VLOOKUP(B199,[4]quotas!$B$46:$W$84,16,FALSE)</f>
        <v>0</v>
      </c>
      <c r="G199" s="154">
        <f>VLOOKUP(B199,[4]Cumulative!$A$56:$X$91,17,FALSE)</f>
        <v>0</v>
      </c>
      <c r="H199" s="183">
        <f t="shared" si="42"/>
        <v>0</v>
      </c>
      <c r="I199" s="153">
        <f t="shared" si="43"/>
        <v>0</v>
      </c>
      <c r="J199" s="154">
        <f>VLOOKUP(B199,[4]Weeks!$A$125:$X$161,17,FALSE)-VLOOKUP(B199,[4]Weeks!$A$165:$X$200,17,FALSE)</f>
        <v>0</v>
      </c>
      <c r="K199" s="154">
        <f>VLOOKUP(B199,[4]Weeks!$A$85:$X$121,17,FALSE)-VLOOKUP(B199,[4]Weeks!$A$125:$X$161,17,FALSE)</f>
        <v>0</v>
      </c>
      <c r="L199" s="154">
        <f>VLOOKUP(B199,[4]Weeks!$A$44:$X$81,17,FALSE)-VLOOKUP(B199,[4]Weeks!$A$85:$X$121,17,FALSE)</f>
        <v>0</v>
      </c>
      <c r="M199" s="154">
        <f>VLOOKUP(B199,[4]Weeks!$A$3:$X$39,17,FALSE)-VLOOKUP(B199,[4]Weeks!$A$44:$X$81,17,FALSE)</f>
        <v>0</v>
      </c>
      <c r="N199" s="46" t="str">
        <f t="shared" si="39"/>
        <v>-</v>
      </c>
      <c r="O199" s="45">
        <f t="shared" si="40"/>
        <v>0</v>
      </c>
      <c r="P199" s="41" t="str">
        <f>IF(ISNUMBER(VLOOKUP(B199,[4]CLOSURES!B:BI,16,FALSE)),TEXT(VLOOKUP(B199,[4]CLOSURES!B:BI,16,FALSE),"ddmmm"),IF(F199&lt;=0,0,IF(I199&lt;=0,0,IF(AND(F199&gt;0,O199&lt;=0),"&gt;52",IF(I199/O199&gt;52,"&gt;52", MAX(0,I199/O199-2))))))</f>
        <v>01Jan</v>
      </c>
      <c r="R199" s="185"/>
    </row>
    <row r="200" spans="2:254" s="191" customFormat="1" ht="10.7" customHeight="1" x14ac:dyDescent="0.2">
      <c r="B200" s="223" t="s">
        <v>127</v>
      </c>
      <c r="C200" s="151">
        <f>'[5]Maj Pel Combined'!O37</f>
        <v>0</v>
      </c>
      <c r="D200" s="154">
        <f>D476+D516+D556+D596+D636</f>
        <v>0</v>
      </c>
      <c r="E200" s="152">
        <f t="shared" si="41"/>
        <v>0</v>
      </c>
      <c r="F200" s="153">
        <f>VLOOKUP(B200,[4]quotas!$B$46:$W$84,16,FALSE)</f>
        <v>0</v>
      </c>
      <c r="G200" s="154">
        <f>VLOOKUP(B200,[4]Cumulative!$A$56:$X$91,17,FALSE)</f>
        <v>0</v>
      </c>
      <c r="H200" s="183">
        <f t="shared" si="42"/>
        <v>0</v>
      </c>
      <c r="I200" s="153">
        <f t="shared" si="43"/>
        <v>0</v>
      </c>
      <c r="J200" s="154">
        <f>VLOOKUP(B200,[4]Weeks!$A$125:$X$161,17,FALSE)-VLOOKUP(B200,[4]Weeks!$A$165:$X$200,17,FALSE)</f>
        <v>0</v>
      </c>
      <c r="K200" s="154">
        <f>VLOOKUP(B200,[4]Weeks!$A$85:$X$121,17,FALSE)-VLOOKUP(B200,[4]Weeks!$A$125:$X$161,17,FALSE)</f>
        <v>0</v>
      </c>
      <c r="L200" s="154">
        <f>VLOOKUP(B200,[4]Weeks!$A$44:$X$81,17,FALSE)-VLOOKUP(B200,[4]Weeks!$A$85:$X$121,17,FALSE)</f>
        <v>0</v>
      </c>
      <c r="M200" s="154">
        <f>VLOOKUP(B200,[4]Weeks!$A$3:$X$39,17,FALSE)-VLOOKUP(B200,[4]Weeks!$A$44:$X$81,17,FALSE)</f>
        <v>0</v>
      </c>
      <c r="N200" s="46" t="str">
        <f t="shared" si="39"/>
        <v>-</v>
      </c>
      <c r="O200" s="45">
        <f t="shared" si="40"/>
        <v>0</v>
      </c>
      <c r="P200" s="41" t="str">
        <f>IF(ISNUMBER(VLOOKUP(B200,[4]CLOSURES!B:BI,16,FALSE)),TEXT(VLOOKUP(B200,[4]CLOSURES!B:BI,16,FALSE),"ddmmm"),IF(F200&lt;=0,0,IF(I200&lt;=0,0,IF(AND(F200&gt;0,O200&lt;=0),"&gt;52",IF(I200/O200&gt;52,"&gt;52", MAX(0,I200/O200-2))))))</f>
        <v>01Jan</v>
      </c>
      <c r="R200" s="185"/>
    </row>
    <row r="201" spans="2:254" s="191" customFormat="1" ht="10.7" customHeight="1" x14ac:dyDescent="0.2">
      <c r="B201" s="223" t="s">
        <v>128</v>
      </c>
      <c r="C201" s="151">
        <f>'[5]Maj Pel Combined'!O38</f>
        <v>0</v>
      </c>
      <c r="D201" s="154">
        <f>D477+D517+D557+D597+D637</f>
        <v>0</v>
      </c>
      <c r="E201" s="152">
        <f t="shared" si="41"/>
        <v>0</v>
      </c>
      <c r="F201" s="153">
        <f>VLOOKUP(B201,[4]quotas!$B$46:$W$84,16,FALSE)</f>
        <v>0</v>
      </c>
      <c r="G201" s="154">
        <f>VLOOKUP(B201,[4]Cumulative!$A$56:$X$91,17,FALSE)</f>
        <v>0</v>
      </c>
      <c r="H201" s="183">
        <f t="shared" si="42"/>
        <v>0</v>
      </c>
      <c r="I201" s="153">
        <f t="shared" si="43"/>
        <v>0</v>
      </c>
      <c r="J201" s="154">
        <f>VLOOKUP(B201,[4]Weeks!$A$125:$X$161,17,FALSE)-VLOOKUP(B201,[4]Weeks!$A$165:$X$200,17,FALSE)</f>
        <v>0</v>
      </c>
      <c r="K201" s="154">
        <f>VLOOKUP(B201,[4]Weeks!$A$85:$X$121,17,FALSE)-VLOOKUP(B201,[4]Weeks!$A$125:$X$161,17,FALSE)</f>
        <v>0</v>
      </c>
      <c r="L201" s="154">
        <f>VLOOKUP(B201,[4]Weeks!$A$44:$X$81,17,FALSE)-VLOOKUP(B201,[4]Weeks!$A$85:$X$121,17,FALSE)</f>
        <v>0</v>
      </c>
      <c r="M201" s="154">
        <f>VLOOKUP(B201,[4]Weeks!$A$3:$X$39,17,FALSE)-VLOOKUP(B201,[4]Weeks!$A$44:$X$81,17,FALSE)</f>
        <v>0</v>
      </c>
      <c r="N201" s="46" t="str">
        <f t="shared" si="39"/>
        <v>-</v>
      </c>
      <c r="O201" s="45">
        <f t="shared" si="40"/>
        <v>0</v>
      </c>
      <c r="P201" s="41" t="str">
        <f>IF(ISNUMBER(VLOOKUP(B201,[4]CLOSURES!B:BI,16,FALSE)),TEXT(VLOOKUP(B201,[4]CLOSURES!B:BI,16,FALSE),"ddmmm"),IF(F201&lt;=0,0,IF(I201&lt;=0,0,IF(AND(F201&gt;0,O201&lt;=0),"&gt;52",IF(I201/O201&gt;52,"&gt;52", MAX(0,I201/O201-2))))))</f>
        <v>01Jan</v>
      </c>
      <c r="R201" s="185"/>
    </row>
    <row r="202" spans="2:254" s="191" customFormat="1" ht="10.7" customHeight="1" x14ac:dyDescent="0.2">
      <c r="B202" s="223" t="s">
        <v>129</v>
      </c>
      <c r="C202" s="151">
        <f>'[5]Maj Pel Combined'!O39</f>
        <v>0</v>
      </c>
      <c r="D202" s="154">
        <f>D478+D518+D558+D598+D638</f>
        <v>0</v>
      </c>
      <c r="E202" s="152">
        <f t="shared" si="41"/>
        <v>0</v>
      </c>
      <c r="F202" s="153">
        <f>VLOOKUP(B202,[4]quotas!$B$46:$W$84,16,FALSE)</f>
        <v>0</v>
      </c>
      <c r="G202" s="154">
        <f>VLOOKUP(B202,[4]Cumulative!$A$56:$X$91,17,FALSE)</f>
        <v>0</v>
      </c>
      <c r="H202" s="183">
        <f t="shared" si="42"/>
        <v>0</v>
      </c>
      <c r="I202" s="153">
        <f t="shared" si="43"/>
        <v>0</v>
      </c>
      <c r="J202" s="154">
        <f>VLOOKUP(B202,[4]Weeks!$A$125:$X$161,17,FALSE)-VLOOKUP(B202,[4]Weeks!$A$165:$X$200,17,FALSE)</f>
        <v>0</v>
      </c>
      <c r="K202" s="154">
        <f>VLOOKUP(B202,[4]Weeks!$A$85:$X$121,17,FALSE)-VLOOKUP(B202,[4]Weeks!$A$125:$X$161,17,FALSE)</f>
        <v>0</v>
      </c>
      <c r="L202" s="154">
        <f>VLOOKUP(B202,[4]Weeks!$A$44:$X$81,17,FALSE)-VLOOKUP(B202,[4]Weeks!$A$85:$X$121,17,FALSE)</f>
        <v>0</v>
      </c>
      <c r="M202" s="154">
        <f>VLOOKUP(B202,[4]Weeks!$A$3:$X$39,17,FALSE)-VLOOKUP(B202,[4]Weeks!$A$44:$X$81,17,FALSE)</f>
        <v>0</v>
      </c>
      <c r="N202" s="48">
        <f>SUM(N192:N201)</f>
        <v>0</v>
      </c>
      <c r="O202" s="45">
        <f>SUM(O192:O201)</f>
        <v>0</v>
      </c>
      <c r="P202" s="41" t="str">
        <f>IF(ISNUMBER(VLOOKUP(B202,[4]CLOSURES!B:BI,16,FALSE)),TEXT(VLOOKUP(B202,[4]CLOSURES!B:BI,16,FALSE),"ddmmm"),IF(F202&lt;=0,0,IF(I202&lt;=0,0,IF(AND(F202&gt;0,O202&lt;=0),"&gt;52",IF(I202/O202&gt;52,"&gt;52", MAX(0,I202/O202-2))))))</f>
        <v>01Jan</v>
      </c>
      <c r="R202" s="185"/>
    </row>
    <row r="203" spans="2:254" s="191" customFormat="1" ht="10.7" customHeight="1" x14ac:dyDescent="0.2">
      <c r="B203" s="223"/>
      <c r="C203" s="151"/>
      <c r="D203" s="154"/>
      <c r="E203" s="152"/>
      <c r="F203" s="153"/>
      <c r="G203" s="154"/>
      <c r="H203" s="183"/>
      <c r="I203" s="153"/>
      <c r="J203" s="154"/>
      <c r="K203" s="154"/>
      <c r="L203" s="154"/>
      <c r="M203" s="154"/>
      <c r="N203" s="46"/>
      <c r="O203" s="45"/>
      <c r="P203" s="41"/>
      <c r="R203" s="185"/>
    </row>
    <row r="204" spans="2:254" s="191" customFormat="1" ht="10.7" customHeight="1" x14ac:dyDescent="0.2">
      <c r="B204" s="196" t="s">
        <v>130</v>
      </c>
      <c r="C204" s="151">
        <f>SUM(C199:C202)</f>
        <v>0</v>
      </c>
      <c r="D204" s="152">
        <f>SUM(D199:D203)</f>
        <v>0</v>
      </c>
      <c r="E204" s="152">
        <f t="shared" si="41"/>
        <v>0</v>
      </c>
      <c r="F204" s="153">
        <f>SUM(F199:F202)</f>
        <v>0</v>
      </c>
      <c r="G204" s="153">
        <f>SUM(G199:G202)</f>
        <v>0</v>
      </c>
      <c r="H204" s="183">
        <f t="shared" si="42"/>
        <v>0</v>
      </c>
      <c r="I204" s="153">
        <f t="shared" si="43"/>
        <v>0</v>
      </c>
      <c r="J204" s="154">
        <f>SUM(J199:J202)</f>
        <v>0</v>
      </c>
      <c r="K204" s="154">
        <f>SUM(K199:K202)</f>
        <v>0</v>
      </c>
      <c r="L204" s="154">
        <f>SUM(L199:L202)</f>
        <v>0</v>
      </c>
      <c r="M204" s="154">
        <f>SUM(M199:M202)</f>
        <v>0</v>
      </c>
      <c r="N204" s="46" t="str">
        <f>IF(C204="*","*",IF(C204&gt;0,M204/C204*100,"-"))</f>
        <v>-</v>
      </c>
      <c r="O204" s="45">
        <f>IF(C204="*","*",SUM(J204:M204)/4)</f>
        <v>0</v>
      </c>
      <c r="P204" s="41">
        <f>IF(ISNUMBER(VLOOKUP(B204,[4]CLOSURES!B:BI,16,FALSE)),TEXT(VLOOKUP(B204,[4]CLOSURES!B:BI,16,FALSE),"ddmmm"),IF(F204&lt;=0,0,IF(I204&lt;=0,0,IF(AND(F204&gt;0,O204&lt;=0),"&gt;52",IF(I204/O204&gt;52,"&gt;52", MAX(0,I204/O204-2))))))</f>
        <v>0</v>
      </c>
      <c r="R204" s="185"/>
    </row>
    <row r="205" spans="2:254" s="191" customFormat="1" ht="10.7" customHeight="1" x14ac:dyDescent="0.2">
      <c r="B205" s="186"/>
      <c r="C205" s="151"/>
      <c r="D205" s="152"/>
      <c r="E205" s="152"/>
      <c r="F205" s="153"/>
      <c r="G205" s="154"/>
      <c r="H205" s="183"/>
      <c r="I205" s="153"/>
      <c r="J205" s="154"/>
      <c r="K205" s="154"/>
      <c r="L205" s="154"/>
      <c r="M205" s="154"/>
      <c r="N205" s="46" t="str">
        <f>IF(C205="*","*",IF(C205&gt;0,M205/C205*100,"-"))</f>
        <v>-</v>
      </c>
      <c r="O205" s="45">
        <f>IF(C205="*","*",SUM(J205:M205)/4)</f>
        <v>0</v>
      </c>
      <c r="P205" s="41">
        <f>IF(ISNUMBER(VLOOKUP(B205,[4]CLOSURES!B:BI,16,FALSE)),TEXT(VLOOKUP(B205,[4]CLOSURES!B:BI,16,FALSE),"ddmmm"),IF(F205&lt;=0,0,IF(I205&lt;=0,0,IF(AND(F205&gt;0,O205&lt;=0),"&gt;52",IF(I205/O205&gt;52,"&gt;52", MAX(0,I205/O205-2))))))</f>
        <v>0</v>
      </c>
      <c r="R205" s="185"/>
    </row>
    <row r="206" spans="2:254" s="191" customFormat="1" ht="10.7" customHeight="1" x14ac:dyDescent="0.2">
      <c r="B206" s="187" t="s">
        <v>91</v>
      </c>
      <c r="C206" s="157">
        <f>SUM(C204+C197)</f>
        <v>0</v>
      </c>
      <c r="D206" s="160">
        <f>D197+D204</f>
        <v>0</v>
      </c>
      <c r="E206" s="160">
        <f t="shared" si="41"/>
        <v>0</v>
      </c>
      <c r="F206" s="156">
        <f>F204+F197</f>
        <v>0</v>
      </c>
      <c r="G206" s="155">
        <f>G197+G204</f>
        <v>0</v>
      </c>
      <c r="H206" s="188">
        <f>IF(AND(F206=0,G206&gt;0),"n/a",IF(F206=0,0,100*G206/F206))</f>
        <v>0</v>
      </c>
      <c r="I206" s="156">
        <f>I204+I197</f>
        <v>0</v>
      </c>
      <c r="J206" s="155">
        <f>J197+J204</f>
        <v>0</v>
      </c>
      <c r="K206" s="155">
        <f>K197+K204</f>
        <v>0</v>
      </c>
      <c r="L206" s="155">
        <f>L197+L204</f>
        <v>0</v>
      </c>
      <c r="M206" s="155">
        <f>M197+M204</f>
        <v>0</v>
      </c>
      <c r="N206" s="58" t="str">
        <f>IF(C206="*","*",IF(C206&gt;0,M206/C206*100,"-"))</f>
        <v>-</v>
      </c>
      <c r="O206" s="52">
        <f>IF(C206="*","*",SUM(J206:M206)/4)</f>
        <v>0</v>
      </c>
      <c r="P206" s="54" t="str">
        <f>IF(ISNUMBER(VLOOKUP(B206,[4]CLOSURES!B:BI,16,FALSE)),TEXT(VLOOKUP(B206,[4]CLOSURES!B:BI,16,FALSE),"ddmmm"),IF(F206&lt;=0,0,IF(I206&lt;=0,0,IF(AND(F206&gt;0,O206&lt;=0),"&gt;52",IF(I206/O206&gt;52,"&gt;52", MAX(0,I206/O206-2))))))</f>
        <v>01Jan</v>
      </c>
      <c r="R206" s="185"/>
    </row>
    <row r="207" spans="2:254" ht="10.7" customHeight="1" x14ac:dyDescent="0.2">
      <c r="B207" s="198" t="str">
        <f>B69</f>
        <v>Number of Weeks to end of year is 10</v>
      </c>
      <c r="C207" s="198"/>
      <c r="D207" s="198"/>
      <c r="E207" s="198"/>
      <c r="F207" s="199"/>
      <c r="G207" s="198"/>
      <c r="H207" s="198"/>
      <c r="I207" s="199"/>
      <c r="J207" s="198"/>
      <c r="K207" s="198"/>
      <c r="L207" s="198"/>
      <c r="M207" s="198"/>
      <c r="N207" s="201"/>
      <c r="O207" s="198"/>
      <c r="P207" s="201"/>
      <c r="Q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  <c r="BZ207" s="198"/>
      <c r="CA207" s="198"/>
      <c r="CB207" s="198"/>
      <c r="CC207" s="198"/>
      <c r="CD207" s="198"/>
      <c r="CE207" s="198"/>
      <c r="CF207" s="198"/>
      <c r="CG207" s="198"/>
      <c r="CH207" s="198"/>
      <c r="CI207" s="198"/>
      <c r="CJ207" s="198"/>
      <c r="CK207" s="198"/>
      <c r="CL207" s="198"/>
      <c r="CM207" s="198"/>
      <c r="CN207" s="198"/>
      <c r="CO207" s="198"/>
      <c r="CP207" s="198"/>
      <c r="CQ207" s="198"/>
      <c r="CR207" s="198"/>
      <c r="CS207" s="198"/>
      <c r="CT207" s="198"/>
      <c r="CU207" s="198"/>
      <c r="CV207" s="198"/>
      <c r="CW207" s="198"/>
      <c r="CX207" s="198"/>
      <c r="CY207" s="198"/>
      <c r="CZ207" s="198"/>
      <c r="DA207" s="198"/>
      <c r="DB207" s="198"/>
      <c r="DC207" s="198"/>
      <c r="DD207" s="198"/>
      <c r="DE207" s="198"/>
      <c r="DF207" s="198"/>
      <c r="DG207" s="198"/>
      <c r="DH207" s="198"/>
      <c r="DI207" s="198"/>
      <c r="DJ207" s="198"/>
      <c r="DK207" s="198"/>
      <c r="DL207" s="198"/>
      <c r="DM207" s="198"/>
      <c r="DN207" s="198"/>
      <c r="DO207" s="198"/>
      <c r="DP207" s="198"/>
      <c r="DQ207" s="198"/>
      <c r="DR207" s="198"/>
      <c r="DS207" s="198"/>
      <c r="DT207" s="198"/>
      <c r="DU207" s="198"/>
      <c r="DV207" s="198"/>
      <c r="DW207" s="198"/>
      <c r="DX207" s="198"/>
      <c r="DY207" s="198"/>
      <c r="DZ207" s="198"/>
      <c r="EA207" s="198"/>
      <c r="EB207" s="198"/>
      <c r="EC207" s="198"/>
      <c r="ED207" s="198"/>
      <c r="EE207" s="198"/>
      <c r="EF207" s="198"/>
      <c r="EG207" s="198"/>
      <c r="EH207" s="198"/>
      <c r="EI207" s="198"/>
      <c r="EJ207" s="198"/>
      <c r="EK207" s="198"/>
      <c r="EL207" s="198"/>
      <c r="EM207" s="198"/>
      <c r="EN207" s="198"/>
      <c r="EO207" s="198"/>
      <c r="EP207" s="198"/>
      <c r="EQ207" s="198"/>
      <c r="ER207" s="198"/>
      <c r="ES207" s="198"/>
      <c r="ET207" s="198"/>
      <c r="EU207" s="198"/>
      <c r="EV207" s="198"/>
      <c r="EW207" s="198"/>
      <c r="EX207" s="198"/>
      <c r="EY207" s="198"/>
      <c r="EZ207" s="198"/>
      <c r="FA207" s="198"/>
      <c r="FB207" s="198"/>
      <c r="FC207" s="198"/>
      <c r="FD207" s="198"/>
      <c r="FE207" s="198"/>
      <c r="FF207" s="198"/>
      <c r="FG207" s="198"/>
      <c r="FH207" s="198"/>
      <c r="FI207" s="198"/>
      <c r="FJ207" s="198"/>
      <c r="FK207" s="198"/>
      <c r="FL207" s="198"/>
      <c r="FM207" s="198"/>
      <c r="FN207" s="198"/>
      <c r="FO207" s="198"/>
      <c r="FP207" s="198"/>
      <c r="FQ207" s="198"/>
      <c r="FR207" s="198"/>
      <c r="FS207" s="198"/>
      <c r="FT207" s="198"/>
      <c r="FU207" s="198"/>
      <c r="FV207" s="198"/>
      <c r="FW207" s="198"/>
      <c r="FX207" s="198"/>
      <c r="FY207" s="198"/>
      <c r="FZ207" s="198"/>
      <c r="GA207" s="198"/>
      <c r="GB207" s="198"/>
      <c r="GC207" s="198"/>
      <c r="GD207" s="198"/>
      <c r="GE207" s="198"/>
      <c r="GF207" s="198"/>
      <c r="GG207" s="198"/>
      <c r="GH207" s="198"/>
      <c r="GI207" s="198"/>
      <c r="GJ207" s="198"/>
      <c r="GK207" s="198"/>
      <c r="GL207" s="198"/>
      <c r="GM207" s="198"/>
      <c r="GN207" s="198"/>
      <c r="GO207" s="198"/>
      <c r="GP207" s="198"/>
      <c r="GQ207" s="198"/>
      <c r="GR207" s="198"/>
      <c r="GS207" s="198"/>
      <c r="GT207" s="198"/>
      <c r="GU207" s="198"/>
      <c r="GV207" s="198"/>
      <c r="GW207" s="198"/>
      <c r="GX207" s="198"/>
      <c r="GY207" s="198"/>
      <c r="GZ207" s="198"/>
      <c r="HA207" s="198"/>
      <c r="HB207" s="198"/>
      <c r="HC207" s="198"/>
      <c r="HD207" s="198"/>
      <c r="HE207" s="198"/>
      <c r="HF207" s="198"/>
      <c r="HG207" s="198"/>
      <c r="HH207" s="198"/>
      <c r="HI207" s="198"/>
      <c r="HJ207" s="198"/>
      <c r="HK207" s="198"/>
      <c r="HL207" s="198"/>
      <c r="HM207" s="198"/>
      <c r="HN207" s="198"/>
      <c r="HO207" s="198"/>
      <c r="HP207" s="198"/>
      <c r="HQ207" s="198"/>
      <c r="HR207" s="198"/>
      <c r="HS207" s="198"/>
      <c r="HT207" s="198"/>
      <c r="HU207" s="198"/>
      <c r="HV207" s="198"/>
      <c r="HW207" s="198"/>
      <c r="HX207" s="198"/>
      <c r="HY207" s="198"/>
      <c r="HZ207" s="198"/>
      <c r="IA207" s="198"/>
      <c r="IB207" s="198"/>
      <c r="IC207" s="198"/>
      <c r="ID207" s="198"/>
      <c r="IE207" s="198"/>
      <c r="IF207" s="198"/>
      <c r="IG207" s="198"/>
      <c r="IH207" s="198"/>
      <c r="II207" s="198"/>
      <c r="IJ207" s="198"/>
      <c r="IK207" s="198"/>
      <c r="IL207" s="198"/>
      <c r="IM207" s="198"/>
      <c r="IN207" s="198"/>
      <c r="IO207" s="198"/>
      <c r="IP207" s="198"/>
      <c r="IQ207" s="198"/>
      <c r="IR207" s="198"/>
      <c r="IS207" s="198"/>
      <c r="IT207" s="198"/>
    </row>
    <row r="208" spans="2:254" ht="10.7" customHeight="1" x14ac:dyDescent="0.2">
      <c r="B208" s="198" t="str">
        <f>B70</f>
        <v>Estimated weeks left after applying 4 week average to amount left, and subtracting 2 weeks to account for lags in recording.</v>
      </c>
      <c r="C208" s="202"/>
      <c r="D208" s="202"/>
      <c r="E208" s="202"/>
      <c r="F208" s="203"/>
      <c r="G208" s="202"/>
      <c r="H208" s="202"/>
      <c r="I208" s="203"/>
      <c r="J208" s="202"/>
      <c r="K208" s="202"/>
      <c r="L208" s="202"/>
      <c r="M208" s="202"/>
      <c r="N208" s="194"/>
      <c r="O208" s="202"/>
      <c r="P208" s="194"/>
      <c r="Q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/>
      <c r="BL208" s="202"/>
      <c r="BM208" s="202"/>
      <c r="BN208" s="202"/>
      <c r="BO208" s="202"/>
      <c r="BP208" s="202"/>
      <c r="BQ208" s="202"/>
      <c r="BR208" s="202"/>
      <c r="BS208" s="202"/>
      <c r="BT208" s="202"/>
      <c r="BU208" s="202"/>
      <c r="BV208" s="202"/>
      <c r="BW208" s="202"/>
      <c r="BX208" s="202"/>
      <c r="BY208" s="202"/>
      <c r="BZ208" s="202"/>
      <c r="CA208" s="202"/>
      <c r="CB208" s="202"/>
      <c r="CC208" s="202"/>
      <c r="CD208" s="202"/>
      <c r="CE208" s="202"/>
      <c r="CF208" s="202"/>
      <c r="CG208" s="202"/>
      <c r="CH208" s="202"/>
      <c r="CI208" s="202"/>
      <c r="CJ208" s="202"/>
      <c r="CK208" s="202"/>
      <c r="CL208" s="202"/>
      <c r="CM208" s="202"/>
      <c r="CN208" s="202"/>
      <c r="CO208" s="202"/>
      <c r="CP208" s="202"/>
      <c r="CQ208" s="202"/>
      <c r="CR208" s="202"/>
      <c r="CS208" s="202"/>
      <c r="CT208" s="202"/>
      <c r="CU208" s="202"/>
      <c r="CV208" s="202"/>
      <c r="CW208" s="202"/>
      <c r="CX208" s="202"/>
      <c r="CY208" s="202"/>
      <c r="CZ208" s="202"/>
      <c r="DA208" s="202"/>
      <c r="DB208" s="202"/>
      <c r="DC208" s="202"/>
      <c r="DD208" s="202"/>
      <c r="DE208" s="202"/>
      <c r="DF208" s="202"/>
      <c r="DG208" s="202"/>
      <c r="DH208" s="202"/>
      <c r="DI208" s="202"/>
      <c r="DJ208" s="202"/>
      <c r="DK208" s="202"/>
      <c r="DL208" s="202"/>
      <c r="DM208" s="202"/>
      <c r="DN208" s="202"/>
      <c r="DO208" s="202"/>
      <c r="DP208" s="202"/>
      <c r="DQ208" s="202"/>
      <c r="DR208" s="202"/>
      <c r="DS208" s="202"/>
      <c r="DT208" s="202"/>
      <c r="DU208" s="202"/>
      <c r="DV208" s="202"/>
      <c r="DW208" s="202"/>
      <c r="DX208" s="202"/>
      <c r="DY208" s="202"/>
      <c r="DZ208" s="202"/>
      <c r="EA208" s="202"/>
      <c r="EB208" s="202"/>
      <c r="EC208" s="202"/>
      <c r="ED208" s="202"/>
      <c r="EE208" s="202"/>
      <c r="EF208" s="202"/>
      <c r="EG208" s="202"/>
      <c r="EH208" s="202"/>
      <c r="EI208" s="202"/>
      <c r="EJ208" s="202"/>
      <c r="EK208" s="202"/>
      <c r="EL208" s="202"/>
      <c r="EM208" s="202"/>
      <c r="EN208" s="202"/>
      <c r="EO208" s="202"/>
      <c r="EP208" s="202"/>
      <c r="EQ208" s="202"/>
      <c r="ER208" s="202"/>
      <c r="ES208" s="202"/>
      <c r="ET208" s="202"/>
      <c r="EU208" s="202"/>
      <c r="EV208" s="202"/>
      <c r="EW208" s="202"/>
      <c r="EX208" s="202"/>
      <c r="EY208" s="202"/>
      <c r="EZ208" s="202"/>
      <c r="FA208" s="202"/>
      <c r="FB208" s="202"/>
      <c r="FC208" s="202"/>
      <c r="FD208" s="202"/>
      <c r="FE208" s="202"/>
      <c r="FF208" s="202"/>
      <c r="FG208" s="202"/>
      <c r="FH208" s="202"/>
      <c r="FI208" s="202"/>
      <c r="FJ208" s="202"/>
      <c r="FK208" s="202"/>
      <c r="FL208" s="202"/>
      <c r="FM208" s="202"/>
      <c r="FN208" s="202"/>
      <c r="FO208" s="202"/>
      <c r="FP208" s="202"/>
      <c r="FQ208" s="202"/>
      <c r="FR208" s="202"/>
      <c r="FS208" s="202"/>
      <c r="FT208" s="202"/>
      <c r="FU208" s="202"/>
      <c r="FV208" s="202"/>
      <c r="FW208" s="202"/>
      <c r="FX208" s="202"/>
      <c r="FY208" s="202"/>
      <c r="FZ208" s="202"/>
      <c r="GA208" s="202"/>
      <c r="GB208" s="202"/>
      <c r="GC208" s="202"/>
      <c r="GD208" s="202"/>
      <c r="GE208" s="202"/>
      <c r="GF208" s="202"/>
      <c r="GG208" s="202"/>
      <c r="GH208" s="202"/>
      <c r="GI208" s="202"/>
      <c r="GJ208" s="202"/>
      <c r="GK208" s="202"/>
      <c r="GL208" s="202"/>
      <c r="GM208" s="202"/>
      <c r="GN208" s="202"/>
      <c r="GO208" s="202"/>
      <c r="GP208" s="202"/>
      <c r="GQ208" s="202"/>
      <c r="GR208" s="202"/>
      <c r="GS208" s="202"/>
      <c r="GT208" s="202"/>
      <c r="GU208" s="202"/>
      <c r="GV208" s="202"/>
      <c r="GW208" s="202"/>
      <c r="GX208" s="202"/>
      <c r="GY208" s="202"/>
      <c r="GZ208" s="202"/>
      <c r="HA208" s="202"/>
      <c r="HB208" s="202"/>
      <c r="HC208" s="202"/>
      <c r="HD208" s="202"/>
      <c r="HE208" s="202"/>
      <c r="HF208" s="202"/>
      <c r="HG208" s="202"/>
      <c r="HH208" s="202"/>
      <c r="HI208" s="202"/>
      <c r="HJ208" s="202"/>
      <c r="HK208" s="202"/>
      <c r="HL208" s="202"/>
      <c r="HM208" s="202"/>
      <c r="HN208" s="202"/>
      <c r="HO208" s="202"/>
      <c r="HP208" s="202"/>
      <c r="HQ208" s="202"/>
      <c r="HR208" s="202"/>
      <c r="HS208" s="202"/>
      <c r="HT208" s="202"/>
      <c r="HU208" s="202"/>
      <c r="HV208" s="202"/>
      <c r="HW208" s="202"/>
      <c r="HX208" s="202"/>
      <c r="HY208" s="202"/>
      <c r="HZ208" s="202"/>
      <c r="IA208" s="202"/>
      <c r="IB208" s="202"/>
      <c r="IC208" s="202"/>
      <c r="ID208" s="202"/>
      <c r="IE208" s="202"/>
      <c r="IF208" s="202"/>
      <c r="IG208" s="202"/>
      <c r="IH208" s="202"/>
      <c r="II208" s="202"/>
      <c r="IJ208" s="202"/>
      <c r="IK208" s="202"/>
      <c r="IL208" s="202"/>
      <c r="IM208" s="202"/>
      <c r="IN208" s="202"/>
      <c r="IO208" s="202"/>
      <c r="IP208" s="202"/>
      <c r="IQ208" s="202"/>
      <c r="IR208" s="202"/>
      <c r="IS208" s="202"/>
      <c r="IT208" s="202"/>
    </row>
    <row r="209" spans="2:18" ht="10.7" customHeight="1" x14ac:dyDescent="0.2">
      <c r="B209" s="198"/>
      <c r="C209" s="191"/>
      <c r="D209" s="191"/>
      <c r="E209" s="191"/>
      <c r="F209" s="192"/>
      <c r="G209" s="191"/>
      <c r="H209" s="191"/>
      <c r="I209" s="192"/>
      <c r="J209" s="191"/>
      <c r="K209" s="191"/>
      <c r="L209" s="191"/>
      <c r="M209" s="191"/>
      <c r="N209" s="194"/>
      <c r="O209" s="191"/>
      <c r="P209" s="194"/>
      <c r="Q209" s="191"/>
    </row>
    <row r="210" spans="2:18" ht="10.7" customHeight="1" x14ac:dyDescent="0.2">
      <c r="B210" s="198"/>
      <c r="C210" s="191"/>
      <c r="D210" s="191"/>
      <c r="E210" s="191"/>
      <c r="F210" s="192"/>
      <c r="G210" s="191"/>
      <c r="H210" s="191"/>
      <c r="I210" s="192"/>
      <c r="J210" s="191"/>
      <c r="K210" s="191"/>
      <c r="L210" s="191"/>
      <c r="M210" s="191"/>
      <c r="N210" s="194"/>
      <c r="O210" s="191"/>
      <c r="P210" s="194"/>
      <c r="Q210" s="191"/>
    </row>
    <row r="211" spans="2:18" ht="10.7" customHeight="1" x14ac:dyDescent="0.2">
      <c r="B211" s="198"/>
      <c r="C211" s="191"/>
      <c r="D211" s="191"/>
      <c r="E211" s="191"/>
      <c r="F211" s="192"/>
      <c r="G211" s="191"/>
      <c r="H211" s="191"/>
      <c r="I211" s="192"/>
      <c r="J211" s="191"/>
      <c r="K211" s="191"/>
      <c r="L211" s="191"/>
      <c r="M211" s="191"/>
      <c r="N211" s="194"/>
      <c r="O211" s="191"/>
      <c r="P211" s="194"/>
      <c r="Q211" s="191"/>
    </row>
    <row r="212" spans="2:18" s="191" customFormat="1" ht="10.7" customHeight="1" x14ac:dyDescent="0.2">
      <c r="B212" s="14"/>
      <c r="C212" s="15" t="str">
        <f>C5</f>
        <v>Initial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5"/>
    </row>
    <row r="213" spans="2:18" s="191" customFormat="1" ht="10.7" customHeight="1" x14ac:dyDescent="0.2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5"/>
    </row>
    <row r="214" spans="2:18" s="191" customFormat="1" ht="10.7" customHeight="1" x14ac:dyDescent="0.2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f>$J7</f>
        <v>44468</v>
      </c>
      <c r="K214" s="33">
        <f>$K7</f>
        <v>44475</v>
      </c>
      <c r="L214" s="33">
        <f>$L7</f>
        <v>44482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5"/>
    </row>
    <row r="215" spans="2:18" s="191" customFormat="1" ht="10.7" customHeight="1" x14ac:dyDescent="0.2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5"/>
    </row>
    <row r="216" spans="2:18" s="191" customFormat="1" ht="10.7" customHeight="1" x14ac:dyDescent="0.2">
      <c r="B216" s="40"/>
      <c r="C216" s="233" t="s">
        <v>135</v>
      </c>
      <c r="D216" s="235"/>
      <c r="E216" s="235"/>
      <c r="F216" s="235"/>
      <c r="G216" s="235"/>
      <c r="H216" s="235"/>
      <c r="I216" s="235"/>
      <c r="J216" s="235"/>
      <c r="K216" s="235"/>
      <c r="L216" s="235"/>
      <c r="M216" s="235"/>
      <c r="N216" s="235"/>
      <c r="O216" s="235"/>
      <c r="P216" s="41" t="s">
        <v>4</v>
      </c>
      <c r="R216" s="185"/>
    </row>
    <row r="217" spans="2:18" s="191" customFormat="1" ht="10.7" customHeight="1" x14ac:dyDescent="0.2">
      <c r="B217" s="222" t="s">
        <v>121</v>
      </c>
      <c r="C217" s="151">
        <f>'[5]Maj Pel Combined'!K29</f>
        <v>0</v>
      </c>
      <c r="D217" s="152">
        <f>F217-VLOOKUP(B217,[4]quotas!$B$85:$W$120,19,FALSE)</f>
        <v>0</v>
      </c>
      <c r="E217" s="152">
        <f>F217-C217</f>
        <v>0</v>
      </c>
      <c r="F217" s="153">
        <f>VLOOKUP(B217,[4]quotas!$B$46:$W$84,19,FALSE)</f>
        <v>0</v>
      </c>
      <c r="G217" s="154">
        <f>VLOOKUP(B217,[4]Cumulative!$A$56:$X$91,20,FALSE)</f>
        <v>0</v>
      </c>
      <c r="H217" s="183">
        <f>IF(AND(F217=0,G217&gt;0),"n/a",IF(F217=0,0,100*G217/F217))</f>
        <v>0</v>
      </c>
      <c r="I217" s="153">
        <f>IF(F217="*","*",F217-G217)</f>
        <v>0</v>
      </c>
      <c r="J217" s="154">
        <f>VLOOKUP(B217,[4]Weeks!$A$125:$X$161,20,FALSE)-VLOOKUP(B217,[4]Weeks!$A$165:$X$200,20,FALSE)</f>
        <v>0</v>
      </c>
      <c r="K217" s="154">
        <f>VLOOKUP(B217,[4]Weeks!$A$85:$X$121,20,FALSE)-VLOOKUP(B217,[4]Weeks!$A$125:$X$161,20,FALSE)</f>
        <v>0</v>
      </c>
      <c r="L217" s="154">
        <f>VLOOKUP(B217,[4]Weeks!$A$44:$X$81,20,FALSE)-VLOOKUP(B217,[4]Weeks!$A$85:$X$121,20,FALSE)</f>
        <v>0</v>
      </c>
      <c r="M217" s="154">
        <f>VLOOKUP(B217,[4]Weeks!$A$3:$X$39,20,FALSE)-VLOOKUP(B217,[4]Weeks!$A$44:$X$81,20,FALSE)</f>
        <v>0</v>
      </c>
      <c r="N217" s="46" t="str">
        <f t="shared" ref="N217:N226" si="44">IF(C217="*","*",IF(C217&gt;0,M217/C217*100,"-"))</f>
        <v>-</v>
      </c>
      <c r="O217" s="45">
        <f t="shared" ref="O217:O226" si="45">IF(C217="*","*",SUM(J217:M217)/4)</f>
        <v>0</v>
      </c>
      <c r="P217" s="41" t="str">
        <f>IF(ISNUMBER(VLOOKUP(B217,[4]CLOSURES!B:BI,19,FALSE)),TEXT(VLOOKUP(B217,[4]CLOSURES!B:BI,19,FALSE),"ddmmm"),IF(F217&lt;=0,0,IF(I217&lt;=0,0,IF(AND(F217&gt;0,O217&lt;=0),"&gt;52",IF(I217/O217&gt;52,"&gt;52", MAX(0,I217/O217-2))))))</f>
        <v>01Jan</v>
      </c>
      <c r="R217" s="185"/>
    </row>
    <row r="218" spans="2:18" s="191" customFormat="1" ht="10.7" customHeight="1" x14ac:dyDescent="0.2">
      <c r="B218" s="222" t="s">
        <v>122</v>
      </c>
      <c r="C218" s="151">
        <f>'[5]Maj Pel Combined'!K30</f>
        <v>0</v>
      </c>
      <c r="D218" s="152">
        <f>F218-VLOOKUP(B218,[4]quotas!$B$85:$W$120,19,FALSE)</f>
        <v>0</v>
      </c>
      <c r="E218" s="152">
        <f t="shared" ref="E218:E231" si="46">F218-C218</f>
        <v>0</v>
      </c>
      <c r="F218" s="153">
        <f>VLOOKUP(B218,[4]quotas!$B$46:$W$84,19,FALSE)</f>
        <v>0</v>
      </c>
      <c r="G218" s="154">
        <f>VLOOKUP(B218,[4]Cumulative!$A$56:$X$91,20,FALSE)</f>
        <v>0</v>
      </c>
      <c r="H218" s="183">
        <f t="shared" ref="H218:H227" si="47">IF(AND(F218=0,G218&gt;0),"n/a",IF(F218=0,0,100*G218/F218))</f>
        <v>0</v>
      </c>
      <c r="I218" s="153">
        <f t="shared" ref="I218:I229" si="48">IF(F218="*","*",F218-G218)</f>
        <v>0</v>
      </c>
      <c r="J218" s="154">
        <f>VLOOKUP(B218,[4]Weeks!$A$125:$X$161,20,FALSE)-VLOOKUP(B218,[4]Weeks!$A$165:$X$200,20,FALSE)</f>
        <v>0</v>
      </c>
      <c r="K218" s="154">
        <f>VLOOKUP(B218,[4]Weeks!$A$85:$X$121,20,FALSE)-VLOOKUP(B218,[4]Weeks!$A$125:$X$161,20,FALSE)</f>
        <v>0</v>
      </c>
      <c r="L218" s="154">
        <f>VLOOKUP(B218,[4]Weeks!$A$44:$X$81,20,FALSE)-VLOOKUP(B218,[4]Weeks!$A$85:$X$121,20,FALSE)</f>
        <v>0</v>
      </c>
      <c r="M218" s="154">
        <f>VLOOKUP(B218,[4]Weeks!$A$3:$X$39,20,FALSE)-VLOOKUP(B218,[4]Weeks!$A$44:$X$81,20,FALSE)</f>
        <v>0</v>
      </c>
      <c r="N218" s="46" t="str">
        <f t="shared" si="44"/>
        <v>-</v>
      </c>
      <c r="O218" s="45">
        <f t="shared" si="45"/>
        <v>0</v>
      </c>
      <c r="P218" s="41" t="str">
        <f>IF(ISNUMBER(VLOOKUP(B218,[4]CLOSURES!B:BI,19,FALSE)),TEXT(VLOOKUP(B218,[4]CLOSURES!B:BI,19,FALSE),"ddmmm"),IF(F218&lt;=0,0,IF(I218&lt;=0,0,IF(AND(F218&gt;0,O218&lt;=0),"&gt;52",IF(I218/O218&gt;52,"&gt;52", MAX(0,I218/O218-2))))))</f>
        <v>01Jan</v>
      </c>
      <c r="R218" s="185"/>
    </row>
    <row r="219" spans="2:18" s="191" customFormat="1" ht="10.7" customHeight="1" x14ac:dyDescent="0.2">
      <c r="B219" s="222" t="s">
        <v>123</v>
      </c>
      <c r="C219" s="151">
        <f>'[5]Maj Pel Combined'!K31</f>
        <v>0</v>
      </c>
      <c r="D219" s="152">
        <f>F219-VLOOKUP(B219,[4]quotas!$B$85:$W$120,19,FALSE)</f>
        <v>0</v>
      </c>
      <c r="E219" s="152">
        <f t="shared" si="46"/>
        <v>0</v>
      </c>
      <c r="F219" s="153">
        <f>VLOOKUP(B219,[4]quotas!$B$46:$W$84,19,FALSE)</f>
        <v>0</v>
      </c>
      <c r="G219" s="154">
        <f>VLOOKUP(B219,[4]Cumulative!$A$56:$X$91,20,FALSE)</f>
        <v>0</v>
      </c>
      <c r="H219" s="183">
        <f t="shared" si="47"/>
        <v>0</v>
      </c>
      <c r="I219" s="153">
        <f t="shared" si="48"/>
        <v>0</v>
      </c>
      <c r="J219" s="154">
        <f>VLOOKUP(B219,[4]Weeks!$A$125:$X$161,20,FALSE)-VLOOKUP(B219,[4]Weeks!$A$165:$X$200,20,FALSE)</f>
        <v>0</v>
      </c>
      <c r="K219" s="154">
        <f>VLOOKUP(B219,[4]Weeks!$A$85:$X$121,20,FALSE)-VLOOKUP(B219,[4]Weeks!$A$125:$X$161,20,FALSE)</f>
        <v>0</v>
      </c>
      <c r="L219" s="154">
        <f>VLOOKUP(B219,[4]Weeks!$A$44:$X$81,20,FALSE)-VLOOKUP(B219,[4]Weeks!$A$85:$X$121,20,FALSE)</f>
        <v>0</v>
      </c>
      <c r="M219" s="154">
        <f>VLOOKUP(B219,[4]Weeks!$A$3:$X$39,20,FALSE)-VLOOKUP(B219,[4]Weeks!$A$44:$X$81,20,FALSE)</f>
        <v>0</v>
      </c>
      <c r="N219" s="46" t="str">
        <f t="shared" si="44"/>
        <v>-</v>
      </c>
      <c r="O219" s="45">
        <f t="shared" si="45"/>
        <v>0</v>
      </c>
      <c r="P219" s="41" t="str">
        <f>IF(ISNUMBER(VLOOKUP(B219,[4]CLOSURES!B:BI,19,FALSE)),TEXT(VLOOKUP(B219,[4]CLOSURES!B:BI,19,FALSE),"ddmmm"),IF(F219&lt;=0,0,IF(I219&lt;=0,0,IF(AND(F219&gt;0,O219&lt;=0),"&gt;52",IF(I219/O219&gt;52,"&gt;52", MAX(0,I219/O219-2))))))</f>
        <v>01Jan</v>
      </c>
      <c r="R219" s="185"/>
    </row>
    <row r="220" spans="2:18" s="191" customFormat="1" ht="10.7" customHeight="1" x14ac:dyDescent="0.2">
      <c r="B220" s="222" t="s">
        <v>124</v>
      </c>
      <c r="C220" s="151">
        <f>'[5]Maj Pel Combined'!K32</f>
        <v>0</v>
      </c>
      <c r="D220" s="152">
        <f>F220-VLOOKUP(B220,[4]quotas!$B$85:$W$120,19,FALSE)</f>
        <v>0</v>
      </c>
      <c r="E220" s="152">
        <f t="shared" si="46"/>
        <v>0</v>
      </c>
      <c r="F220" s="153">
        <f>VLOOKUP(B220,[4]quotas!$B$46:$W$84,19,FALSE)</f>
        <v>0</v>
      </c>
      <c r="G220" s="154">
        <f>VLOOKUP(B220,[4]Cumulative!$A$56:$X$91,20,FALSE)</f>
        <v>0</v>
      </c>
      <c r="H220" s="183">
        <f t="shared" si="47"/>
        <v>0</v>
      </c>
      <c r="I220" s="153">
        <f t="shared" si="48"/>
        <v>0</v>
      </c>
      <c r="J220" s="154">
        <f>VLOOKUP(B220,[4]Weeks!$A$125:$X$161,20,FALSE)-VLOOKUP(B220,[4]Weeks!$A$165:$X$200,20,FALSE)</f>
        <v>0</v>
      </c>
      <c r="K220" s="154">
        <f>VLOOKUP(B220,[4]Weeks!$A$85:$X$121,20,FALSE)-VLOOKUP(B220,[4]Weeks!$A$125:$X$161,20,FALSE)</f>
        <v>0</v>
      </c>
      <c r="L220" s="154">
        <f>VLOOKUP(B220,[4]Weeks!$A$44:$X$81,20,FALSE)-VLOOKUP(B220,[4]Weeks!$A$85:$X$121,20,FALSE)</f>
        <v>0</v>
      </c>
      <c r="M220" s="154">
        <f>VLOOKUP(B220,[4]Weeks!$A$3:$X$39,20,FALSE)-VLOOKUP(B220,[4]Weeks!$A$44:$X$81,20,FALSE)</f>
        <v>0</v>
      </c>
      <c r="N220" s="46" t="str">
        <f t="shared" si="44"/>
        <v>-</v>
      </c>
      <c r="O220" s="45">
        <f t="shared" si="45"/>
        <v>0</v>
      </c>
      <c r="P220" s="41" t="str">
        <f>IF(ISNUMBER(VLOOKUP(B220,[4]CLOSURES!B:BI,19,FALSE)),TEXT(VLOOKUP(B220,[4]CLOSURES!B:BI,19,FALSE),"ddmmm"),IF(F220&lt;=0,0,IF(I220&lt;=0,0,IF(AND(F220&gt;0,O220&lt;=0),"&gt;52",IF(I220/O220&gt;52,"&gt;52", MAX(0,I220/O220-2))))))</f>
        <v>01Jan</v>
      </c>
      <c r="R220" s="185"/>
    </row>
    <row r="221" spans="2:18" s="191" customFormat="1" ht="10.7" customHeight="1" x14ac:dyDescent="0.2">
      <c r="B221" s="222"/>
      <c r="C221" s="151"/>
      <c r="D221" s="152"/>
      <c r="E221" s="152"/>
      <c r="F221" s="153"/>
      <c r="G221" s="154"/>
      <c r="H221" s="183"/>
      <c r="I221" s="153"/>
      <c r="J221" s="154"/>
      <c r="K221" s="154"/>
      <c r="L221" s="154"/>
      <c r="M221" s="154"/>
      <c r="N221" s="46"/>
      <c r="O221" s="45"/>
      <c r="P221" s="41"/>
      <c r="R221" s="185"/>
    </row>
    <row r="222" spans="2:18" s="191" customFormat="1" ht="10.7" customHeight="1" x14ac:dyDescent="0.2">
      <c r="B222" s="162" t="s">
        <v>125</v>
      </c>
      <c r="C222" s="151">
        <f>SUM(C217:C220)</f>
        <v>0</v>
      </c>
      <c r="D222" s="152">
        <f>SUM(D217:D221)</f>
        <v>0</v>
      </c>
      <c r="E222" s="152">
        <f t="shared" si="46"/>
        <v>0</v>
      </c>
      <c r="F222" s="153">
        <f>SUM(F217:F220)</f>
        <v>0</v>
      </c>
      <c r="G222" s="153">
        <f>SUM(G217:G220)</f>
        <v>0</v>
      </c>
      <c r="H222" s="183">
        <f t="shared" si="47"/>
        <v>0</v>
      </c>
      <c r="I222" s="153">
        <f t="shared" si="48"/>
        <v>0</v>
      </c>
      <c r="J222" s="154">
        <f>SUM(J217:J220)</f>
        <v>0</v>
      </c>
      <c r="K222" s="154">
        <f>SUM(K217:K220)</f>
        <v>0</v>
      </c>
      <c r="L222" s="154">
        <f>SUM(L217:L220)</f>
        <v>0</v>
      </c>
      <c r="M222" s="154">
        <f>SUM(M217:M220)</f>
        <v>0</v>
      </c>
      <c r="N222" s="46" t="str">
        <f t="shared" si="44"/>
        <v>-</v>
      </c>
      <c r="O222" s="45">
        <f t="shared" si="45"/>
        <v>0</v>
      </c>
      <c r="P222" s="41">
        <f>IF(ISNUMBER(VLOOKUP(B222,[4]CLOSURES!B:BI,19,FALSE)),TEXT(VLOOKUP(B222,[4]CLOSURES!B:BI,19,FALSE),"ddmmm"),IF(F222&lt;=0,0,IF(I222&lt;=0,0,IF(AND(F222&gt;0,O222&lt;=0),"&gt;52",IF(I222/O222&gt;52,"&gt;52", MAX(0,I222/O222-2))))))</f>
        <v>0</v>
      </c>
      <c r="R222" s="185"/>
    </row>
    <row r="223" spans="2:18" s="191" customFormat="1" ht="10.7" customHeight="1" x14ac:dyDescent="0.2">
      <c r="B223" s="162"/>
      <c r="C223" s="151"/>
      <c r="D223" s="152"/>
      <c r="E223" s="152"/>
      <c r="F223" s="153"/>
      <c r="G223" s="154"/>
      <c r="H223" s="183"/>
      <c r="I223" s="153"/>
      <c r="J223" s="154"/>
      <c r="K223" s="154"/>
      <c r="L223" s="154"/>
      <c r="M223" s="154"/>
      <c r="N223" s="46"/>
      <c r="O223" s="45"/>
      <c r="P223" s="41"/>
      <c r="R223" s="185"/>
    </row>
    <row r="224" spans="2:18" s="191" customFormat="1" ht="10.7" customHeight="1" x14ac:dyDescent="0.2">
      <c r="B224" s="223" t="s">
        <v>126</v>
      </c>
      <c r="C224" s="151">
        <f>'[5]Maj Pel Combined'!K36</f>
        <v>0</v>
      </c>
      <c r="D224" s="152">
        <f>F224-VLOOKUP(B224,[4]quotas!$B$85:$W$120,19,FALSE)</f>
        <v>0</v>
      </c>
      <c r="E224" s="152">
        <f t="shared" si="46"/>
        <v>0</v>
      </c>
      <c r="F224" s="153">
        <f>VLOOKUP(B224,[4]quotas!$B$46:$W$84,19,FALSE)</f>
        <v>0</v>
      </c>
      <c r="G224" s="154">
        <f>VLOOKUP(B224,[4]Cumulative!$A$56:$X$91,20,FALSE)</f>
        <v>0</v>
      </c>
      <c r="H224" s="183">
        <v>0</v>
      </c>
      <c r="I224" s="153">
        <f t="shared" si="48"/>
        <v>0</v>
      </c>
      <c r="J224" s="154">
        <f>VLOOKUP(B224,[4]Weeks!$A$125:$X$161,20,FALSE)-VLOOKUP(B224,[4]Weeks!$A$165:$X$200,20,FALSE)</f>
        <v>0</v>
      </c>
      <c r="K224" s="154">
        <f>VLOOKUP(B224,[4]Weeks!$A$85:$X$121,20,FALSE)-VLOOKUP(B224,[4]Weeks!$A$125:$X$161,20,FALSE)</f>
        <v>0</v>
      </c>
      <c r="L224" s="154">
        <f>VLOOKUP(B224,[4]Weeks!$A$44:$X$81,20,FALSE)-VLOOKUP(B224,[4]Weeks!$A$85:$X$121,20,FALSE)</f>
        <v>0</v>
      </c>
      <c r="M224" s="154">
        <f>VLOOKUP(B224,[4]Weeks!$A$3:$X$39,20,FALSE)-VLOOKUP(B224,[4]Weeks!$A$44:$X$81,20,FALSE)</f>
        <v>0</v>
      </c>
      <c r="N224" s="46" t="str">
        <f t="shared" si="44"/>
        <v>-</v>
      </c>
      <c r="O224" s="45">
        <f t="shared" si="45"/>
        <v>0</v>
      </c>
      <c r="P224" s="41" t="str">
        <f>IF(ISNUMBER(VLOOKUP(B224,[4]CLOSURES!B:BI,19,FALSE)),TEXT(VLOOKUP(B224,[4]CLOSURES!B:BI,19,FALSE),"ddmmm"),IF(F224&lt;=0,0,IF(I224&lt;=0,0,IF(AND(F224&gt;0,O224&lt;=0),"&gt;52",IF(I224/O224&gt;52,"&gt;52", MAX(0,I224/O224-2))))))</f>
        <v>01Jan</v>
      </c>
      <c r="R224" s="185"/>
    </row>
    <row r="225" spans="2:18" s="191" customFormat="1" ht="10.7" customHeight="1" x14ac:dyDescent="0.2">
      <c r="B225" s="223" t="s">
        <v>127</v>
      </c>
      <c r="C225" s="151">
        <f>'[5]Maj Pel Combined'!K37</f>
        <v>0</v>
      </c>
      <c r="D225" s="152">
        <f>F225-VLOOKUP(B225,[4]quotas!$B$85:$W$120,19,FALSE)</f>
        <v>0</v>
      </c>
      <c r="E225" s="152">
        <f t="shared" si="46"/>
        <v>0</v>
      </c>
      <c r="F225" s="153">
        <f>VLOOKUP(B225,[4]quotas!$B$46:$W$84,19,FALSE)</f>
        <v>0</v>
      </c>
      <c r="G225" s="154">
        <f>VLOOKUP(B225,[4]Cumulative!$A$56:$X$91,20,FALSE)</f>
        <v>0</v>
      </c>
      <c r="H225" s="183">
        <f t="shared" si="47"/>
        <v>0</v>
      </c>
      <c r="I225" s="153">
        <f t="shared" si="48"/>
        <v>0</v>
      </c>
      <c r="J225" s="154">
        <f>VLOOKUP(B225,[4]Weeks!$A$125:$X$161,20,FALSE)-VLOOKUP(B225,[4]Weeks!$A$165:$X$200,20,FALSE)</f>
        <v>0</v>
      </c>
      <c r="K225" s="154">
        <f>VLOOKUP(B225,[4]Weeks!$A$85:$X$121,20,FALSE)-VLOOKUP(B225,[4]Weeks!$A$125:$X$161,20,FALSE)</f>
        <v>0</v>
      </c>
      <c r="L225" s="154">
        <f>VLOOKUP(B225,[4]Weeks!$A$44:$X$81,20,FALSE)-VLOOKUP(B225,[4]Weeks!$A$85:$X$121,20,FALSE)</f>
        <v>0</v>
      </c>
      <c r="M225" s="154">
        <f>VLOOKUP(B225,[4]Weeks!$A$3:$X$39,20,FALSE)-VLOOKUP(B225,[4]Weeks!$A$44:$X$81,20,FALSE)</f>
        <v>0</v>
      </c>
      <c r="N225" s="46" t="str">
        <f t="shared" si="44"/>
        <v>-</v>
      </c>
      <c r="O225" s="45">
        <f t="shared" si="45"/>
        <v>0</v>
      </c>
      <c r="P225" s="41" t="str">
        <f>IF(ISNUMBER(VLOOKUP(B225,[4]CLOSURES!B:BI,19,FALSE)),TEXT(VLOOKUP(B225,[4]CLOSURES!B:BI,19,FALSE),"ddmmm"),IF(F225&lt;=0,0,IF(I225&lt;=0,0,IF(AND(F225&gt;0,O225&lt;=0),"&gt;52",IF(I225/O225&gt;52,"&gt;52", MAX(0,I225/O225-2))))))</f>
        <v>01Jan</v>
      </c>
      <c r="R225" s="185"/>
    </row>
    <row r="226" spans="2:18" s="191" customFormat="1" ht="10.7" customHeight="1" x14ac:dyDescent="0.2">
      <c r="B226" s="223" t="s">
        <v>128</v>
      </c>
      <c r="C226" s="151">
        <f>'[5]Maj Pel Combined'!K38</f>
        <v>0</v>
      </c>
      <c r="D226" s="152">
        <f>F226-VLOOKUP(B226,[4]quotas!$B$85:$W$120,19,FALSE)</f>
        <v>0</v>
      </c>
      <c r="E226" s="152">
        <f t="shared" si="46"/>
        <v>0</v>
      </c>
      <c r="F226" s="153">
        <f>VLOOKUP(B226,[4]quotas!$B$46:$W$84,19,FALSE)</f>
        <v>0</v>
      </c>
      <c r="G226" s="154">
        <f>VLOOKUP(B226,[4]Cumulative!$A$56:$X$91,20,FALSE)</f>
        <v>0</v>
      </c>
      <c r="H226" s="183">
        <f t="shared" si="47"/>
        <v>0</v>
      </c>
      <c r="I226" s="153">
        <f t="shared" si="48"/>
        <v>0</v>
      </c>
      <c r="J226" s="154">
        <f>VLOOKUP(B226,[4]Weeks!$A$125:$X$161,20,FALSE)-VLOOKUP(B226,[4]Weeks!$A$165:$X$200,20,FALSE)</f>
        <v>0</v>
      </c>
      <c r="K226" s="154">
        <f>VLOOKUP(B226,[4]Weeks!$A$85:$X$121,20,FALSE)-VLOOKUP(B226,[4]Weeks!$A$125:$X$161,20,FALSE)</f>
        <v>0</v>
      </c>
      <c r="L226" s="154">
        <f>VLOOKUP(B226,[4]Weeks!$A$44:$X$81,20,FALSE)-VLOOKUP(B226,[4]Weeks!$A$85:$X$121,20,FALSE)</f>
        <v>0</v>
      </c>
      <c r="M226" s="154">
        <f>VLOOKUP(B226,[4]Weeks!$A$3:$X$39,20,FALSE)-VLOOKUP(B226,[4]Weeks!$A$44:$X$81,20,FALSE)</f>
        <v>0</v>
      </c>
      <c r="N226" s="46" t="str">
        <f t="shared" si="44"/>
        <v>-</v>
      </c>
      <c r="O226" s="45">
        <f t="shared" si="45"/>
        <v>0</v>
      </c>
      <c r="P226" s="41" t="str">
        <f>IF(ISNUMBER(VLOOKUP(B226,[4]CLOSURES!B:BI,19,FALSE)),TEXT(VLOOKUP(B226,[4]CLOSURES!B:BI,19,FALSE),"ddmmm"),IF(F226&lt;=0,0,IF(I226&lt;=0,0,IF(AND(F226&gt;0,O226&lt;=0),"&gt;52",IF(I226/O226&gt;52,"&gt;52", MAX(0,I226/O226-2))))))</f>
        <v>01Jan</v>
      </c>
      <c r="R226" s="185"/>
    </row>
    <row r="227" spans="2:18" s="191" customFormat="1" ht="10.7" customHeight="1" x14ac:dyDescent="0.2">
      <c r="B227" s="223" t="s">
        <v>129</v>
      </c>
      <c r="C227" s="151">
        <f>'[5]Maj Pel Combined'!K39</f>
        <v>0</v>
      </c>
      <c r="D227" s="152">
        <f>F227-VLOOKUP(B227,[4]quotas!$B$85:$W$120,19,FALSE)</f>
        <v>0</v>
      </c>
      <c r="E227" s="152">
        <f t="shared" si="46"/>
        <v>0</v>
      </c>
      <c r="F227" s="153">
        <f>VLOOKUP(B227,[4]quotas!$B$46:$W$84,19,FALSE)</f>
        <v>0</v>
      </c>
      <c r="G227" s="154">
        <f>VLOOKUP(B227,[4]Cumulative!$A$56:$X$91,20,FALSE)</f>
        <v>0</v>
      </c>
      <c r="H227" s="183">
        <f t="shared" si="47"/>
        <v>0</v>
      </c>
      <c r="I227" s="153">
        <f>SUM(I217:I225)</f>
        <v>0</v>
      </c>
      <c r="J227" s="154">
        <f>VLOOKUP(B227,[4]Weeks!$A$125:$X$161,20,FALSE)-VLOOKUP(B227,[4]Weeks!$A$165:$X$200,20,FALSE)</f>
        <v>0</v>
      </c>
      <c r="K227" s="154">
        <f>VLOOKUP(B227,[4]Weeks!$A$85:$X$121,20,FALSE)-VLOOKUP(B227,[4]Weeks!$A$125:$X$161,20,FALSE)</f>
        <v>0</v>
      </c>
      <c r="L227" s="154">
        <f>VLOOKUP(B227,[4]Weeks!$A$44:$X$81,20,FALSE)-VLOOKUP(B227,[4]Weeks!$A$85:$X$121,20,FALSE)</f>
        <v>0</v>
      </c>
      <c r="M227" s="154">
        <f>VLOOKUP(B227,[4]Weeks!$A$3:$X$39,20,FALSE)-VLOOKUP(B227,[4]Weeks!$A$44:$X$81,20,FALSE)</f>
        <v>0</v>
      </c>
      <c r="N227" s="48">
        <f>SUM(N217:N226)</f>
        <v>0</v>
      </c>
      <c r="O227" s="45">
        <f>SUM(O217:O226)</f>
        <v>0</v>
      </c>
      <c r="P227" s="41" t="str">
        <f>IF(ISNUMBER(VLOOKUP(B227,[4]CLOSURES!B:BI,19,FALSE)),TEXT(VLOOKUP(B227,[4]CLOSURES!B:BI,19,FALSE),"ddmmm"),IF(F227&lt;=0,0,IF(I227&lt;=0,0,IF(AND(F227&gt;0,O227&lt;=0),"&gt;52",IF(I227/O227&gt;52,"&gt;52", MAX(0,I227/O227-2))))))</f>
        <v>01Jan</v>
      </c>
      <c r="R227" s="185"/>
    </row>
    <row r="228" spans="2:18" s="191" customFormat="1" ht="10.7" customHeight="1" x14ac:dyDescent="0.2">
      <c r="B228" s="223"/>
      <c r="C228" s="151"/>
      <c r="D228" s="154"/>
      <c r="E228" s="152"/>
      <c r="F228" s="153"/>
      <c r="G228" s="154"/>
      <c r="H228" s="183"/>
      <c r="I228" s="153"/>
      <c r="J228" s="154"/>
      <c r="K228" s="154"/>
      <c r="L228" s="154"/>
      <c r="M228" s="154"/>
      <c r="N228" s="46"/>
      <c r="O228" s="45"/>
      <c r="P228" s="41"/>
      <c r="R228" s="185"/>
    </row>
    <row r="229" spans="2:18" s="191" customFormat="1" ht="10.7" customHeight="1" x14ac:dyDescent="0.2">
      <c r="B229" s="196" t="s">
        <v>130</v>
      </c>
      <c r="C229" s="151">
        <v>0</v>
      </c>
      <c r="D229" s="152">
        <f>SUM(C229)</f>
        <v>0</v>
      </c>
      <c r="E229" s="152">
        <f t="shared" si="46"/>
        <v>0</v>
      </c>
      <c r="F229" s="153">
        <f>SUM(F224:F227)</f>
        <v>0</v>
      </c>
      <c r="G229" s="153">
        <f>SUM(G224:G227)</f>
        <v>0</v>
      </c>
      <c r="H229" s="183">
        <v>0</v>
      </c>
      <c r="I229" s="153">
        <f t="shared" si="48"/>
        <v>0</v>
      </c>
      <c r="J229" s="154">
        <f>SUM(J224:J227)</f>
        <v>0</v>
      </c>
      <c r="K229" s="154">
        <f>SUM(K224:K227)</f>
        <v>0</v>
      </c>
      <c r="L229" s="154">
        <f>SUM(L224:L227)</f>
        <v>0</v>
      </c>
      <c r="M229" s="154">
        <f>SUM(M224:M227)</f>
        <v>0</v>
      </c>
      <c r="N229" s="46" t="str">
        <f>IF(C229="*","*",IF(C229&gt;0,M229/C229*100,"-"))</f>
        <v>-</v>
      </c>
      <c r="O229" s="45">
        <f>IF(C229="*","*",SUM(J229:M229)/4)</f>
        <v>0</v>
      </c>
      <c r="P229" s="41">
        <f>IF(ISNUMBER(VLOOKUP(B229,[4]CLOSURES!B:BI,19,FALSE)),TEXT(VLOOKUP(B229,[4]CLOSURES!B:BI,19,FALSE),"ddmmm"),IF(F229&lt;=0,0,IF(I229&lt;=0,0,IF(AND(F229&gt;0,O229&lt;=0),"&gt;52",IF(I229/O229&gt;52,"&gt;52", MAX(0,I229/O229-2))))))</f>
        <v>0</v>
      </c>
      <c r="R229" s="185"/>
    </row>
    <row r="230" spans="2:18" s="191" customFormat="1" ht="10.7" customHeight="1" x14ac:dyDescent="0.2">
      <c r="B230" s="186"/>
      <c r="C230" s="151"/>
      <c r="D230" s="152"/>
      <c r="E230" s="152"/>
      <c r="F230" s="153"/>
      <c r="G230" s="154"/>
      <c r="H230" s="183"/>
      <c r="I230" s="153"/>
      <c r="J230" s="154"/>
      <c r="K230" s="154"/>
      <c r="L230" s="154"/>
      <c r="M230" s="154"/>
      <c r="N230" s="46"/>
      <c r="O230" s="45"/>
      <c r="P230" s="41"/>
      <c r="R230" s="185"/>
    </row>
    <row r="231" spans="2:18" s="191" customFormat="1" ht="10.7" customHeight="1" x14ac:dyDescent="0.2">
      <c r="B231" s="187" t="s">
        <v>91</v>
      </c>
      <c r="C231" s="157">
        <f>C229+C222</f>
        <v>0</v>
      </c>
      <c r="D231" s="160">
        <f>D222+D229</f>
        <v>0</v>
      </c>
      <c r="E231" s="160">
        <f t="shared" si="46"/>
        <v>0</v>
      </c>
      <c r="F231" s="156">
        <f>F229+F222</f>
        <v>0</v>
      </c>
      <c r="G231" s="155">
        <f>G222+G229</f>
        <v>0</v>
      </c>
      <c r="H231" s="188">
        <v>0</v>
      </c>
      <c r="I231" s="156">
        <f>IF(F231="*","*",F231-G231)</f>
        <v>0</v>
      </c>
      <c r="J231" s="155">
        <f>J222+J229</f>
        <v>0</v>
      </c>
      <c r="K231" s="155">
        <f>K222+K229</f>
        <v>0</v>
      </c>
      <c r="L231" s="155">
        <f>L222+L229</f>
        <v>0</v>
      </c>
      <c r="M231" s="155">
        <f>M222+M229</f>
        <v>0</v>
      </c>
      <c r="N231" s="58" t="str">
        <f>IF(C231="*","*",IF(C231&gt;0,M231/C231*100,"-"))</f>
        <v>-</v>
      </c>
      <c r="O231" s="52">
        <f>IF(C231="*","*",SUM(J231:M231)/4)</f>
        <v>0</v>
      </c>
      <c r="P231" s="54">
        <f>IF(ISNUMBER(VLOOKUP(B231,[4]CLOSURES!B:BI,19,FALSE)),TEXT(VLOOKUP(B231,[4]CLOSURES!B:BI,19,FALSE),"ddmmm"),IF(F231&lt;=0,0,IF(I231&lt;=0,0,IF(AND(F231&gt;0,O231&lt;=0),"&gt;52",IF(I231/O231&gt;52,"&gt;52", MAX(0,I231/O231-2))))))</f>
        <v>0</v>
      </c>
      <c r="R231" s="185"/>
    </row>
    <row r="232" spans="2:18" s="191" customFormat="1" ht="10.7" customHeight="1" x14ac:dyDescent="0.2">
      <c r="B232" s="198" t="str">
        <f>B69</f>
        <v>Number of Weeks to end of year is 10</v>
      </c>
      <c r="C232" s="45"/>
      <c r="D232" s="43"/>
      <c r="E232" s="43"/>
      <c r="F232" s="44"/>
      <c r="G232" s="45"/>
      <c r="H232" s="213"/>
      <c r="I232" s="44"/>
      <c r="J232" s="45"/>
      <c r="K232" s="45"/>
      <c r="L232" s="45"/>
      <c r="M232" s="45"/>
      <c r="N232" s="46"/>
      <c r="O232" s="45"/>
      <c r="P232" s="48"/>
      <c r="R232" s="185"/>
    </row>
    <row r="233" spans="2:18" s="191" customFormat="1" ht="10.7" customHeight="1" x14ac:dyDescent="0.2">
      <c r="B233" s="202" t="s">
        <v>92</v>
      </c>
      <c r="C233" s="45"/>
      <c r="D233" s="43"/>
      <c r="E233" s="43"/>
      <c r="F233" s="44"/>
      <c r="G233" s="45"/>
      <c r="H233" s="213"/>
      <c r="I233" s="44"/>
      <c r="J233" s="45"/>
      <c r="K233" s="45"/>
      <c r="L233" s="45"/>
      <c r="M233" s="45"/>
      <c r="N233" s="46"/>
      <c r="O233" s="45"/>
      <c r="P233" s="48"/>
      <c r="R233" s="185"/>
    </row>
    <row r="234" spans="2:18" s="191" customFormat="1" ht="10.7" customHeight="1" x14ac:dyDescent="0.2">
      <c r="C234" s="45"/>
      <c r="D234" s="43"/>
      <c r="E234" s="43"/>
      <c r="F234" s="44"/>
      <c r="G234" s="45"/>
      <c r="H234" s="213"/>
      <c r="I234" s="44"/>
      <c r="J234" s="45"/>
      <c r="K234" s="45"/>
      <c r="L234" s="45"/>
      <c r="M234" s="45"/>
      <c r="N234" s="46"/>
      <c r="O234" s="45"/>
      <c r="P234" s="48"/>
      <c r="R234" s="185"/>
    </row>
    <row r="235" spans="2:18" s="191" customFormat="1" ht="10.7" customHeight="1" x14ac:dyDescent="0.2">
      <c r="B235" s="215"/>
      <c r="C235" s="45"/>
      <c r="D235" s="43"/>
      <c r="E235" s="43"/>
      <c r="F235" s="44"/>
      <c r="G235" s="45"/>
      <c r="H235" s="213"/>
      <c r="I235" s="44"/>
      <c r="J235" s="45"/>
      <c r="K235" s="45"/>
      <c r="L235" s="45"/>
      <c r="M235" s="45"/>
      <c r="N235" s="46"/>
      <c r="O235" s="45"/>
      <c r="P235" s="48"/>
      <c r="R235" s="185"/>
    </row>
    <row r="236" spans="2:18" s="191" customFormat="1" x14ac:dyDescent="0.2">
      <c r="B236" s="198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5"/>
    </row>
    <row r="237" spans="2:18" s="191" customFormat="1" hidden="1" x14ac:dyDescent="0.2">
      <c r="B237" s="198">
        <f>B95</f>
        <v>0</v>
      </c>
      <c r="F237" s="192"/>
      <c r="I237" s="192"/>
      <c r="N237" s="194"/>
      <c r="P237" s="194"/>
      <c r="R237" s="185"/>
    </row>
    <row r="238" spans="2:18" s="191" customFormat="1" hidden="1" x14ac:dyDescent="0.2">
      <c r="B238" s="198">
        <f>B96</f>
        <v>0</v>
      </c>
      <c r="C238" s="15" t="s">
        <v>97</v>
      </c>
      <c r="D238" s="15" t="s">
        <v>14</v>
      </c>
      <c r="E238" s="15"/>
      <c r="F238" s="16" t="s">
        <v>97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5"/>
    </row>
    <row r="239" spans="2:18" s="191" customFormat="1" hidden="1" x14ac:dyDescent="0.2">
      <c r="B239" s="23" t="s">
        <v>45</v>
      </c>
      <c r="C239" s="9" t="s">
        <v>98</v>
      </c>
      <c r="D239" s="26" t="s">
        <v>15</v>
      </c>
      <c r="E239" s="26"/>
      <c r="F239" s="25" t="s">
        <v>98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5"/>
    </row>
    <row r="240" spans="2:18" s="191" customFormat="1" hidden="1" x14ac:dyDescent="0.2">
      <c r="B240" s="23"/>
      <c r="C240" s="24" t="s">
        <v>99</v>
      </c>
      <c r="D240" s="26" t="s">
        <v>54</v>
      </c>
      <c r="E240" s="26"/>
      <c r="F240" s="28" t="s">
        <v>99</v>
      </c>
      <c r="G240" s="24" t="s">
        <v>55</v>
      </c>
      <c r="H240" s="27" t="s">
        <v>56</v>
      </c>
      <c r="I240" s="28" t="s">
        <v>57</v>
      </c>
      <c r="J240" s="33" t="e">
        <f>#REF!</f>
        <v>#REF!</v>
      </c>
      <c r="K240" s="33" t="e">
        <f>#REF!</f>
        <v>#REF!</v>
      </c>
      <c r="L240" s="33" t="e">
        <f>#REF!</f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5"/>
    </row>
    <row r="241" spans="2:18" s="191" customFormat="1" hidden="1" x14ac:dyDescent="0.2">
      <c r="B241" s="35"/>
      <c r="C241" s="36" t="s">
        <v>100</v>
      </c>
      <c r="D241" s="36" t="s">
        <v>59</v>
      </c>
      <c r="E241" s="36"/>
      <c r="F241" s="37" t="s">
        <v>100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5"/>
    </row>
    <row r="242" spans="2:18" s="191" customFormat="1" hidden="1" x14ac:dyDescent="0.2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5"/>
    </row>
    <row r="243" spans="2:18" s="191" customFormat="1" hidden="1" x14ac:dyDescent="0.2">
      <c r="B243" s="40"/>
      <c r="C243" s="237" t="s">
        <v>101</v>
      </c>
      <c r="D243" s="234"/>
      <c r="E243" s="234"/>
      <c r="F243" s="234"/>
      <c r="G243" s="234"/>
      <c r="H243" s="234"/>
      <c r="I243" s="234"/>
      <c r="J243" s="234"/>
      <c r="K243" s="234"/>
      <c r="L243" s="234"/>
      <c r="M243" s="234"/>
      <c r="N243" s="234"/>
      <c r="O243" s="234"/>
      <c r="P243" s="41" t="s">
        <v>4</v>
      </c>
      <c r="R243" s="185"/>
    </row>
    <row r="244" spans="2:18" s="191" customFormat="1" hidden="1" x14ac:dyDescent="0.2">
      <c r="B244" s="40" t="s">
        <v>62</v>
      </c>
      <c r="C244" s="42">
        <f>[4]quotas!V47</f>
        <v>0</v>
      </c>
      <c r="D244" s="45">
        <f>[4]quotas!V47-[4]quotas!V87</f>
        <v>0</v>
      </c>
      <c r="E244" s="45"/>
      <c r="F244" s="71">
        <f>[4]quotas!Y47</f>
        <v>0</v>
      </c>
      <c r="G244" s="45" t="e">
        <f>IF(#REF!="*","*",[4]Cumulative!X57)</f>
        <v>#REF!</v>
      </c>
      <c r="H244" s="46" t="str">
        <f>IF(C244="*","*",IF(C244&gt;0,#REF!/C244*100,"-"))</f>
        <v>-</v>
      </c>
      <c r="I244" s="44" t="e">
        <f>IF(C244="*","*",C244-#REF!)</f>
        <v>#REF!</v>
      </c>
      <c r="J244" s="45">
        <f>IF(C244="*","*",[4]Weeks!V126-[4]Weeks!V166)</f>
        <v>0</v>
      </c>
      <c r="K244" s="45">
        <f>IF(C244="*","*",[4]Weeks!V86-[4]Weeks!V126)</f>
        <v>0</v>
      </c>
      <c r="L244" s="45">
        <f>IF(C244="*","*",[4]Weeks!V46-[4]Weeks!V86)</f>
        <v>0</v>
      </c>
      <c r="M244" s="45" t="e">
        <f>IF(C244="*","*",[4]Weeks!V4-[4]Weeks!V46)</f>
        <v>#VALUE!</v>
      </c>
      <c r="N244" s="46" t="str">
        <f t="shared" ref="N244:N266" si="49">IF(C244="*","*",IF(C244&gt;0,M244/C244*100,"-"))</f>
        <v>-</v>
      </c>
      <c r="O244" s="45" t="e">
        <f t="shared" ref="O244:O266" si="50">IF(C244="*","*",SUM(J244:M244)/4)</f>
        <v>#VALUE!</v>
      </c>
      <c r="P244" s="41">
        <f>IF(ISTEXT(C244),#REF!,IF(ISNUMBER([4]CLOSURES!V5),TEXT([4]CLOSURES!V5,"ddmmm"),IF(C244&lt;=0,0,IF(I244&lt;0,0,IF(AND(C244&gt;0,O244&lt;=0),"&gt;99",IF(I244/O244&gt;100,"&gt;99",MAX(0,I244/O244-2)))))))</f>
        <v>0</v>
      </c>
      <c r="R244" s="185"/>
    </row>
    <row r="245" spans="2:18" s="191" customFormat="1" hidden="1" x14ac:dyDescent="0.2">
      <c r="B245" s="40" t="s">
        <v>63</v>
      </c>
      <c r="C245" s="42">
        <f>[4]quotas!V48</f>
        <v>0</v>
      </c>
      <c r="D245" s="45">
        <f>[4]quotas!V48-[4]quotas!V88</f>
        <v>0</v>
      </c>
      <c r="E245" s="45"/>
      <c r="F245" s="71">
        <f>[4]quotas!Y48</f>
        <v>0</v>
      </c>
      <c r="G245" s="45" t="e">
        <f>IF(#REF!="*","*",[4]Cumulative!X58)</f>
        <v>#REF!</v>
      </c>
      <c r="H245" s="46" t="str">
        <f>IF(C245="*","*",IF(C245&gt;0,#REF!/C245*100,"-"))</f>
        <v>-</v>
      </c>
      <c r="I245" s="44" t="e">
        <f>IF(C245="*","*",C245-#REF!)</f>
        <v>#REF!</v>
      </c>
      <c r="J245" s="45">
        <f>IF(C245="*","*",[4]Weeks!V127-[4]Weeks!V167)</f>
        <v>0</v>
      </c>
      <c r="K245" s="45">
        <f>IF(C245="*","*",[4]Weeks!V87-[4]Weeks!V127)</f>
        <v>0</v>
      </c>
      <c r="L245" s="45">
        <f>IF(C245="*","*",[4]Weeks!V47-[4]Weeks!V87)</f>
        <v>0</v>
      </c>
      <c r="M245" s="45">
        <f>IF(C245="*","*",[4]Weeks!V5-[4]Weeks!V47)</f>
        <v>0</v>
      </c>
      <c r="N245" s="46" t="str">
        <f t="shared" si="49"/>
        <v>-</v>
      </c>
      <c r="O245" s="45">
        <f t="shared" si="50"/>
        <v>0</v>
      </c>
      <c r="P245" s="41">
        <f>IF(ISTEXT(C245),#REF!,IF(ISNUMBER([4]CLOSURES!V6),TEXT([4]CLOSURES!V6,"ddmmm"),IF(C245&lt;=0,0,IF(I245&lt;0,0,IF(AND(C245&gt;0,O245&lt;=0),"&gt;99",IF(I245/O245&gt;100,"&gt;99",MAX(0,I245/O245-2)))))))</f>
        <v>0</v>
      </c>
      <c r="R245" s="185"/>
    </row>
    <row r="246" spans="2:18" s="191" customFormat="1" hidden="1" x14ac:dyDescent="0.2">
      <c r="B246" s="40" t="s">
        <v>65</v>
      </c>
      <c r="C246" s="42">
        <f>[4]quotas!V49</f>
        <v>0</v>
      </c>
      <c r="D246" s="45">
        <f>[4]quotas!V49-[4]quotas!V89</f>
        <v>0</v>
      </c>
      <c r="E246" s="45"/>
      <c r="F246" s="71">
        <f>[4]quotas!Y49</f>
        <v>0</v>
      </c>
      <c r="G246" s="45" t="e">
        <f>IF(#REF!="*","*",[4]Cumulative!X59)</f>
        <v>#REF!</v>
      </c>
      <c r="H246" s="46" t="str">
        <f>IF(C246="*","*",IF(C246&gt;0,#REF!/C246*100,"-"))</f>
        <v>-</v>
      </c>
      <c r="I246" s="44" t="e">
        <f>IF(C246="*","*",C246-#REF!)</f>
        <v>#REF!</v>
      </c>
      <c r="J246" s="45">
        <f>IF(C246="*","*",[4]Weeks!V128-[4]Weeks!V168)</f>
        <v>0</v>
      </c>
      <c r="K246" s="45">
        <f>IF(C246="*","*",[4]Weeks!V88-[4]Weeks!V128)</f>
        <v>0</v>
      </c>
      <c r="L246" s="45">
        <f>IF(C246="*","*",[4]Weeks!V48-[4]Weeks!V88)</f>
        <v>0</v>
      </c>
      <c r="M246" s="45">
        <f>IF(C246="*","*",[4]Weeks!V6-[4]Weeks!V48)</f>
        <v>0</v>
      </c>
      <c r="N246" s="46" t="str">
        <f t="shared" si="49"/>
        <v>-</v>
      </c>
      <c r="O246" s="45">
        <f t="shared" si="50"/>
        <v>0</v>
      </c>
      <c r="P246" s="41">
        <f>IF(ISTEXT(C246),#REF!,IF(ISNUMBER([4]CLOSURES!V7),TEXT([4]CLOSURES!V7,"ddmmm"),IF(C246&lt;=0,0,IF(I246&lt;0,0,IF(AND(C246&gt;0,O246&lt;=0),"&gt;99",IF(I246/O246&gt;100,"&gt;99",MAX(0,I246/O246-2)))))))</f>
        <v>0</v>
      </c>
      <c r="R246" s="185"/>
    </row>
    <row r="247" spans="2:18" s="191" customFormat="1" hidden="1" x14ac:dyDescent="0.2">
      <c r="B247" s="40" t="s">
        <v>66</v>
      </c>
      <c r="C247" s="42">
        <f>[4]quotas!V50</f>
        <v>0</v>
      </c>
      <c r="D247" s="45">
        <f>[4]quotas!V50-[4]quotas!V90</f>
        <v>0</v>
      </c>
      <c r="E247" s="45"/>
      <c r="F247" s="71">
        <f>[4]quotas!Y50</f>
        <v>0</v>
      </c>
      <c r="G247" s="45" t="e">
        <f>IF(#REF!="*","*",[4]Cumulative!X60)</f>
        <v>#REF!</v>
      </c>
      <c r="H247" s="46" t="str">
        <f>IF(C247="*","*",IF(C247&gt;0,#REF!/C247*100,"-"))</f>
        <v>-</v>
      </c>
      <c r="I247" s="44" t="e">
        <f>IF(C247="*","*",C247-#REF!)</f>
        <v>#REF!</v>
      </c>
      <c r="J247" s="45">
        <f>IF(C247="*","*",[4]Weeks!V129-[4]Weeks!V169)</f>
        <v>0</v>
      </c>
      <c r="K247" s="45">
        <f>IF(C247="*","*",[4]Weeks!V89-[4]Weeks!V129)</f>
        <v>0</v>
      </c>
      <c r="L247" s="45">
        <f>IF(C247="*","*",[4]Weeks!V49-[4]Weeks!V89)</f>
        <v>0</v>
      </c>
      <c r="M247" s="45">
        <f>IF(C247="*","*",[4]Weeks!V7-[4]Weeks!V49)</f>
        <v>0</v>
      </c>
      <c r="N247" s="46" t="str">
        <f t="shared" si="49"/>
        <v>-</v>
      </c>
      <c r="O247" s="45">
        <f t="shared" si="50"/>
        <v>0</v>
      </c>
      <c r="P247" s="41">
        <f>IF(ISTEXT(C247),#REF!,IF(ISNUMBER([4]CLOSURES!V8),TEXT([4]CLOSURES!V8,"ddmmm"),IF(C247&lt;=0,0,IF(I247&lt;0,0,IF(AND(C247&gt;0,O247&lt;=0),"&gt;99",IF(I247/O247&gt;100,"&gt;99",MAX(0,I247/O247-2)))))))</f>
        <v>0</v>
      </c>
      <c r="R247" s="185"/>
    </row>
    <row r="248" spans="2:18" s="191" customFormat="1" hidden="1" x14ac:dyDescent="0.2">
      <c r="B248" s="40" t="s">
        <v>67</v>
      </c>
      <c r="C248" s="42">
        <f>[4]quotas!V51</f>
        <v>0</v>
      </c>
      <c r="D248" s="45">
        <f>[4]quotas!V51-[4]quotas!V91</f>
        <v>0</v>
      </c>
      <c r="E248" s="45"/>
      <c r="F248" s="71">
        <f>[4]quotas!Y51</f>
        <v>0</v>
      </c>
      <c r="G248" s="45" t="e">
        <f>IF(#REF!="*","*",[4]Cumulative!X61)</f>
        <v>#REF!</v>
      </c>
      <c r="H248" s="46" t="str">
        <f>IF(C248="*","*",IF(C248&gt;0,#REF!/C248*100,"-"))</f>
        <v>-</v>
      </c>
      <c r="I248" s="44" t="e">
        <f>IF(C248="*","*",C248-#REF!)</f>
        <v>#REF!</v>
      </c>
      <c r="J248" s="45">
        <f>IF(C248="*","*",[4]Weeks!V130-[4]Weeks!V170)</f>
        <v>0</v>
      </c>
      <c r="K248" s="45">
        <f>IF(C248="*","*",[4]Weeks!V90-[4]Weeks!V130)</f>
        <v>0</v>
      </c>
      <c r="L248" s="45">
        <f>IF(C248="*","*",[4]Weeks!V50-[4]Weeks!V90)</f>
        <v>0</v>
      </c>
      <c r="M248" s="45">
        <f>IF(C248="*","*",[4]Weeks!V8-[4]Weeks!V50)</f>
        <v>0</v>
      </c>
      <c r="N248" s="46" t="str">
        <f t="shared" si="49"/>
        <v>-</v>
      </c>
      <c r="O248" s="45">
        <f t="shared" si="50"/>
        <v>0</v>
      </c>
      <c r="P248" s="41">
        <f>IF(ISTEXT(C248),#REF!,IF(ISNUMBER([4]CLOSURES!V9),TEXT([4]CLOSURES!V9,"ddmmm"),IF(C248&lt;=0,0,IF(I248&lt;0,0,IF(AND(C248&gt;0,O248&lt;=0),"&gt;99",IF(I248/O248&gt;100,"&gt;99",MAX(0,I248/O248-2)))))))</f>
        <v>0</v>
      </c>
      <c r="R248" s="185"/>
    </row>
    <row r="249" spans="2:18" s="191" customFormat="1" hidden="1" x14ac:dyDescent="0.2">
      <c r="B249" s="40" t="s">
        <v>68</v>
      </c>
      <c r="C249" s="42">
        <f>[4]quotas!V52</f>
        <v>0</v>
      </c>
      <c r="D249" s="45">
        <f>[4]quotas!V52-[4]quotas!V92</f>
        <v>0</v>
      </c>
      <c r="E249" s="45"/>
      <c r="F249" s="71">
        <f>[4]quotas!Y52</f>
        <v>0</v>
      </c>
      <c r="G249" s="45" t="e">
        <f>IF(#REF!="*","*",[4]Cumulative!X62)</f>
        <v>#REF!</v>
      </c>
      <c r="H249" s="46" t="str">
        <f>IF(C249="*","*",IF(C249&gt;0,#REF!/C249*100,"-"))</f>
        <v>-</v>
      </c>
      <c r="I249" s="44" t="e">
        <f>IF(C249="*","*",C249-#REF!)</f>
        <v>#REF!</v>
      </c>
      <c r="J249" s="45">
        <f>IF(C249="*","*",[4]Weeks!V131-[4]Weeks!V171)</f>
        <v>0</v>
      </c>
      <c r="K249" s="45">
        <f>IF(C249="*","*",[4]Weeks!V91-[4]Weeks!V131)</f>
        <v>0</v>
      </c>
      <c r="L249" s="45">
        <f>IF(C249="*","*",[4]Weeks!V51-[4]Weeks!V91)</f>
        <v>0</v>
      </c>
      <c r="M249" s="45">
        <f>IF(C249="*","*",[4]Weeks!V9-[4]Weeks!V51)</f>
        <v>0</v>
      </c>
      <c r="N249" s="46" t="str">
        <f t="shared" si="49"/>
        <v>-</v>
      </c>
      <c r="O249" s="45">
        <f t="shared" si="50"/>
        <v>0</v>
      </c>
      <c r="P249" s="41">
        <f>IF(ISTEXT(C249),#REF!,IF(ISNUMBER([4]CLOSURES!V10),TEXT([4]CLOSURES!V10,"ddmmm"),IF(C249&lt;=0,0,IF(I249&lt;0,0,IF(AND(C249&gt;0,O249&lt;=0),"&gt;99",IF(I249/O249&gt;100,"&gt;99",MAX(0,I249/O249-2)))))))</f>
        <v>0</v>
      </c>
      <c r="R249" s="185"/>
    </row>
    <row r="250" spans="2:18" s="191" customFormat="1" hidden="1" x14ac:dyDescent="0.2">
      <c r="B250" s="40" t="s">
        <v>69</v>
      </c>
      <c r="C250" s="42">
        <f>[4]quotas!V53</f>
        <v>0</v>
      </c>
      <c r="D250" s="45">
        <f>[4]quotas!V53-[4]quotas!V93</f>
        <v>0</v>
      </c>
      <c r="E250" s="45"/>
      <c r="F250" s="71">
        <f>[4]quotas!Y53</f>
        <v>0</v>
      </c>
      <c r="G250" s="45" t="e">
        <f>IF(#REF!="*","*",[4]Cumulative!X63)</f>
        <v>#REF!</v>
      </c>
      <c r="H250" s="46" t="str">
        <f>IF(C250="*","*",IF(C250&gt;0,#REF!/C250*100,"-"))</f>
        <v>-</v>
      </c>
      <c r="I250" s="44" t="e">
        <f>IF(C250="*","*",C250-#REF!)</f>
        <v>#REF!</v>
      </c>
      <c r="J250" s="45">
        <f>IF(C250="*","*",[4]Weeks!V132-[4]Weeks!V172)</f>
        <v>0</v>
      </c>
      <c r="K250" s="45">
        <f>IF(C250="*","*",[4]Weeks!V92-[4]Weeks!V132)</f>
        <v>0</v>
      </c>
      <c r="L250" s="45">
        <f>IF(C250="*","*",[4]Weeks!V52-[4]Weeks!V92)</f>
        <v>0</v>
      </c>
      <c r="M250" s="45">
        <f>IF(C250="*","*",[4]Weeks!V10-[4]Weeks!V52)</f>
        <v>0</v>
      </c>
      <c r="N250" s="46" t="str">
        <f t="shared" si="49"/>
        <v>-</v>
      </c>
      <c r="O250" s="45">
        <f t="shared" si="50"/>
        <v>0</v>
      </c>
      <c r="P250" s="41">
        <f>IF(ISTEXT(C250),#REF!,IF(ISNUMBER([4]CLOSURES!V11),TEXT([4]CLOSURES!V11,"ddmmm"),IF(C250&lt;=0,0,IF(I250&lt;0,0,IF(AND(C250&gt;0,O250&lt;=0),"&gt;99",IF(I250/O250&gt;100,"&gt;99",MAX(0,I250/O250-2)))))))</f>
        <v>0</v>
      </c>
      <c r="R250" s="185"/>
    </row>
    <row r="251" spans="2:18" s="191" customFormat="1" hidden="1" x14ac:dyDescent="0.2">
      <c r="B251" s="40" t="s">
        <v>102</v>
      </c>
      <c r="C251" s="42">
        <f>[4]quotas!V57</f>
        <v>0</v>
      </c>
      <c r="D251" s="45">
        <f>[4]quotas!V57-[4]quotas!V97</f>
        <v>0</v>
      </c>
      <c r="E251" s="45"/>
      <c r="F251" s="71">
        <f>[4]quotas!Y57</f>
        <v>0</v>
      </c>
      <c r="G251" s="45" t="e">
        <f>IF(#REF!="*","*",[4]Cumulative!X67)</f>
        <v>#REF!</v>
      </c>
      <c r="H251" s="46" t="str">
        <f>IF(C251="*","*",IF(C251&gt;0,#REF!/C251*100,"-"))</f>
        <v>-</v>
      </c>
      <c r="I251" s="44" t="e">
        <f>IF(C251="*","*",C251-#REF!)</f>
        <v>#REF!</v>
      </c>
      <c r="J251" s="45">
        <f>IF(C251="*","*",[4]Weeks!V136-[4]Weeks!V176)</f>
        <v>0</v>
      </c>
      <c r="K251" s="45">
        <f>IF(C251="*","*",[4]Weeks!V96-[4]Weeks!V136)</f>
        <v>0</v>
      </c>
      <c r="L251" s="45">
        <f>IF(C251="*","*",[4]Weeks!V56-[4]Weeks!V96)</f>
        <v>0</v>
      </c>
      <c r="M251" s="45">
        <f>IF(C251="*","*",[4]Weeks!V14-[4]Weeks!V56)</f>
        <v>0</v>
      </c>
      <c r="N251" s="46" t="str">
        <f t="shared" si="49"/>
        <v>-</v>
      </c>
      <c r="O251" s="45">
        <f t="shared" si="50"/>
        <v>0</v>
      </c>
      <c r="P251" s="41">
        <f>IF(ISTEXT(C251),#REF!,IF(ISNUMBER([4]CLOSURES!V15),TEXT([4]CLOSURES!V15,"ddmmm"),IF(C251&lt;=0,0,IF(I251&lt;0,0,IF(AND(C251&gt;0,O251&lt;=0),"&gt;99",IF(I251/O251&gt;100,"&gt;99",MAX(0,I251/O251-2)))))))</f>
        <v>0</v>
      </c>
      <c r="R251" s="185"/>
    </row>
    <row r="252" spans="2:18" s="191" customFormat="1" hidden="1" x14ac:dyDescent="0.2">
      <c r="B252" s="40" t="s">
        <v>75</v>
      </c>
      <c r="C252" s="42">
        <f>[4]quotas!V58</f>
        <v>0</v>
      </c>
      <c r="D252" s="45">
        <f>[4]quotas!V58-[4]quotas!V98</f>
        <v>0</v>
      </c>
      <c r="E252" s="45"/>
      <c r="F252" s="71">
        <f>[4]quotas!Y58</f>
        <v>0</v>
      </c>
      <c r="G252" s="45" t="e">
        <f>IF(#REF!="*","*",[4]Cumulative!X68)</f>
        <v>#REF!</v>
      </c>
      <c r="H252" s="46" t="str">
        <f>IF(C252="*","*",IF(C252&gt;0,#REF!/C252*100,"-"))</f>
        <v>-</v>
      </c>
      <c r="I252" s="44" t="e">
        <f>IF(C252="*","*",C252-#REF!)</f>
        <v>#REF!</v>
      </c>
      <c r="J252" s="45">
        <f>IF(C252="*","*",[4]Weeks!V133-[4]Weeks!V173)</f>
        <v>0</v>
      </c>
      <c r="K252" s="45">
        <f>IF(C252="*","*",[4]Weeks!V93-[4]Weeks!V133)</f>
        <v>0</v>
      </c>
      <c r="L252" s="45">
        <f>IF(C252="*","*",[4]Weeks!V53-[4]Weeks!V93)</f>
        <v>0</v>
      </c>
      <c r="M252" s="45">
        <f>IF(C252="*","*",[4]Weeks!V15-[4]Weeks!V53)</f>
        <v>0</v>
      </c>
      <c r="N252" s="46" t="str">
        <f t="shared" si="49"/>
        <v>-</v>
      </c>
      <c r="O252" s="45">
        <f t="shared" si="50"/>
        <v>0</v>
      </c>
      <c r="P252" s="41">
        <f>IF(ISTEXT(C252),#REF!,IF(ISNUMBER([4]CLOSURES!V16),TEXT([4]CLOSURES!V16,"ddmmm"),IF(C252&lt;=0,0,IF(I252&lt;0,0,IF(AND(C252&gt;0,O252&lt;=0),"&gt;99",IF(I252/O252&gt;100,"&gt;99",MAX(0,I252/O252-2)))))))</f>
        <v>0</v>
      </c>
      <c r="R252" s="185"/>
    </row>
    <row r="253" spans="2:18" s="191" customFormat="1" hidden="1" x14ac:dyDescent="0.2">
      <c r="B253" s="40" t="s">
        <v>157</v>
      </c>
      <c r="C253" s="42">
        <f>[4]quotas!V59</f>
        <v>0</v>
      </c>
      <c r="D253" s="45">
        <f>[4]quotas!V59-[4]quotas!V99</f>
        <v>0</v>
      </c>
      <c r="E253" s="45"/>
      <c r="F253" s="71">
        <f>[4]quotas!Y59</f>
        <v>0</v>
      </c>
      <c r="G253" s="45" t="e">
        <f>IF(#REF!="*","*",[4]Cumulative!X69)</f>
        <v>#REF!</v>
      </c>
      <c r="H253" s="46" t="str">
        <f>IF(C253="*","*",IF(C253&gt;0,#REF!/C253*100,"-"))</f>
        <v>-</v>
      </c>
      <c r="I253" s="44" t="e">
        <f>IF(C253="*","*",C253-#REF!)</f>
        <v>#REF!</v>
      </c>
      <c r="J253" s="45">
        <f>IF(C253="*","*",[4]Weeks!V134-[4]Weeks!V174)</f>
        <v>0</v>
      </c>
      <c r="K253" s="45">
        <f>IF(C253="*","*",[4]Weeks!V94-[4]Weeks!V134)</f>
        <v>0</v>
      </c>
      <c r="L253" s="45">
        <f>IF(C253="*","*",[4]Weeks!V54-[4]Weeks!V94)</f>
        <v>0</v>
      </c>
      <c r="M253" s="45">
        <f>IF(C253="*","*",[4]Weeks!V16-[4]Weeks!V54)</f>
        <v>0</v>
      </c>
      <c r="N253" s="46" t="str">
        <f t="shared" si="49"/>
        <v>-</v>
      </c>
      <c r="O253" s="45">
        <f t="shared" si="50"/>
        <v>0</v>
      </c>
      <c r="P253" s="41">
        <f>IF(ISTEXT(C253),#REF!,IF(ISNUMBER([4]CLOSURES!V17),TEXT([4]CLOSURES!V17,"ddmmm"),IF(C253&lt;=0,0,IF(I253&lt;0,0,IF(AND(C253&gt;0,O253&lt;=0),"&gt;99",IF(I253/O253&gt;100,"&gt;99",MAX(0,I253/O253-2)))))))</f>
        <v>0</v>
      </c>
      <c r="R253" s="185"/>
    </row>
    <row r="254" spans="2:18" s="191" customFormat="1" hidden="1" x14ac:dyDescent="0.2">
      <c r="B254" s="40" t="s">
        <v>76</v>
      </c>
      <c r="C254" s="42">
        <f>[4]quotas!V60</f>
        <v>0</v>
      </c>
      <c r="D254" s="45">
        <f>[4]quotas!V60-[4]quotas!V100</f>
        <v>0</v>
      </c>
      <c r="E254" s="45"/>
      <c r="F254" s="71">
        <f>[4]quotas!Y60</f>
        <v>0</v>
      </c>
      <c r="G254" s="45" t="e">
        <f>IF(#REF!="*","*",[4]Cumulative!X70)</f>
        <v>#REF!</v>
      </c>
      <c r="H254" s="46" t="str">
        <f>IF(C254="*","*",IF(C254&gt;0,#REF!/C254*100,"-"))</f>
        <v>-</v>
      </c>
      <c r="I254" s="44" t="e">
        <f>IF(C254="*","*",C254-#REF!)</f>
        <v>#REF!</v>
      </c>
      <c r="J254" s="45">
        <f>IF(C254="*","*",[4]Weeks!V137-[4]Weeks!V177)</f>
        <v>0</v>
      </c>
      <c r="K254" s="45">
        <f>IF(C254="*","*",[4]Weeks!V97-[4]Weeks!V137)</f>
        <v>0</v>
      </c>
      <c r="L254" s="45">
        <f>IF(C254="*","*",[4]Weeks!V57-[4]Weeks!V97)</f>
        <v>0</v>
      </c>
      <c r="M254" s="45">
        <f>IF(C254="*","*",[4]Weeks!V17-[4]Weeks!V57)</f>
        <v>0</v>
      </c>
      <c r="N254" s="46" t="str">
        <f t="shared" si="49"/>
        <v>-</v>
      </c>
      <c r="O254" s="45">
        <f t="shared" si="50"/>
        <v>0</v>
      </c>
      <c r="P254" s="41">
        <f>IF(ISTEXT(C254),#REF!,IF(ISNUMBER([4]CLOSURES!V18),TEXT([4]CLOSURES!V18,"ddmmm"),IF(C254&lt;=0,0,IF(I254&lt;0,0,IF(AND(C254&gt;0,O254&lt;=0),"&gt;99",IF(I254/O254&gt;100,"&gt;99",MAX(0,I254/O254-2)))))))</f>
        <v>0</v>
      </c>
      <c r="R254" s="185"/>
    </row>
    <row r="255" spans="2:18" s="191" customFormat="1" hidden="1" x14ac:dyDescent="0.2">
      <c r="B255" s="40" t="s">
        <v>77</v>
      </c>
      <c r="C255" s="42">
        <f>[4]quotas!V61</f>
        <v>0</v>
      </c>
      <c r="D255" s="45">
        <f>[4]quotas!V61-[4]quotas!V101</f>
        <v>0</v>
      </c>
      <c r="E255" s="45"/>
      <c r="F255" s="71">
        <f>[4]quotas!Y61</f>
        <v>0</v>
      </c>
      <c r="G255" s="45" t="e">
        <f>IF(#REF!="*","*",[4]Cumulative!X71)</f>
        <v>#REF!</v>
      </c>
      <c r="H255" s="46" t="str">
        <f>IF(C255="*","*",IF(C255&gt;0,#REF!/C255*100,"-"))</f>
        <v>-</v>
      </c>
      <c r="I255" s="44" t="e">
        <f>IF(C255="*","*",C255-#REF!)</f>
        <v>#REF!</v>
      </c>
      <c r="J255" s="45">
        <f>IF(C255="*","*",[4]Weeks!V138-[4]Weeks!V178)</f>
        <v>0</v>
      </c>
      <c r="K255" s="45">
        <f>IF(C255="*","*",[4]Weeks!V98-[4]Weeks!V138)</f>
        <v>0</v>
      </c>
      <c r="L255" s="45">
        <f>IF(C255="*","*",[4]Weeks!V58-[4]Weeks!V98)</f>
        <v>0</v>
      </c>
      <c r="M255" s="45">
        <f>IF(C255="*","*",[4]Weeks!V18-[4]Weeks!V58)</f>
        <v>0</v>
      </c>
      <c r="N255" s="46" t="str">
        <f t="shared" si="49"/>
        <v>-</v>
      </c>
      <c r="O255" s="45">
        <f t="shared" si="50"/>
        <v>0</v>
      </c>
      <c r="P255" s="41">
        <f>IF(ISTEXT(C255),#REF!,IF(ISNUMBER([4]CLOSURES!V19),TEXT([4]CLOSURES!V19,"ddmmm"),IF(C255&lt;=0,0,IF(I255&lt;0,0,IF(AND(C255&gt;0,O255&lt;=0),"&gt;99",IF(I255/O255&gt;100,"&gt;99",MAX(0,I255/O255-2)))))))</f>
        <v>0</v>
      </c>
      <c r="R255" s="185"/>
    </row>
    <row r="256" spans="2:18" s="191" customFormat="1" hidden="1" x14ac:dyDescent="0.2">
      <c r="B256" s="40" t="s">
        <v>78</v>
      </c>
      <c r="C256" s="42">
        <f>[4]quotas!V62</f>
        <v>0</v>
      </c>
      <c r="D256" s="45">
        <f>[4]quotas!V62-[4]quotas!V102</f>
        <v>0</v>
      </c>
      <c r="E256" s="45"/>
      <c r="F256" s="71">
        <f>[4]quotas!Y62</f>
        <v>0</v>
      </c>
      <c r="G256" s="45" t="e">
        <f>IF(#REF!="*","*",[4]Cumulative!X72)</f>
        <v>#REF!</v>
      </c>
      <c r="H256" s="46" t="str">
        <f>IF(C256="*","*",IF(C256&gt;0,#REF!/C256*100,"-"))</f>
        <v>-</v>
      </c>
      <c r="I256" s="44" t="e">
        <f>IF(C256="*","*",C256-#REF!)</f>
        <v>#REF!</v>
      </c>
      <c r="J256" s="45">
        <f>IF(C256="*","*",[4]Weeks!V139-[4]Weeks!V179)</f>
        <v>0</v>
      </c>
      <c r="K256" s="45">
        <f>IF(C256="*","*",[4]Weeks!V99-[4]Weeks!V139)</f>
        <v>0</v>
      </c>
      <c r="L256" s="45">
        <f>IF(C256="*","*",[4]Weeks!V59-[4]Weeks!V99)</f>
        <v>0</v>
      </c>
      <c r="M256" s="45">
        <f>IF(C256="*","*",[4]Weeks!V19-[4]Weeks!V59)</f>
        <v>0</v>
      </c>
      <c r="N256" s="46" t="str">
        <f t="shared" si="49"/>
        <v>-</v>
      </c>
      <c r="O256" s="45">
        <f t="shared" si="50"/>
        <v>0</v>
      </c>
      <c r="P256" s="41">
        <f>IF(ISTEXT(C256),#REF!,IF(ISNUMBER([4]CLOSURES!V20),TEXT([4]CLOSURES!V20,"ddmmm"),IF(C256&lt;=0,0,IF(I256&lt;0,0,IF(AND(C256&gt;0,O256&lt;=0),"&gt;99",IF(I256/O256&gt;100,"&gt;99",MAX(0,I256/O256-2)))))))</f>
        <v>0</v>
      </c>
      <c r="R256" s="185"/>
    </row>
    <row r="257" spans="1:254" s="191" customFormat="1" hidden="1" x14ac:dyDescent="0.2">
      <c r="B257" s="40" t="s">
        <v>79</v>
      </c>
      <c r="C257" s="42">
        <f>[4]quotas!V63</f>
        <v>0</v>
      </c>
      <c r="D257" s="45">
        <f>[4]quotas!V63-[4]quotas!V103</f>
        <v>0</v>
      </c>
      <c r="E257" s="45"/>
      <c r="F257" s="71">
        <f>[4]quotas!Y63</f>
        <v>0</v>
      </c>
      <c r="G257" s="45" t="e">
        <f>IF(#REF!="*","*",[4]Cumulative!X73)</f>
        <v>#REF!</v>
      </c>
      <c r="H257" s="46" t="str">
        <f>IF(C257="*","*",IF(C257&gt;0,#REF!/C257*100,"-"))</f>
        <v>-</v>
      </c>
      <c r="I257" s="44" t="e">
        <f>IF(C257="*","*",C257-#REF!)</f>
        <v>#REF!</v>
      </c>
      <c r="J257" s="45">
        <f>IF(C257="*","*",[4]Weeks!V140-[4]Weeks!V180)</f>
        <v>0</v>
      </c>
      <c r="K257" s="45">
        <f>IF(C257="*","*",[4]Weeks!V100-[4]Weeks!V140)</f>
        <v>0</v>
      </c>
      <c r="L257" s="45">
        <f>IF(C257="*","*",[4]Weeks!V60-[4]Weeks!V100)</f>
        <v>0</v>
      </c>
      <c r="M257" s="45">
        <f>IF(C257="*","*",[4]Weeks!V20-[4]Weeks!V60)</f>
        <v>0</v>
      </c>
      <c r="N257" s="46" t="str">
        <f t="shared" si="49"/>
        <v>-</v>
      </c>
      <c r="O257" s="45">
        <f t="shared" si="50"/>
        <v>0</v>
      </c>
      <c r="P257" s="41">
        <f>IF(ISTEXT(C257),#REF!,IF(ISNUMBER([4]CLOSURES!V21),TEXT([4]CLOSURES!V21,"ddmmm"),IF(C257&lt;=0,0,IF(I257&lt;0,0,IF(AND(C257&gt;0,O257&lt;=0),"&gt;99",IF(I257/O257&gt;100,"&gt;99",MAX(0,I257/O257-2)))))))</f>
        <v>0</v>
      </c>
      <c r="R257" s="185"/>
    </row>
    <row r="258" spans="1:254" s="191" customFormat="1" hidden="1" x14ac:dyDescent="0.2">
      <c r="B258" s="40" t="s">
        <v>80</v>
      </c>
      <c r="C258" s="42">
        <f>[4]quotas!V64</f>
        <v>0</v>
      </c>
      <c r="D258" s="45">
        <f>[4]quotas!V64-[4]quotas!V104</f>
        <v>0</v>
      </c>
      <c r="E258" s="45"/>
      <c r="F258" s="71">
        <f>[4]quotas!Y64</f>
        <v>0</v>
      </c>
      <c r="G258" s="45" t="e">
        <f>IF(#REF!="*","*",[4]Cumulative!X74)</f>
        <v>#REF!</v>
      </c>
      <c r="H258" s="46" t="str">
        <f>IF(C258="*","*",IF(C258&gt;0,#REF!/C258*100,"-"))</f>
        <v>-</v>
      </c>
      <c r="I258" s="44" t="e">
        <f>IF(C258="*","*",C258-#REF!)</f>
        <v>#REF!</v>
      </c>
      <c r="J258" s="45">
        <f>IF(C258="*","*",[4]Weeks!V141-[4]Weeks!V181)</f>
        <v>0</v>
      </c>
      <c r="K258" s="45">
        <f>IF(C258="*","*",[4]Weeks!V101-[4]Weeks!V141)</f>
        <v>0</v>
      </c>
      <c r="L258" s="45">
        <f>IF(C258="*","*",[4]Weeks!V61-[4]Weeks!V101)</f>
        <v>0</v>
      </c>
      <c r="M258" s="45">
        <f>IF(C258="*","*",[4]Weeks!V21-[4]Weeks!V61)</f>
        <v>0</v>
      </c>
      <c r="N258" s="46" t="str">
        <f t="shared" si="49"/>
        <v>-</v>
      </c>
      <c r="O258" s="45">
        <f t="shared" si="50"/>
        <v>0</v>
      </c>
      <c r="P258" s="41">
        <f>IF(ISTEXT(C258),#REF!,IF(ISNUMBER([4]CLOSURES!V22),TEXT([4]CLOSURES!V22,"ddmmm"),IF(C258&lt;=0,0,IF(I258&lt;0,0,IF(AND(C258&gt;0,O258&lt;=0),"&gt;99",IF(I258/O258&gt;100,"&gt;99",MAX(0,I258/O258-2)))))))</f>
        <v>0</v>
      </c>
      <c r="R258" s="185"/>
    </row>
    <row r="259" spans="1:254" s="191" customFormat="1" hidden="1" x14ac:dyDescent="0.2">
      <c r="B259" s="40" t="s">
        <v>81</v>
      </c>
      <c r="C259" s="42">
        <f>[4]quotas!V65</f>
        <v>0</v>
      </c>
      <c r="D259" s="45">
        <f>[4]quotas!V65-[4]quotas!V105</f>
        <v>0</v>
      </c>
      <c r="E259" s="45"/>
      <c r="F259" s="71">
        <f>[4]quotas!Y65</f>
        <v>0</v>
      </c>
      <c r="G259" s="45" t="e">
        <f>IF(#REF!="*","*",[4]Cumulative!X75)</f>
        <v>#REF!</v>
      </c>
      <c r="H259" s="46" t="str">
        <f>IF(C259="*","*",IF(C259&gt;0,#REF!/C259*100,"-"))</f>
        <v>-</v>
      </c>
      <c r="I259" s="44" t="e">
        <f>IF(C259="*","*",C259-#REF!)</f>
        <v>#REF!</v>
      </c>
      <c r="J259" s="45">
        <f>IF(C259="*","*",[4]Weeks!V142-[4]Weeks!V182)</f>
        <v>0</v>
      </c>
      <c r="K259" s="45">
        <f>IF(C259="*","*",[4]Weeks!V102-[4]Weeks!V142)</f>
        <v>0</v>
      </c>
      <c r="L259" s="45">
        <f>IF(C259="*","*",[4]Weeks!V62-[4]Weeks!V102)</f>
        <v>0</v>
      </c>
      <c r="M259" s="45">
        <f>IF(C259="*","*",[4]Weeks!V22-[4]Weeks!V62)</f>
        <v>0</v>
      </c>
      <c r="N259" s="46" t="str">
        <f t="shared" si="49"/>
        <v>-</v>
      </c>
      <c r="O259" s="45">
        <f t="shared" si="50"/>
        <v>0</v>
      </c>
      <c r="P259" s="41">
        <f>IF(ISTEXT(C259),#REF!,IF(ISNUMBER([4]CLOSURES!V23),TEXT([4]CLOSURES!V23,"ddmmm"),IF(C259&lt;=0,0,IF(I259&lt;0,0,IF(AND(C259&gt;0,O259&lt;=0),"&gt;99",IF(I259/O259&gt;100,"&gt;99",MAX(0,I259/O259-2)))))))</f>
        <v>0</v>
      </c>
      <c r="R259" s="185"/>
    </row>
    <row r="260" spans="1:254" s="191" customFormat="1" hidden="1" x14ac:dyDescent="0.2">
      <c r="B260" s="40" t="s">
        <v>103</v>
      </c>
      <c r="C260" s="42">
        <f>[4]quotas!V66</f>
        <v>0</v>
      </c>
      <c r="D260" s="45">
        <f>[4]quotas!V66-[4]quotas!V106</f>
        <v>0</v>
      </c>
      <c r="E260" s="45"/>
      <c r="F260" s="71">
        <f>[4]quotas!Y66</f>
        <v>0</v>
      </c>
      <c r="G260" s="45" t="e">
        <f>IF(#REF!="*","*",[4]Cumulative!X76)</f>
        <v>#REF!</v>
      </c>
      <c r="H260" s="46" t="str">
        <f>IF(C260="*","*",IF(C260&gt;0,#REF!/C260*100,"-"))</f>
        <v>-</v>
      </c>
      <c r="I260" s="44" t="e">
        <f>IF(C260="*","*",C260-#REF!)</f>
        <v>#REF!</v>
      </c>
      <c r="J260" s="45">
        <f>IF(C260="*","*",[4]Weeks!V143-[4]Weeks!V183)</f>
        <v>0</v>
      </c>
      <c r="K260" s="45">
        <f>IF(C260="*","*",[4]Weeks!V103-[4]Weeks!V143)</f>
        <v>0</v>
      </c>
      <c r="L260" s="45">
        <f>IF(C260="*","*",[4]Weeks!V63-[4]Weeks!V103)</f>
        <v>0</v>
      </c>
      <c r="M260" s="45">
        <f>IF(C260="*","*",[4]Weeks!V23-[4]Weeks!V63)</f>
        <v>0</v>
      </c>
      <c r="N260" s="46" t="str">
        <f t="shared" si="49"/>
        <v>-</v>
      </c>
      <c r="O260" s="45">
        <f t="shared" si="50"/>
        <v>0</v>
      </c>
      <c r="P260" s="41">
        <f>IF(ISTEXT(C260),#REF!,IF(ISNUMBER([4]CLOSURES!V24),TEXT([4]CLOSURES!V24,"ddmmm"),IF(C260&lt;=0,0,IF(I260&lt;0,0,IF(AND(C260&gt;0,O260&lt;=0),"&gt;99",IF(I260/O260&gt;100,"&gt;99",MAX(0,I260/O260-2)))))))</f>
        <v>0</v>
      </c>
      <c r="R260" s="185"/>
    </row>
    <row r="261" spans="1:254" s="191" customFormat="1" hidden="1" x14ac:dyDescent="0.2">
      <c r="B261" s="40" t="s">
        <v>104</v>
      </c>
      <c r="C261" s="42">
        <f>[4]quotas!V67</f>
        <v>0</v>
      </c>
      <c r="D261" s="45">
        <f>[4]quotas!V67-[4]quotas!V107</f>
        <v>0</v>
      </c>
      <c r="E261" s="45"/>
      <c r="F261" s="71">
        <f>[4]quotas!Y67</f>
        <v>0</v>
      </c>
      <c r="G261" s="45" t="e">
        <f>IF(#REF!="*","*",[4]Cumulative!X77)</f>
        <v>#REF!</v>
      </c>
      <c r="H261" s="46" t="str">
        <f>IF(C261="*","*",IF(C261&gt;0,#REF!/C261*100,"-"))</f>
        <v>-</v>
      </c>
      <c r="I261" s="44" t="e">
        <f>IF(C261="*","*",C261-#REF!)</f>
        <v>#REF!</v>
      </c>
      <c r="J261" s="45">
        <f>IF(C261="*","*",[4]Weeks!V144-[4]Weeks!V184)</f>
        <v>0</v>
      </c>
      <c r="K261" s="45">
        <f>IF(C261="*","*",[4]Weeks!V104-[4]Weeks!V144)</f>
        <v>0</v>
      </c>
      <c r="L261" s="45">
        <f>IF(C261="*","*",[4]Weeks!V64-[4]Weeks!V104)</f>
        <v>0</v>
      </c>
      <c r="M261" s="45">
        <f>IF(C261="*","*",[4]Weeks!V24-[4]Weeks!V64)</f>
        <v>0</v>
      </c>
      <c r="N261" s="46" t="str">
        <f t="shared" si="49"/>
        <v>-</v>
      </c>
      <c r="O261" s="45">
        <f t="shared" si="50"/>
        <v>0</v>
      </c>
      <c r="P261" s="41">
        <f>IF(ISTEXT(C261),#REF!,IF(ISNUMBER([4]CLOSURES!V25),TEXT([4]CLOSURES!V25,"ddmmm"),IF(C261&lt;=0,0,IF(I261&lt;0,0,IF(AND(C261&gt;0,O261&lt;=0),"&gt;99",IF(I261/O261&gt;100,"&gt;99",MAX(0,I261/O261-2)))))))</f>
        <v>0</v>
      </c>
      <c r="R261" s="185"/>
    </row>
    <row r="262" spans="1:254" s="191" customFormat="1" hidden="1" x14ac:dyDescent="0.2">
      <c r="B262" s="40" t="s">
        <v>70</v>
      </c>
      <c r="C262" s="42">
        <f>[4]quotas!V68</f>
        <v>0</v>
      </c>
      <c r="D262" s="45">
        <f>[4]quotas!V68-[4]quotas!V108</f>
        <v>0</v>
      </c>
      <c r="E262" s="45"/>
      <c r="F262" s="71">
        <f>[4]quotas!Y68</f>
        <v>0</v>
      </c>
      <c r="G262" s="45" t="e">
        <f>IF(#REF!="*","*",[4]Cumulative!X64)</f>
        <v>#REF!</v>
      </c>
      <c r="H262" s="46" t="str">
        <f>IF(C262="*","*",IF(C262&gt;0,#REF!/C262*100,"-"))</f>
        <v>-</v>
      </c>
      <c r="I262" s="44" t="e">
        <f>IF(C262="*","*",C262-#REF!)</f>
        <v>#REF!</v>
      </c>
      <c r="J262" s="45">
        <f>IF(C262="*","*",[4]Weeks!V145-[4]Weeks!V185)</f>
        <v>0</v>
      </c>
      <c r="K262" s="45">
        <f>IF(C262="*","*",[4]Weeks!V105-[4]Weeks!V145)</f>
        <v>0</v>
      </c>
      <c r="L262" s="45">
        <f>IF(C262="*","*",[4]Weeks!V65-[4]Weeks!V105)</f>
        <v>0</v>
      </c>
      <c r="M262" s="45">
        <f>IF(C262="*","*",[4]Weeks!V25-[4]Weeks!V65)</f>
        <v>0</v>
      </c>
      <c r="N262" s="46" t="str">
        <f t="shared" si="49"/>
        <v>-</v>
      </c>
      <c r="O262" s="45">
        <f t="shared" si="50"/>
        <v>0</v>
      </c>
      <c r="P262" s="41">
        <f>IF(ISTEXT(C262),#REF!,IF(ISNUMBER([4]CLOSURES!V12),TEXT([4]CLOSURES!V12,"ddmmm"),IF(C262&lt;=0,0,IF(I262&lt;0,0,IF(AND(C262&gt;0,O262&lt;=0),"&gt;99",IF(I262/O262&gt;100,"&gt;99",MAX(0,I262/O262-2)))))))</f>
        <v>0</v>
      </c>
      <c r="R262" s="185"/>
    </row>
    <row r="263" spans="1:254" s="191" customFormat="1" hidden="1" x14ac:dyDescent="0.2">
      <c r="B263" s="40" t="s">
        <v>105</v>
      </c>
      <c r="C263" s="42">
        <f>[4]quotas!V56</f>
        <v>0</v>
      </c>
      <c r="D263" s="45">
        <f>[4]quotas!V56-[4]quotas!V96</f>
        <v>0</v>
      </c>
      <c r="E263" s="45"/>
      <c r="F263" s="71">
        <f>[4]quotas!Y56</f>
        <v>0</v>
      </c>
      <c r="G263" s="45" t="e">
        <f>IF(#REF!="*","*",SUM([4]Cumulative!X66:X66))</f>
        <v>#REF!</v>
      </c>
      <c r="H263" s="46" t="str">
        <f>IF(C263="*","*",IF(C263&gt;0,#REF!/C263*100,"-"))</f>
        <v>-</v>
      </c>
      <c r="I263" s="44" t="e">
        <f>IF(C263="*","*",C263-#REF!)</f>
        <v>#REF!</v>
      </c>
      <c r="J263" s="45">
        <f>IF(C263="*","*",[4]Weeks!V146-[4]Weeks!V186)</f>
        <v>0</v>
      </c>
      <c r="K263" s="45">
        <f>IF(C263="*","*",[4]Weeks!V106-[4]Weeks!V146)</f>
        <v>0</v>
      </c>
      <c r="L263" s="45">
        <f>IF(C263="*","*",[4]Weeks!V66-[4]Weeks!V106)</f>
        <v>0</v>
      </c>
      <c r="M263" s="45">
        <f>IF(C263="*","*",[4]Weeks!V13-[4]Weeks!V66)</f>
        <v>0</v>
      </c>
      <c r="N263" s="46" t="str">
        <f t="shared" si="49"/>
        <v>-</v>
      </c>
      <c r="O263" s="45">
        <f t="shared" si="50"/>
        <v>0</v>
      </c>
      <c r="P263" s="41">
        <f>IF(ISTEXT(C263),#REF!,IF(ISNUMBER([4]CLOSURES!V14),TEXT([4]CLOSURES!V14,"ddmmm"),IF(C263&lt;=0,0,IF(I263&lt;0,0,IF(AND(C263&gt;0,O263&lt;=0),"&gt;99",IF(I263/O263&gt;100,"&gt;99",MAX(0,I263/O263-2)))))))</f>
        <v>0</v>
      </c>
      <c r="R263" s="185"/>
    </row>
    <row r="264" spans="1:254" hidden="1" x14ac:dyDescent="0.2">
      <c r="A264" s="191"/>
      <c r="B264" s="57" t="s">
        <v>87</v>
      </c>
      <c r="C264" s="42">
        <f>[4]quotas!V73</f>
        <v>0</v>
      </c>
      <c r="D264" s="45">
        <f>[4]quotas!V73-[4]quotas!V113</f>
        <v>0</v>
      </c>
      <c r="E264" s="45"/>
      <c r="F264" s="71">
        <f>[4]quotas!Y73</f>
        <v>0</v>
      </c>
      <c r="G264" s="45" t="e">
        <f>IF(#REF!="*","*",([4]Cumulative!X58+[4]Cumulative!X61)+SUM([4]Cumulative!X64:X69)+SUM([4]Cumulative!X76:X77)+[4]Cumulative!X80)</f>
        <v>#REF!</v>
      </c>
      <c r="H264" s="46" t="str">
        <f>IF(C264="*","*",IF(C264&gt;0,#REF!/C264*100,"-"))</f>
        <v>-</v>
      </c>
      <c r="I264" s="44" t="e">
        <f>IF(C264="*","*",C264-#REF!)</f>
        <v>#REF!</v>
      </c>
      <c r="J264" s="45">
        <f>IF(C264="*","*",[4]Weeks!V147-[4]Weeks!V187)</f>
        <v>0</v>
      </c>
      <c r="K264" s="45">
        <f>IF(C264="*","*",[4]Weeks!V107-[4]Weeks!V147)</f>
        <v>0</v>
      </c>
      <c r="L264" s="45">
        <f>IF(C264="*","*",[4]Weeks!V67-[4]Weeks!V107)</f>
        <v>0</v>
      </c>
      <c r="M264" s="45">
        <f>IF(C264="*","*",[4]Weeks!V27-[4]Weeks!V67)</f>
        <v>0</v>
      </c>
      <c r="N264" s="46" t="str">
        <f t="shared" si="49"/>
        <v>-</v>
      </c>
      <c r="O264" s="45">
        <f t="shared" si="50"/>
        <v>0</v>
      </c>
      <c r="P264" s="41">
        <f>IF(ISTEXT(C264),#REF!,IF(ISNUMBER([4]CLOSURES!V33),TEXT([4]CLOSURES!V33,"ddmmm"),IF(C264&lt;=0,0,IF(I264&lt;0,0,IF(AND(C264&gt;0,O264&lt;=0),"&gt;99",IF(I264/O264&gt;100,"&gt;99",MAX(0,I264/O264-2)))))))</f>
        <v>0</v>
      </c>
      <c r="Q264" s="191"/>
    </row>
    <row r="265" spans="1:254" hidden="1" x14ac:dyDescent="0.2">
      <c r="A265" s="191"/>
      <c r="B265" s="49" t="s">
        <v>88</v>
      </c>
      <c r="C265" s="42">
        <f>[4]quotas!V74</f>
        <v>0</v>
      </c>
      <c r="D265" s="45">
        <f>[4]quotas!V74-[4]quotas!V114</f>
        <v>0</v>
      </c>
      <c r="E265" s="45"/>
      <c r="F265" s="71">
        <f>[4]quotas!Y74</f>
        <v>0</v>
      </c>
      <c r="G265" s="45" t="e">
        <f>IF(#REF!="*","*",[4]Cumulative!X84)</f>
        <v>#REF!</v>
      </c>
      <c r="H265" s="46" t="str">
        <f>IF(C265="*","*",IF(C265&gt;0,#REF!/C265*100,"-"))</f>
        <v>-</v>
      </c>
      <c r="I265" s="44" t="e">
        <f>IF(C265="*","*",C265-#REF!)</f>
        <v>#REF!</v>
      </c>
      <c r="J265" s="45">
        <f>IF(C265="*","*",[4]Weeks!V135-[4]Weeks!V175)</f>
        <v>0</v>
      </c>
      <c r="K265" s="45">
        <f>IF(C265="*","*",[4]Weeks!V95-[4]Weeks!V135)</f>
        <v>0</v>
      </c>
      <c r="L265" s="45">
        <f>IF(C265="*","*",[4]Weeks!V55-[4]Weeks!V95)</f>
        <v>0</v>
      </c>
      <c r="M265" s="45">
        <f>IF(C265="*","*",[4]Weeks!V28-[4]Weeks!V55)</f>
        <v>0</v>
      </c>
      <c r="N265" s="46" t="str">
        <f t="shared" si="49"/>
        <v>-</v>
      </c>
      <c r="O265" s="45">
        <f t="shared" si="50"/>
        <v>0</v>
      </c>
      <c r="P265" s="41">
        <f>IF(ISTEXT(C265),#REF!,IF(ISNUMBER([4]CLOSURES!V35),TEXT([4]CLOSURES!V35,"ddmmm"),IF(C265&lt;=0,0,IF(I265&lt;0,0,IF(AND(C265&gt;0,O265&lt;=0),"&gt;99",IF(I265/O265&gt;100,"&gt;99",MAX(0,I265/O265-2)))))))</f>
        <v>0</v>
      </c>
      <c r="Q265" s="191"/>
    </row>
    <row r="266" spans="1:254" hidden="1" x14ac:dyDescent="0.2">
      <c r="A266" s="191"/>
      <c r="B266" s="49" t="s">
        <v>89</v>
      </c>
      <c r="C266" s="42">
        <f>[4]quotas!V78</f>
        <v>0</v>
      </c>
      <c r="D266" s="45">
        <f>[4]quotas!V78-[4]quotas!V118</f>
        <v>0</v>
      </c>
      <c r="E266" s="45"/>
      <c r="F266" s="71">
        <f>[4]quotas!Y78</f>
        <v>0</v>
      </c>
      <c r="G266" s="45" t="e">
        <f>IF(#REF!="*","*",[4]Cumulative!X85)</f>
        <v>#REF!</v>
      </c>
      <c r="H266" s="46" t="str">
        <f>IF(C266="*","*",IF(C266&gt;0,#REF!/C266*100,"-"))</f>
        <v>-</v>
      </c>
      <c r="I266" s="44" t="e">
        <f>IF(C266="*","*",C266-#REF!)</f>
        <v>#REF!</v>
      </c>
      <c r="J266" s="45">
        <f>IF(C266="*","*",[4]Weeks!V152-[4]Weeks!V192)</f>
        <v>0</v>
      </c>
      <c r="K266" s="45">
        <f>IF(C266="*","*",[4]Weeks!V112-[4]Weeks!V152)</f>
        <v>0</v>
      </c>
      <c r="L266" s="45">
        <f>IF(C266="*","*",[4]Weeks!V72-[4]Weeks!V112)</f>
        <v>0</v>
      </c>
      <c r="M266" s="45">
        <f>IF(C266="*","*",[4]Weeks!V32-[4]Weeks!V72)</f>
        <v>0</v>
      </c>
      <c r="N266" s="46" t="str">
        <f t="shared" si="49"/>
        <v>-</v>
      </c>
      <c r="O266" s="45">
        <f t="shared" si="50"/>
        <v>0</v>
      </c>
      <c r="P266" s="41">
        <f>IF(ISTEXT(C266),#REF!,IF(ISNUMBER([4]CLOSURES!V39),TEXT([4]CLOSURES!V39,"ddmmm"),IF(C266&lt;=0,0,IF(I266&lt;0,0,IF(AND(C266&gt;0,O266&lt;=0),"&gt;99",IF(I266/O266&gt;100,"&gt;99",MAX(0,I266/O266-2)))))))</f>
        <v>0</v>
      </c>
      <c r="Q266" s="191"/>
    </row>
    <row r="267" spans="1:254" hidden="1" x14ac:dyDescent="0.2">
      <c r="A267" s="191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1"/>
    </row>
    <row r="268" spans="1:254" hidden="1" x14ac:dyDescent="0.2">
      <c r="A268" s="191"/>
      <c r="B268" s="208" t="s">
        <v>91</v>
      </c>
      <c r="C268" s="50">
        <f>[4]PELAGIC!P24</f>
        <v>0</v>
      </c>
      <c r="D268" s="52">
        <f>[4]quotas!V80-[4]quotas!V120</f>
        <v>0</v>
      </c>
      <c r="E268" s="52"/>
      <c r="F268" s="72" t="e">
        <f>[4]PELAGIC!S24</f>
        <v>#DIV/0!</v>
      </c>
      <c r="G268" s="52" t="e">
        <f>SUM(G244:G267)</f>
        <v>#REF!</v>
      </c>
      <c r="H268" s="58" t="str">
        <f>IF(C268="*","*",IF(C268&gt;0,#REF!/C268*100,"-"))</f>
        <v>-</v>
      </c>
      <c r="I268" s="51" t="e">
        <f>C268-#REF!</f>
        <v>#REF!</v>
      </c>
      <c r="J268" s="52">
        <f>SUM(J244:J267)</f>
        <v>0</v>
      </c>
      <c r="K268" s="52">
        <f>SUM(K244:K267)</f>
        <v>0</v>
      </c>
      <c r="L268" s="52">
        <f>SUM(L244:L267)</f>
        <v>0</v>
      </c>
      <c r="M268" s="52" t="e">
        <f>SUM(M244:M267)</f>
        <v>#VALUE!</v>
      </c>
      <c r="N268" s="58" t="str">
        <f>IF(C268="*","*",IF(C268&gt;0,M268/C268*100,"-"))</f>
        <v>-</v>
      </c>
      <c r="O268" s="52" t="e">
        <f>IF(C268="*","*",SUM(J268:M268)/4)</f>
        <v>#VALUE!</v>
      </c>
      <c r="P268" s="54">
        <f>IF(ISTEXT(C268),#REF!,IF(ISNUMBER([4]CLOSURES!#REF!),TEXT([4]CLOSURES!#REF!,"ddmmm"),IF(C268&lt;=0,0,IF(I268&lt;0,0,IF(AND(C268&gt;0,O268&lt;=0),"&gt;99",IF(I268/O268&gt;100,"&gt;99",MAX(0,I268/O268-2)))))))</f>
        <v>0</v>
      </c>
      <c r="Q268" s="191"/>
    </row>
    <row r="269" spans="1:254" ht="10.7" hidden="1" customHeight="1" x14ac:dyDescent="0.2">
      <c r="B269" s="198"/>
      <c r="C269" s="198"/>
      <c r="D269" s="198"/>
      <c r="E269" s="198"/>
      <c r="F269" s="199"/>
      <c r="G269" s="198"/>
      <c r="H269" s="198"/>
      <c r="I269" s="199"/>
      <c r="J269" s="198"/>
      <c r="K269" s="198"/>
      <c r="L269" s="198"/>
      <c r="M269" s="198"/>
      <c r="N269" s="201"/>
      <c r="O269" s="198"/>
      <c r="P269" s="201"/>
      <c r="Q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8"/>
      <c r="AW269" s="198"/>
      <c r="AX269" s="198"/>
      <c r="AY269" s="198"/>
      <c r="AZ269" s="19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  <c r="BZ269" s="198"/>
      <c r="CA269" s="198"/>
      <c r="CB269" s="198"/>
      <c r="CC269" s="198"/>
      <c r="CD269" s="198"/>
      <c r="CE269" s="198"/>
      <c r="CF269" s="198"/>
      <c r="CG269" s="198"/>
      <c r="CH269" s="198"/>
      <c r="CI269" s="198"/>
      <c r="CJ269" s="198"/>
      <c r="CK269" s="198"/>
      <c r="CL269" s="198"/>
      <c r="CM269" s="198"/>
      <c r="CN269" s="198"/>
      <c r="CO269" s="198"/>
      <c r="CP269" s="198"/>
      <c r="CQ269" s="198"/>
      <c r="CR269" s="198"/>
      <c r="CS269" s="198"/>
      <c r="CT269" s="198"/>
      <c r="CU269" s="198"/>
      <c r="CV269" s="198"/>
      <c r="CW269" s="198"/>
      <c r="CX269" s="198"/>
      <c r="CY269" s="198"/>
      <c r="CZ269" s="198"/>
      <c r="DA269" s="198"/>
      <c r="DB269" s="198"/>
      <c r="DC269" s="198"/>
      <c r="DD269" s="198"/>
      <c r="DE269" s="198"/>
      <c r="DF269" s="198"/>
      <c r="DG269" s="198"/>
      <c r="DH269" s="198"/>
      <c r="DI269" s="198"/>
      <c r="DJ269" s="198"/>
      <c r="DK269" s="198"/>
      <c r="DL269" s="198"/>
      <c r="DM269" s="198"/>
      <c r="DN269" s="198"/>
      <c r="DO269" s="198"/>
      <c r="DP269" s="198"/>
      <c r="DQ269" s="198"/>
      <c r="DR269" s="198"/>
      <c r="DS269" s="198"/>
      <c r="DT269" s="198"/>
      <c r="DU269" s="198"/>
      <c r="DV269" s="198"/>
      <c r="DW269" s="198"/>
      <c r="DX269" s="198"/>
      <c r="DY269" s="198"/>
      <c r="DZ269" s="198"/>
      <c r="EA269" s="198"/>
      <c r="EB269" s="198"/>
      <c r="EC269" s="198"/>
      <c r="ED269" s="198"/>
      <c r="EE269" s="198"/>
      <c r="EF269" s="198"/>
      <c r="EG269" s="198"/>
      <c r="EH269" s="198"/>
      <c r="EI269" s="198"/>
      <c r="EJ269" s="198"/>
      <c r="EK269" s="198"/>
      <c r="EL269" s="198"/>
      <c r="EM269" s="198"/>
      <c r="EN269" s="198"/>
      <c r="EO269" s="198"/>
      <c r="EP269" s="198"/>
      <c r="EQ269" s="198"/>
      <c r="ER269" s="198"/>
      <c r="ES269" s="198"/>
      <c r="ET269" s="198"/>
      <c r="EU269" s="198"/>
      <c r="EV269" s="198"/>
      <c r="EW269" s="198"/>
      <c r="EX269" s="198"/>
      <c r="EY269" s="198"/>
      <c r="EZ269" s="198"/>
      <c r="FA269" s="198"/>
      <c r="FB269" s="198"/>
      <c r="FC269" s="198"/>
      <c r="FD269" s="198"/>
      <c r="FE269" s="198"/>
      <c r="FF269" s="198"/>
      <c r="FG269" s="198"/>
      <c r="FH269" s="198"/>
      <c r="FI269" s="198"/>
      <c r="FJ269" s="198"/>
      <c r="FK269" s="198"/>
      <c r="FL269" s="198"/>
      <c r="FM269" s="198"/>
      <c r="FN269" s="198"/>
      <c r="FO269" s="198"/>
      <c r="FP269" s="198"/>
      <c r="FQ269" s="198"/>
      <c r="FR269" s="198"/>
      <c r="FS269" s="198"/>
      <c r="FT269" s="198"/>
      <c r="FU269" s="198"/>
      <c r="FV269" s="198"/>
      <c r="FW269" s="198"/>
      <c r="FX269" s="198"/>
      <c r="FY269" s="198"/>
      <c r="FZ269" s="198"/>
      <c r="GA269" s="198"/>
      <c r="GB269" s="198"/>
      <c r="GC269" s="198"/>
      <c r="GD269" s="198"/>
      <c r="GE269" s="198"/>
      <c r="GF269" s="198"/>
      <c r="GG269" s="198"/>
      <c r="GH269" s="198"/>
      <c r="GI269" s="198"/>
      <c r="GJ269" s="198"/>
      <c r="GK269" s="198"/>
      <c r="GL269" s="198"/>
      <c r="GM269" s="198"/>
      <c r="GN269" s="198"/>
      <c r="GO269" s="198"/>
      <c r="GP269" s="198"/>
      <c r="GQ269" s="198"/>
      <c r="GR269" s="198"/>
      <c r="GS269" s="198"/>
      <c r="GT269" s="198"/>
      <c r="GU269" s="198"/>
      <c r="GV269" s="198"/>
      <c r="GW269" s="198"/>
      <c r="GX269" s="198"/>
      <c r="GY269" s="198"/>
      <c r="GZ269" s="198"/>
      <c r="HA269" s="198"/>
      <c r="HB269" s="198"/>
      <c r="HC269" s="198"/>
      <c r="HD269" s="198"/>
      <c r="HE269" s="198"/>
      <c r="HF269" s="198"/>
      <c r="HG269" s="198"/>
      <c r="HH269" s="198"/>
      <c r="HI269" s="198"/>
      <c r="HJ269" s="198"/>
      <c r="HK269" s="198"/>
      <c r="HL269" s="198"/>
      <c r="HM269" s="198"/>
      <c r="HN269" s="198"/>
      <c r="HO269" s="198"/>
      <c r="HP269" s="198"/>
      <c r="HQ269" s="198"/>
      <c r="HR269" s="198"/>
      <c r="HS269" s="198"/>
      <c r="HT269" s="198"/>
      <c r="HU269" s="198"/>
      <c r="HV269" s="198"/>
      <c r="HW269" s="198"/>
      <c r="HX269" s="198"/>
      <c r="HY269" s="198"/>
      <c r="HZ269" s="198"/>
      <c r="IA269" s="198"/>
      <c r="IB269" s="198"/>
      <c r="IC269" s="198"/>
      <c r="ID269" s="198"/>
      <c r="IE269" s="198"/>
      <c r="IF269" s="198"/>
      <c r="IG269" s="198"/>
      <c r="IH269" s="198"/>
      <c r="II269" s="198"/>
      <c r="IJ269" s="198"/>
      <c r="IK269" s="198"/>
      <c r="IL269" s="198"/>
      <c r="IM269" s="198"/>
      <c r="IN269" s="198"/>
      <c r="IO269" s="198"/>
      <c r="IP269" s="198"/>
      <c r="IQ269" s="198"/>
      <c r="IR269" s="198"/>
      <c r="IS269" s="198"/>
      <c r="IT269" s="198"/>
    </row>
    <row r="270" spans="1:254" ht="10.7" hidden="1" customHeight="1" x14ac:dyDescent="0.2">
      <c r="B270" s="198"/>
      <c r="C270" s="191"/>
      <c r="D270" s="191"/>
      <c r="E270" s="191"/>
      <c r="F270" s="192"/>
      <c r="G270" s="191"/>
      <c r="H270" s="191"/>
      <c r="I270" s="192"/>
      <c r="J270" s="191"/>
      <c r="K270" s="191"/>
      <c r="L270" s="191"/>
      <c r="M270" s="191"/>
      <c r="N270" s="194"/>
      <c r="O270" s="191"/>
      <c r="P270" s="194"/>
      <c r="Q270" s="191"/>
    </row>
    <row r="271" spans="1:254" ht="10.7" hidden="1" customHeight="1" x14ac:dyDescent="0.2">
      <c r="B271" s="198"/>
      <c r="C271" s="191"/>
      <c r="D271" s="191"/>
      <c r="E271" s="191"/>
      <c r="F271" s="192"/>
      <c r="G271" s="191"/>
      <c r="H271" s="191"/>
      <c r="I271" s="192"/>
      <c r="J271" s="191"/>
      <c r="K271" s="191"/>
      <c r="L271" s="191"/>
      <c r="M271" s="191"/>
      <c r="N271" s="194"/>
      <c r="O271" s="191"/>
      <c r="P271" s="194"/>
      <c r="Q271" s="191"/>
    </row>
    <row r="272" spans="1:254" s="191" customFormat="1" ht="10.7" hidden="1" customHeight="1" x14ac:dyDescent="0.2">
      <c r="B272" s="14"/>
      <c r="C272" s="15" t="s">
        <v>97</v>
      </c>
      <c r="D272" s="15" t="s">
        <v>14</v>
      </c>
      <c r="E272" s="15"/>
      <c r="F272" s="16" t="s">
        <v>97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5"/>
    </row>
    <row r="273" spans="2:18" s="191" customFormat="1" ht="10.7" hidden="1" customHeight="1" x14ac:dyDescent="0.2">
      <c r="B273" s="23" t="s">
        <v>45</v>
      </c>
      <c r="C273" s="9" t="s">
        <v>98</v>
      </c>
      <c r="D273" s="26" t="s">
        <v>15</v>
      </c>
      <c r="E273" s="26"/>
      <c r="F273" s="25" t="s">
        <v>98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5"/>
    </row>
    <row r="274" spans="2:18" s="191" customFormat="1" ht="10.7" hidden="1" customHeight="1" x14ac:dyDescent="0.2">
      <c r="B274" s="23"/>
      <c r="C274" s="24" t="s">
        <v>99</v>
      </c>
      <c r="D274" s="26" t="s">
        <v>54</v>
      </c>
      <c r="E274" s="26"/>
      <c r="F274" s="28" t="s">
        <v>99</v>
      </c>
      <c r="G274" s="24" t="s">
        <v>55</v>
      </c>
      <c r="H274" s="27" t="s">
        <v>56</v>
      </c>
      <c r="I274" s="28" t="s">
        <v>57</v>
      </c>
      <c r="J274" s="33">
        <f>$J7</f>
        <v>44468</v>
      </c>
      <c r="K274" s="33">
        <f>$K7</f>
        <v>44475</v>
      </c>
      <c r="L274" s="33">
        <f>$L7</f>
        <v>44482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5"/>
    </row>
    <row r="275" spans="2:18" s="191" customFormat="1" ht="10.7" hidden="1" customHeight="1" x14ac:dyDescent="0.2">
      <c r="B275" s="35"/>
      <c r="C275" s="36" t="s">
        <v>100</v>
      </c>
      <c r="D275" s="36" t="s">
        <v>59</v>
      </c>
      <c r="E275" s="36"/>
      <c r="F275" s="37" t="s">
        <v>100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5"/>
    </row>
    <row r="276" spans="2:18" s="191" customFormat="1" ht="10.7" hidden="1" customHeight="1" x14ac:dyDescent="0.2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5"/>
    </row>
    <row r="277" spans="2:18" s="191" customFormat="1" ht="10.7" hidden="1" customHeight="1" x14ac:dyDescent="0.2">
      <c r="B277" s="40"/>
      <c r="C277" s="237" t="s">
        <v>26</v>
      </c>
      <c r="D277" s="234"/>
      <c r="E277" s="234"/>
      <c r="F277" s="234"/>
      <c r="G277" s="234"/>
      <c r="H277" s="234"/>
      <c r="I277" s="234"/>
      <c r="J277" s="234"/>
      <c r="K277" s="234"/>
      <c r="L277" s="234"/>
      <c r="M277" s="234"/>
      <c r="N277" s="234"/>
      <c r="O277" s="234"/>
      <c r="P277" s="41" t="s">
        <v>4</v>
      </c>
      <c r="R277" s="185"/>
    </row>
    <row r="278" spans="2:18" s="191" customFormat="1" ht="10.7" hidden="1" customHeight="1" x14ac:dyDescent="0.2">
      <c r="B278" s="40" t="s">
        <v>62</v>
      </c>
      <c r="C278" s="42">
        <f>[4]quotas!P47</f>
        <v>0</v>
      </c>
      <c r="D278" s="45">
        <f>[4]quotas!P47-[4]quotas!P87</f>
        <v>0</v>
      </c>
      <c r="E278" s="45"/>
      <c r="F278" s="71">
        <f>[4]quotas!S47</f>
        <v>0</v>
      </c>
      <c r="G278" s="45" t="e">
        <f>IF(#REF!="*","*",[4]Cumulative!R57)</f>
        <v>#REF!</v>
      </c>
      <c r="H278" s="46" t="str">
        <f>IF(C278="*","*",IF(C278&gt;0,#REF!/C278*100,"-"))</f>
        <v>-</v>
      </c>
      <c r="I278" s="44" t="e">
        <f>IF(C278="*","*",C278-#REF!)</f>
        <v>#REF!</v>
      </c>
      <c r="J278" s="45">
        <f>IF(C278="*","*",[4]Weeks!P126-[4]Weeks!P166)</f>
        <v>0</v>
      </c>
      <c r="K278" s="45">
        <f>IF(C278="*","*",[4]Weeks!P86-[4]Weeks!P126)</f>
        <v>0</v>
      </c>
      <c r="L278" s="45">
        <f>IF(C278="*","*",[4]Weeks!P46-[4]Weeks!P86)</f>
        <v>0</v>
      </c>
      <c r="M278" s="45" t="e">
        <f>IF(C278="*","*",[4]Weeks!P4-[4]Weeks!P46)</f>
        <v>#VALUE!</v>
      </c>
      <c r="N278" s="46" t="str">
        <f t="shared" ref="N278:N300" si="51">IF(C278="*","*",IF(C278&gt;0,M278/C278*100,"-"))</f>
        <v>-</v>
      </c>
      <c r="O278" s="45" t="e">
        <f t="shared" ref="O278:O300" si="52">IF(C278="*","*",SUM(J278:M278)/4)</f>
        <v>#VALUE!</v>
      </c>
      <c r="P278" s="41">
        <f>IF(ISTEXT(C278),#REF!,IF(ISNUMBER([4]CLOSURES!P5),TEXT([4]CLOSURES!P5,"ddmmm"),IF(C278&lt;=0,0,IF(I278&lt;0,0,IF(AND(C278&gt;0,O278&lt;=0),"&gt;99",IF(I278/O278&gt;100,"&gt;99",MAX(0,I278/O278-2)))))))</f>
        <v>0</v>
      </c>
      <c r="R278" s="185"/>
    </row>
    <row r="279" spans="2:18" s="191" customFormat="1" ht="10.7" hidden="1" customHeight="1" x14ac:dyDescent="0.2">
      <c r="B279" s="40" t="s">
        <v>63</v>
      </c>
      <c r="C279" s="42">
        <f>[4]quotas!P48</f>
        <v>0</v>
      </c>
      <c r="D279" s="45">
        <f>[4]quotas!P48-[4]quotas!P88</f>
        <v>0</v>
      </c>
      <c r="E279" s="45"/>
      <c r="F279" s="71">
        <f>[4]quotas!S48</f>
        <v>0</v>
      </c>
      <c r="G279" s="45" t="e">
        <f>IF(#REF!="*","*",[4]Cumulative!R58)</f>
        <v>#REF!</v>
      </c>
      <c r="H279" s="46" t="str">
        <f>IF(C279="*","*",IF(C279&gt;0,#REF!/C279*100,"-"))</f>
        <v>-</v>
      </c>
      <c r="I279" s="44" t="e">
        <f>IF(C279="*","*",C279-#REF!)</f>
        <v>#REF!</v>
      </c>
      <c r="J279" s="45">
        <f>IF(C279="*","*",[4]Weeks!P127-[4]Weeks!P167)</f>
        <v>0</v>
      </c>
      <c r="K279" s="45">
        <f>IF(C279="*","*",[4]Weeks!P87-[4]Weeks!P127)</f>
        <v>0</v>
      </c>
      <c r="L279" s="45">
        <f>IF(C279="*","*",[4]Weeks!P47-[4]Weeks!P87)</f>
        <v>0</v>
      </c>
      <c r="M279" s="45">
        <f>IF(C279="*","*",[4]Weeks!P5-[4]Weeks!P47)</f>
        <v>0</v>
      </c>
      <c r="N279" s="46" t="str">
        <f t="shared" si="51"/>
        <v>-</v>
      </c>
      <c r="O279" s="45">
        <f t="shared" si="52"/>
        <v>0</v>
      </c>
      <c r="P279" s="41">
        <f>IF(ISTEXT(C279),#REF!,IF(ISNUMBER([4]CLOSURES!P6),TEXT([4]CLOSURES!P6,"ddmmm"),IF(C279&lt;=0,0,IF(I279&lt;0,0,IF(AND(C279&gt;0,O279&lt;=0),"&gt;99",IF(I279/O279&gt;100,"&gt;99",MAX(0,I279/O279-2)))))))</f>
        <v>0</v>
      </c>
      <c r="R279" s="185"/>
    </row>
    <row r="280" spans="2:18" s="191" customFormat="1" ht="10.7" hidden="1" customHeight="1" x14ac:dyDescent="0.2">
      <c r="B280" s="40" t="s">
        <v>65</v>
      </c>
      <c r="C280" s="42">
        <f>[4]quotas!P49</f>
        <v>0</v>
      </c>
      <c r="D280" s="45">
        <f>[4]quotas!P49-[4]quotas!P89</f>
        <v>0</v>
      </c>
      <c r="E280" s="45"/>
      <c r="F280" s="71">
        <f>[4]quotas!S49</f>
        <v>0</v>
      </c>
      <c r="G280" s="45" t="e">
        <f>IF(#REF!="*","*",[4]Cumulative!R59)</f>
        <v>#REF!</v>
      </c>
      <c r="H280" s="46" t="str">
        <f>IF(C280="*","*",IF(C280&gt;0,#REF!/C280*100,"-"))</f>
        <v>-</v>
      </c>
      <c r="I280" s="44" t="e">
        <f>IF(C280="*","*",C280-#REF!)</f>
        <v>#REF!</v>
      </c>
      <c r="J280" s="45">
        <f>IF(C280="*","*",[4]Weeks!P128-[4]Weeks!P168)</f>
        <v>0</v>
      </c>
      <c r="K280" s="45">
        <f>IF(C280="*","*",[4]Weeks!P88-[4]Weeks!P128)</f>
        <v>0</v>
      </c>
      <c r="L280" s="45">
        <f>IF(C280="*","*",[4]Weeks!P48-[4]Weeks!P88)</f>
        <v>0</v>
      </c>
      <c r="M280" s="45">
        <f>IF(C280="*","*",[4]Weeks!P6-[4]Weeks!P48)</f>
        <v>0</v>
      </c>
      <c r="N280" s="46" t="str">
        <f t="shared" si="51"/>
        <v>-</v>
      </c>
      <c r="O280" s="45">
        <f t="shared" si="52"/>
        <v>0</v>
      </c>
      <c r="P280" s="41">
        <f>IF(ISTEXT(C280),#REF!,IF(ISNUMBER([4]CLOSURES!P7),TEXT([4]CLOSURES!P7,"ddmmm"),IF(C280&lt;=0,0,IF(I280&lt;0,0,IF(AND(C280&gt;0,O280&lt;=0),"&gt;99",IF(I280/O280&gt;100,"&gt;99",MAX(0,I280/O280-2)))))))</f>
        <v>0</v>
      </c>
      <c r="R280" s="185"/>
    </row>
    <row r="281" spans="2:18" s="191" customFormat="1" ht="10.7" hidden="1" customHeight="1" x14ac:dyDescent="0.2">
      <c r="B281" s="40" t="s">
        <v>66</v>
      </c>
      <c r="C281" s="42">
        <f>[4]quotas!P50</f>
        <v>0</v>
      </c>
      <c r="D281" s="45">
        <f>[4]quotas!P50-[4]quotas!P90</f>
        <v>0</v>
      </c>
      <c r="E281" s="45"/>
      <c r="F281" s="71">
        <f>[4]quotas!S50</f>
        <v>0</v>
      </c>
      <c r="G281" s="45" t="e">
        <f>IF(#REF!="*","*",[4]Cumulative!R60)</f>
        <v>#REF!</v>
      </c>
      <c r="H281" s="46" t="str">
        <f>IF(C281="*","*",IF(C281&gt;0,#REF!/C281*100,"-"))</f>
        <v>-</v>
      </c>
      <c r="I281" s="44" t="e">
        <f>IF(C281="*","*",C281-#REF!)</f>
        <v>#REF!</v>
      </c>
      <c r="J281" s="45">
        <f>IF(C281="*","*",[4]Weeks!P129-[4]Weeks!P169)</f>
        <v>0</v>
      </c>
      <c r="K281" s="45">
        <f>IF(C281="*","*",[4]Weeks!P89-[4]Weeks!P129)</f>
        <v>0</v>
      </c>
      <c r="L281" s="45">
        <f>IF(C281="*","*",[4]Weeks!P49-[4]Weeks!P89)</f>
        <v>0</v>
      </c>
      <c r="M281" s="45">
        <f>IF(C281="*","*",[4]Weeks!P7-[4]Weeks!P49)</f>
        <v>0</v>
      </c>
      <c r="N281" s="46" t="str">
        <f t="shared" si="51"/>
        <v>-</v>
      </c>
      <c r="O281" s="45">
        <f t="shared" si="52"/>
        <v>0</v>
      </c>
      <c r="P281" s="41">
        <f>IF(ISTEXT(C281),#REF!,IF(ISNUMBER([4]CLOSURES!P8),TEXT([4]CLOSURES!P8,"ddmmm"),IF(C281&lt;=0,0,IF(I281&lt;0,0,IF(AND(C281&gt;0,O281&lt;=0),"&gt;99",IF(I281/O281&gt;100,"&gt;99",MAX(0,I281/O281-2)))))))</f>
        <v>0</v>
      </c>
      <c r="R281" s="185"/>
    </row>
    <row r="282" spans="2:18" s="191" customFormat="1" ht="10.7" hidden="1" customHeight="1" x14ac:dyDescent="0.2">
      <c r="B282" s="40" t="s">
        <v>67</v>
      </c>
      <c r="C282" s="42">
        <f>[4]quotas!P51</f>
        <v>0</v>
      </c>
      <c r="D282" s="45">
        <f>[4]quotas!P51-[4]quotas!P91</f>
        <v>0</v>
      </c>
      <c r="E282" s="45"/>
      <c r="F282" s="71">
        <f>[4]quotas!S51</f>
        <v>0</v>
      </c>
      <c r="G282" s="45" t="e">
        <f>IF(#REF!="*","*",[4]Cumulative!R61)</f>
        <v>#REF!</v>
      </c>
      <c r="H282" s="46" t="str">
        <f>IF(C282="*","*",IF(C282&gt;0,#REF!/C282*100,"-"))</f>
        <v>-</v>
      </c>
      <c r="I282" s="44" t="e">
        <f>IF(C282="*","*",C282-#REF!)</f>
        <v>#REF!</v>
      </c>
      <c r="J282" s="45">
        <f>IF(C282="*","*",[4]Weeks!P130-[4]Weeks!P170)</f>
        <v>0</v>
      </c>
      <c r="K282" s="45">
        <f>IF(C282="*","*",[4]Weeks!P90-[4]Weeks!P130)</f>
        <v>0</v>
      </c>
      <c r="L282" s="45">
        <f>IF(C282="*","*",[4]Weeks!P50-[4]Weeks!P90)</f>
        <v>0</v>
      </c>
      <c r="M282" s="45">
        <f>IF(C282="*","*",[4]Weeks!P8-[4]Weeks!P50)</f>
        <v>0</v>
      </c>
      <c r="N282" s="46" t="str">
        <f t="shared" si="51"/>
        <v>-</v>
      </c>
      <c r="O282" s="45">
        <f t="shared" si="52"/>
        <v>0</v>
      </c>
      <c r="P282" s="41">
        <f>IF(ISTEXT(C282),#REF!,IF(ISNUMBER([4]CLOSURES!P9),TEXT([4]CLOSURES!P9,"ddmmm"),IF(C282&lt;=0,0,IF(I282&lt;0,0,IF(AND(C282&gt;0,O282&lt;=0),"&gt;99",IF(I282/O282&gt;100,"&gt;99",MAX(0,I282/O282-2)))))))</f>
        <v>0</v>
      </c>
      <c r="R282" s="185"/>
    </row>
    <row r="283" spans="2:18" s="191" customFormat="1" ht="10.7" hidden="1" customHeight="1" x14ac:dyDescent="0.2">
      <c r="B283" s="40" t="s">
        <v>68</v>
      </c>
      <c r="C283" s="42">
        <f>[4]quotas!P52</f>
        <v>0</v>
      </c>
      <c r="D283" s="45">
        <f>[4]quotas!P52-[4]quotas!P92</f>
        <v>0</v>
      </c>
      <c r="E283" s="45"/>
      <c r="F283" s="71">
        <f>[4]quotas!S52</f>
        <v>0</v>
      </c>
      <c r="G283" s="45" t="e">
        <f>IF(#REF!="*","*",[4]Cumulative!R62)</f>
        <v>#REF!</v>
      </c>
      <c r="H283" s="46" t="str">
        <f>IF(C283="*","*",IF(C283&gt;0,#REF!/C283*100,"-"))</f>
        <v>-</v>
      </c>
      <c r="I283" s="44" t="e">
        <f>IF(C283="*","*",C283-#REF!)</f>
        <v>#REF!</v>
      </c>
      <c r="J283" s="45">
        <f>IF(C283="*","*",[4]Weeks!P131-[4]Weeks!P171)</f>
        <v>0</v>
      </c>
      <c r="K283" s="45">
        <f>IF(C283="*","*",[4]Weeks!P91-[4]Weeks!P131)</f>
        <v>0</v>
      </c>
      <c r="L283" s="45">
        <f>IF(C283="*","*",[4]Weeks!P51-[4]Weeks!P91)</f>
        <v>0</v>
      </c>
      <c r="M283" s="45">
        <f>IF(C283="*","*",[4]Weeks!P9-[4]Weeks!P51)</f>
        <v>0</v>
      </c>
      <c r="N283" s="46" t="str">
        <f t="shared" si="51"/>
        <v>-</v>
      </c>
      <c r="O283" s="45">
        <f t="shared" si="52"/>
        <v>0</v>
      </c>
      <c r="P283" s="41">
        <f>IF(ISTEXT(C283),#REF!,IF(ISNUMBER([4]CLOSURES!P10),TEXT([4]CLOSURES!P10,"ddmmm"),IF(C283&lt;=0,0,IF(I283&lt;0,0,IF(AND(C283&gt;0,O283&lt;=0),"&gt;99",IF(I283/O283&gt;100,"&gt;99",MAX(0,I283/O283-2)))))))</f>
        <v>0</v>
      </c>
      <c r="R283" s="185"/>
    </row>
    <row r="284" spans="2:18" s="191" customFormat="1" hidden="1" x14ac:dyDescent="0.2">
      <c r="B284" s="40" t="s">
        <v>69</v>
      </c>
      <c r="C284" s="42">
        <f>[4]quotas!P53</f>
        <v>0</v>
      </c>
      <c r="D284" s="45">
        <f>[4]quotas!P53-[4]quotas!P93</f>
        <v>0</v>
      </c>
      <c r="E284" s="45"/>
      <c r="F284" s="71">
        <f>[4]quotas!S53</f>
        <v>0</v>
      </c>
      <c r="G284" s="45" t="e">
        <f>IF(#REF!="*","*",[4]Cumulative!R63)</f>
        <v>#REF!</v>
      </c>
      <c r="H284" s="46" t="str">
        <f>IF(C284="*","*",IF(C284&gt;0,#REF!/C284*100,"-"))</f>
        <v>-</v>
      </c>
      <c r="I284" s="44" t="e">
        <f>IF(C284="*","*",C284-#REF!)</f>
        <v>#REF!</v>
      </c>
      <c r="J284" s="45">
        <f>IF(C284="*","*",[4]Weeks!P132-[4]Weeks!P172)</f>
        <v>0</v>
      </c>
      <c r="K284" s="45">
        <f>IF(C284="*","*",[4]Weeks!P92-[4]Weeks!P132)</f>
        <v>0</v>
      </c>
      <c r="L284" s="45">
        <f>IF(C284="*","*",[4]Weeks!P52-[4]Weeks!P92)</f>
        <v>0</v>
      </c>
      <c r="M284" s="45">
        <f>IF(C284="*","*",[4]Weeks!P10-[4]Weeks!P52)</f>
        <v>0</v>
      </c>
      <c r="N284" s="46" t="str">
        <f t="shared" si="51"/>
        <v>-</v>
      </c>
      <c r="O284" s="45">
        <f t="shared" si="52"/>
        <v>0</v>
      </c>
      <c r="P284" s="41">
        <f>IF(ISTEXT(C284),#REF!,IF(ISNUMBER([4]CLOSURES!P11),TEXT([4]CLOSURES!P11,"ddmmm"),IF(C284&lt;=0,0,IF(I284&lt;0,0,IF(AND(C284&gt;0,O284&lt;=0),"&gt;99",IF(I284/O284&gt;100,"&gt;99",MAX(0,I284/O284-2)))))))</f>
        <v>0</v>
      </c>
      <c r="R284" s="185"/>
    </row>
    <row r="285" spans="2:18" s="191" customFormat="1" ht="10.7" hidden="1" customHeight="1" x14ac:dyDescent="0.2">
      <c r="B285" s="40" t="s">
        <v>102</v>
      </c>
      <c r="C285" s="42">
        <f>[4]quotas!P57</f>
        <v>0</v>
      </c>
      <c r="D285" s="45">
        <f>[4]quotas!P57-[4]quotas!P97</f>
        <v>0</v>
      </c>
      <c r="E285" s="45"/>
      <c r="F285" s="71">
        <f>[4]quotas!S57</f>
        <v>0</v>
      </c>
      <c r="G285" s="45" t="e">
        <f>IF(#REF!="*","*",[4]Cumulative!R67)</f>
        <v>#REF!</v>
      </c>
      <c r="H285" s="46" t="str">
        <f>IF(C285="*","*",IF(C285&gt;0,#REF!/C285*100,"-"))</f>
        <v>-</v>
      </c>
      <c r="I285" s="44" t="e">
        <f>IF(C285="*","*",C285-#REF!)</f>
        <v>#REF!</v>
      </c>
      <c r="J285" s="45">
        <f>IF(C285="*","*",[4]Weeks!P136-[4]Weeks!P176)</f>
        <v>0</v>
      </c>
      <c r="K285" s="45">
        <f>IF(C285="*","*",[4]Weeks!P96-[4]Weeks!P136)</f>
        <v>0</v>
      </c>
      <c r="L285" s="45">
        <f>IF(C285="*","*",[4]Weeks!P56-[4]Weeks!P96)</f>
        <v>0</v>
      </c>
      <c r="M285" s="45">
        <f>IF(C285="*","*",[4]Weeks!P14-[4]Weeks!P56)</f>
        <v>0</v>
      </c>
      <c r="N285" s="46" t="str">
        <f t="shared" si="51"/>
        <v>-</v>
      </c>
      <c r="O285" s="45">
        <f t="shared" si="52"/>
        <v>0</v>
      </c>
      <c r="P285" s="41">
        <f>IF(ISTEXT(C285),#REF!,IF(ISNUMBER([4]CLOSURES!P15),TEXT([4]CLOSURES!P15,"ddmmm"),IF(C285&lt;=0,0,IF(I285&lt;0,0,IF(AND(C285&gt;0,O285&lt;=0),"&gt;99",IF(I285/O285&gt;100,"&gt;99",MAX(0,I285/O285-2)))))))</f>
        <v>0</v>
      </c>
      <c r="R285" s="185"/>
    </row>
    <row r="286" spans="2:18" s="191" customFormat="1" ht="10.7" hidden="1" customHeight="1" x14ac:dyDescent="0.2">
      <c r="B286" s="40" t="s">
        <v>75</v>
      </c>
      <c r="C286" s="42">
        <f>[4]quotas!P58</f>
        <v>0</v>
      </c>
      <c r="D286" s="45">
        <f>[4]quotas!P58-[4]quotas!P98</f>
        <v>0</v>
      </c>
      <c r="E286" s="45"/>
      <c r="F286" s="71">
        <f>[4]quotas!S58</f>
        <v>0</v>
      </c>
      <c r="G286" s="45" t="e">
        <f>IF(#REF!="*","*",[4]Cumulative!R68)</f>
        <v>#REF!</v>
      </c>
      <c r="H286" s="46" t="str">
        <f>IF(C286="*","*",IF(C286&gt;0,#REF!/C286*100,"-"))</f>
        <v>-</v>
      </c>
      <c r="I286" s="44" t="e">
        <f>IF(C286="*","*",C286-#REF!)</f>
        <v>#REF!</v>
      </c>
      <c r="J286" s="45">
        <f>IF(C286="*","*",[4]Weeks!P133-[4]Weeks!P173)</f>
        <v>0</v>
      </c>
      <c r="K286" s="45">
        <f>IF(C286="*","*",[4]Weeks!P93-[4]Weeks!P133)</f>
        <v>0</v>
      </c>
      <c r="L286" s="45">
        <f>IF(C286="*","*",[4]Weeks!P53-[4]Weeks!P93)</f>
        <v>0</v>
      </c>
      <c r="M286" s="45">
        <f>IF(C286="*","*",[4]Weeks!P15-[4]Weeks!P53)</f>
        <v>0</v>
      </c>
      <c r="N286" s="46" t="str">
        <f t="shared" si="51"/>
        <v>-</v>
      </c>
      <c r="O286" s="45">
        <f t="shared" si="52"/>
        <v>0</v>
      </c>
      <c r="P286" s="41">
        <f>IF(ISTEXT(C286),#REF!,IF(ISNUMBER([4]CLOSURES!P16),TEXT([4]CLOSURES!P16,"ddmmm"),IF(C286&lt;=0,0,IF(I286&lt;0,0,IF(AND(C286&gt;0,O286&lt;=0),"&gt;99",IF(I286/O286&gt;100,"&gt;99",MAX(0,I286/O286-2)))))))</f>
        <v>0</v>
      </c>
      <c r="R286" s="185"/>
    </row>
    <row r="287" spans="2:18" s="191" customFormat="1" ht="10.7" hidden="1" customHeight="1" x14ac:dyDescent="0.2">
      <c r="B287" s="40" t="s">
        <v>157</v>
      </c>
      <c r="C287" s="42">
        <f>[4]quotas!P59</f>
        <v>0</v>
      </c>
      <c r="D287" s="45">
        <f>[4]quotas!P59-[4]quotas!P99</f>
        <v>0</v>
      </c>
      <c r="E287" s="45"/>
      <c r="F287" s="71">
        <f>[4]quotas!S59</f>
        <v>0</v>
      </c>
      <c r="G287" s="45" t="e">
        <f>IF(#REF!="*","*",[4]Cumulative!R69)</f>
        <v>#REF!</v>
      </c>
      <c r="H287" s="46" t="str">
        <f>IF(C287="*","*",IF(C287&gt;0,#REF!/C287*100,"-"))</f>
        <v>-</v>
      </c>
      <c r="I287" s="44" t="e">
        <f>IF(C287="*","*",C287-#REF!)</f>
        <v>#REF!</v>
      </c>
      <c r="J287" s="45">
        <f>IF(C287="*","*",[4]Weeks!P134-[4]Weeks!P174)</f>
        <v>0</v>
      </c>
      <c r="K287" s="45">
        <f>IF(C287="*","*",[4]Weeks!P94-[4]Weeks!P134)</f>
        <v>0</v>
      </c>
      <c r="L287" s="45">
        <f>IF(C287="*","*",[4]Weeks!P54-[4]Weeks!P94)</f>
        <v>0</v>
      </c>
      <c r="M287" s="45">
        <f>IF(C287="*","*",[4]Weeks!P16-[4]Weeks!P54)</f>
        <v>0</v>
      </c>
      <c r="N287" s="46" t="str">
        <f t="shared" si="51"/>
        <v>-</v>
      </c>
      <c r="O287" s="45">
        <f t="shared" si="52"/>
        <v>0</v>
      </c>
      <c r="P287" s="41">
        <f>IF(ISTEXT(C287),#REF!,IF(ISNUMBER([4]CLOSURES!P17),TEXT([4]CLOSURES!P17,"ddmmm"),IF(C287&lt;=0,0,IF(I287&lt;0,0,IF(AND(C287&gt;0,O287&lt;=0),"&gt;99",IF(I287/O287&gt;100,"&gt;99",MAX(0,I287/O287-2)))))))</f>
        <v>0</v>
      </c>
      <c r="R287" s="185"/>
    </row>
    <row r="288" spans="2:18" s="191" customFormat="1" ht="10.7" hidden="1" customHeight="1" x14ac:dyDescent="0.2">
      <c r="B288" s="40" t="s">
        <v>76</v>
      </c>
      <c r="C288" s="42">
        <f>[4]quotas!P60</f>
        <v>0</v>
      </c>
      <c r="D288" s="45">
        <f>[4]quotas!P60-[4]quotas!P100</f>
        <v>0</v>
      </c>
      <c r="E288" s="45"/>
      <c r="F288" s="71">
        <f>[4]quotas!S60</f>
        <v>0</v>
      </c>
      <c r="G288" s="45" t="e">
        <f>IF(#REF!="*","*",[4]Cumulative!R70)</f>
        <v>#REF!</v>
      </c>
      <c r="H288" s="46" t="str">
        <f>IF(C288="*","*",IF(C288&gt;0,#REF!/C288*100,"-"))</f>
        <v>-</v>
      </c>
      <c r="I288" s="44" t="e">
        <f>IF(C288="*","*",C288-#REF!)</f>
        <v>#REF!</v>
      </c>
      <c r="J288" s="45">
        <f>IF(C288="*","*",[4]Weeks!P137-[4]Weeks!P177)</f>
        <v>0</v>
      </c>
      <c r="K288" s="45">
        <f>IF(C288="*","*",[4]Weeks!P97-[4]Weeks!P137)</f>
        <v>0</v>
      </c>
      <c r="L288" s="45">
        <f>IF(C288="*","*",[4]Weeks!P57-[4]Weeks!P97)</f>
        <v>0</v>
      </c>
      <c r="M288" s="45">
        <f>IF(C288="*","*",[4]Weeks!P17-[4]Weeks!P57)</f>
        <v>0</v>
      </c>
      <c r="N288" s="46" t="str">
        <f t="shared" si="51"/>
        <v>-</v>
      </c>
      <c r="O288" s="45">
        <f t="shared" si="52"/>
        <v>0</v>
      </c>
      <c r="P288" s="41">
        <f>IF(ISTEXT(C288),#REF!,IF(ISNUMBER([4]CLOSURES!P18),TEXT([4]CLOSURES!P18,"ddmmm"),IF(C288&lt;=0,0,IF(I288&lt;0,0,IF(AND(C288&gt;0,O288&lt;=0),"&gt;99",IF(I288/O288&gt;100,"&gt;99",MAX(0,I288/O288-2)))))))</f>
        <v>0</v>
      </c>
      <c r="R288" s="185"/>
    </row>
    <row r="289" spans="2:254" s="191" customFormat="1" ht="10.7" hidden="1" customHeight="1" x14ac:dyDescent="0.2">
      <c r="B289" s="40" t="s">
        <v>77</v>
      </c>
      <c r="C289" s="42">
        <f>[4]quotas!P61</f>
        <v>0</v>
      </c>
      <c r="D289" s="45">
        <f>[4]quotas!P61-[4]quotas!P101</f>
        <v>0</v>
      </c>
      <c r="E289" s="45"/>
      <c r="F289" s="71">
        <f>[4]quotas!S61</f>
        <v>0</v>
      </c>
      <c r="G289" s="45" t="e">
        <f>IF(#REF!="*","*",[4]Cumulative!R71)</f>
        <v>#REF!</v>
      </c>
      <c r="H289" s="46" t="str">
        <f>IF(C289="*","*",IF(C289&gt;0,#REF!/C289*100,"-"))</f>
        <v>-</v>
      </c>
      <c r="I289" s="44" t="e">
        <f>IF(C289="*","*",C289-#REF!)</f>
        <v>#REF!</v>
      </c>
      <c r="J289" s="45">
        <f>IF(C289="*","*",[4]Weeks!P138-[4]Weeks!P178)</f>
        <v>0</v>
      </c>
      <c r="K289" s="45">
        <f>IF(C289="*","*",[4]Weeks!P98-[4]Weeks!P138)</f>
        <v>0</v>
      </c>
      <c r="L289" s="45">
        <f>IF(C289="*","*",[4]Weeks!P58-[4]Weeks!P98)</f>
        <v>0</v>
      </c>
      <c r="M289" s="45">
        <f>IF(C289="*","*",[4]Weeks!P18-[4]Weeks!P58)</f>
        <v>0</v>
      </c>
      <c r="N289" s="46" t="str">
        <f t="shared" si="51"/>
        <v>-</v>
      </c>
      <c r="O289" s="45">
        <f t="shared" si="52"/>
        <v>0</v>
      </c>
      <c r="P289" s="41">
        <f>IF(ISTEXT(C289),#REF!,IF(ISNUMBER([4]CLOSURES!P19),TEXT([4]CLOSURES!P19,"ddmmm"),IF(C289&lt;=0,0,IF(I289&lt;0,0,IF(AND(C289&gt;0,O289&lt;=0),"&gt;99",IF(I289/O289&gt;100,"&gt;99",MAX(0,I289/O289-2)))))))</f>
        <v>0</v>
      </c>
      <c r="R289" s="185"/>
    </row>
    <row r="290" spans="2:254" s="191" customFormat="1" ht="10.7" hidden="1" customHeight="1" x14ac:dyDescent="0.2">
      <c r="B290" s="40" t="s">
        <v>78</v>
      </c>
      <c r="C290" s="42">
        <f>[4]quotas!P62</f>
        <v>0</v>
      </c>
      <c r="D290" s="45">
        <f>[4]quotas!P62-[4]quotas!P102</f>
        <v>0</v>
      </c>
      <c r="E290" s="45"/>
      <c r="F290" s="71">
        <f>[4]quotas!S62</f>
        <v>0</v>
      </c>
      <c r="G290" s="45" t="e">
        <f>IF(#REF!="*","*",[4]Cumulative!R72)</f>
        <v>#REF!</v>
      </c>
      <c r="H290" s="46" t="str">
        <f>IF(C290="*","*",IF(C290&gt;0,#REF!/C290*100,"-"))</f>
        <v>-</v>
      </c>
      <c r="I290" s="44" t="e">
        <f>IF(C290="*","*",C290-#REF!)</f>
        <v>#REF!</v>
      </c>
      <c r="J290" s="45">
        <f>IF(C290="*","*",[4]Weeks!P139-[4]Weeks!P179)</f>
        <v>0</v>
      </c>
      <c r="K290" s="45">
        <f>IF(C290="*","*",[4]Weeks!P99-[4]Weeks!P139)</f>
        <v>0</v>
      </c>
      <c r="L290" s="45">
        <f>IF(C290="*","*",[4]Weeks!P59-[4]Weeks!P99)</f>
        <v>0</v>
      </c>
      <c r="M290" s="45">
        <f>IF(C290="*","*",[4]Weeks!P19-[4]Weeks!P59)</f>
        <v>0</v>
      </c>
      <c r="N290" s="46" t="str">
        <f t="shared" si="51"/>
        <v>-</v>
      </c>
      <c r="O290" s="45">
        <f t="shared" si="52"/>
        <v>0</v>
      </c>
      <c r="P290" s="41">
        <f>IF(ISTEXT(C290),#REF!,IF(ISNUMBER([4]CLOSURES!P20),TEXT([4]CLOSURES!P20,"ddmmm"),IF(C290&lt;=0,0,IF(I290&lt;0,0,IF(AND(C290&gt;0,O290&lt;=0),"&gt;99",IF(I290/O290&gt;100,"&gt;99",MAX(0,I290/O290-2)))))))</f>
        <v>0</v>
      </c>
      <c r="R290" s="185"/>
    </row>
    <row r="291" spans="2:254" s="191" customFormat="1" ht="10.7" hidden="1" customHeight="1" x14ac:dyDescent="0.2">
      <c r="B291" s="40" t="s">
        <v>79</v>
      </c>
      <c r="C291" s="42">
        <f>[4]quotas!P63</f>
        <v>0</v>
      </c>
      <c r="D291" s="45">
        <f>[4]quotas!P63-[4]quotas!P103</f>
        <v>0</v>
      </c>
      <c r="E291" s="45"/>
      <c r="F291" s="71">
        <f>[4]quotas!S63</f>
        <v>0</v>
      </c>
      <c r="G291" s="45" t="e">
        <f>IF(#REF!="*","*",[4]Cumulative!R73)</f>
        <v>#REF!</v>
      </c>
      <c r="H291" s="46" t="str">
        <f>IF(C291="*","*",IF(C291&gt;0,#REF!/C291*100,"-"))</f>
        <v>-</v>
      </c>
      <c r="I291" s="44" t="e">
        <f>IF(C291="*","*",C291-#REF!)</f>
        <v>#REF!</v>
      </c>
      <c r="J291" s="45">
        <f>IF(C291="*","*",[4]Weeks!P140-[4]Weeks!P180)</f>
        <v>0</v>
      </c>
      <c r="K291" s="45">
        <f>IF(C291="*","*",[4]Weeks!P100-[4]Weeks!P140)</f>
        <v>0</v>
      </c>
      <c r="L291" s="45">
        <f>IF(C291="*","*",[4]Weeks!P60-[4]Weeks!P100)</f>
        <v>0</v>
      </c>
      <c r="M291" s="45">
        <f>IF(C291="*","*",[4]Weeks!P20-[4]Weeks!P60)</f>
        <v>0</v>
      </c>
      <c r="N291" s="46" t="str">
        <f t="shared" si="51"/>
        <v>-</v>
      </c>
      <c r="O291" s="45">
        <f t="shared" si="52"/>
        <v>0</v>
      </c>
      <c r="P291" s="41">
        <f>IF(ISTEXT(C291),#REF!,IF(ISNUMBER([4]CLOSURES!P21),TEXT([4]CLOSURES!P21,"ddmmm"),IF(C291&lt;=0,0,IF(I291&lt;0,0,IF(AND(C291&gt;0,O291&lt;=0),"&gt;99",IF(I291/O291&gt;100,"&gt;99",MAX(0,I291/O291-2)))))))</f>
        <v>0</v>
      </c>
      <c r="R291" s="185"/>
    </row>
    <row r="292" spans="2:254" s="191" customFormat="1" ht="10.7" hidden="1" customHeight="1" x14ac:dyDescent="0.2">
      <c r="B292" s="40" t="s">
        <v>80</v>
      </c>
      <c r="C292" s="42">
        <f>[4]quotas!P64</f>
        <v>0</v>
      </c>
      <c r="D292" s="45">
        <f>[4]quotas!P64-[4]quotas!P104</f>
        <v>0</v>
      </c>
      <c r="E292" s="45"/>
      <c r="F292" s="71">
        <f>[4]quotas!S64</f>
        <v>0</v>
      </c>
      <c r="G292" s="45" t="e">
        <f>IF(#REF!="*","*",[4]Cumulative!R74)</f>
        <v>#REF!</v>
      </c>
      <c r="H292" s="46" t="str">
        <f>IF(C292="*","*",IF(C292&gt;0,#REF!/C292*100,"-"))</f>
        <v>-</v>
      </c>
      <c r="I292" s="44" t="e">
        <f>IF(C292="*","*",C292-#REF!)</f>
        <v>#REF!</v>
      </c>
      <c r="J292" s="45">
        <f>IF(C292="*","*",[4]Weeks!P141-[4]Weeks!P181)</f>
        <v>0</v>
      </c>
      <c r="K292" s="45">
        <f>IF(C292="*","*",[4]Weeks!P101-[4]Weeks!P141)</f>
        <v>0</v>
      </c>
      <c r="L292" s="45">
        <f>IF(C292="*","*",[4]Weeks!P61-[4]Weeks!P101)</f>
        <v>0</v>
      </c>
      <c r="M292" s="45">
        <f>IF(C292="*","*",[4]Weeks!P21-[4]Weeks!P61)</f>
        <v>0</v>
      </c>
      <c r="N292" s="46" t="str">
        <f t="shared" si="51"/>
        <v>-</v>
      </c>
      <c r="O292" s="45">
        <f t="shared" si="52"/>
        <v>0</v>
      </c>
      <c r="P292" s="41">
        <f>IF(ISTEXT(C292),#REF!,IF(ISNUMBER([4]CLOSURES!P22),TEXT([4]CLOSURES!P22,"ddmmm"),IF(C292&lt;=0,0,IF(I292&lt;0,0,IF(AND(C292&gt;0,O292&lt;=0),"&gt;99",IF(I292/O292&gt;100,"&gt;99",MAX(0,I292/O292-2)))))))</f>
        <v>0</v>
      </c>
      <c r="R292" s="185"/>
    </row>
    <row r="293" spans="2:254" s="191" customFormat="1" ht="10.7" hidden="1" customHeight="1" x14ac:dyDescent="0.2">
      <c r="B293" s="40" t="s">
        <v>81</v>
      </c>
      <c r="C293" s="42">
        <f>[4]quotas!P65</f>
        <v>0</v>
      </c>
      <c r="D293" s="45">
        <f>[4]quotas!P65-[4]quotas!P105</f>
        <v>0</v>
      </c>
      <c r="E293" s="45"/>
      <c r="F293" s="71">
        <f>[4]quotas!S65</f>
        <v>0</v>
      </c>
      <c r="G293" s="45" t="e">
        <f>IF(#REF!="*","*",[4]Cumulative!R75)</f>
        <v>#REF!</v>
      </c>
      <c r="H293" s="46" t="str">
        <f>IF(C293="*","*",IF(C293&gt;0,#REF!/C293*100,"-"))</f>
        <v>-</v>
      </c>
      <c r="I293" s="44" t="e">
        <f>IF(C293="*","*",C293-#REF!)</f>
        <v>#REF!</v>
      </c>
      <c r="J293" s="45">
        <f>IF(C293="*","*",[4]Weeks!P142-[4]Weeks!P182)</f>
        <v>0</v>
      </c>
      <c r="K293" s="45">
        <f>IF(C293="*","*",[4]Weeks!P102-[4]Weeks!P142)</f>
        <v>0</v>
      </c>
      <c r="L293" s="45">
        <f>IF(C293="*","*",[4]Weeks!P62-[4]Weeks!P102)</f>
        <v>0</v>
      </c>
      <c r="M293" s="45">
        <f>IF(C293="*","*",[4]Weeks!P22-[4]Weeks!P62)</f>
        <v>0</v>
      </c>
      <c r="N293" s="46" t="str">
        <f t="shared" si="51"/>
        <v>-</v>
      </c>
      <c r="O293" s="45">
        <f t="shared" si="52"/>
        <v>0</v>
      </c>
      <c r="P293" s="41">
        <f>IF(ISTEXT(C293),#REF!,IF(ISNUMBER([4]CLOSURES!P23),TEXT([4]CLOSURES!P23,"ddmmm"),IF(C293&lt;=0,0,IF(I293&lt;0,0,IF(AND(C293&gt;0,O293&lt;=0),"&gt;99",IF(I293/O293&gt;100,"&gt;99",MAX(0,I293/O293-2)))))))</f>
        <v>0</v>
      </c>
      <c r="R293" s="185"/>
    </row>
    <row r="294" spans="2:254" s="191" customFormat="1" ht="10.7" hidden="1" customHeight="1" x14ac:dyDescent="0.2">
      <c r="B294" s="40" t="s">
        <v>103</v>
      </c>
      <c r="C294" s="42">
        <f>[4]quotas!P66</f>
        <v>0</v>
      </c>
      <c r="D294" s="45">
        <f>[4]quotas!P66-[4]quotas!P106</f>
        <v>0</v>
      </c>
      <c r="E294" s="45"/>
      <c r="F294" s="71">
        <f>[4]quotas!S66</f>
        <v>0</v>
      </c>
      <c r="G294" s="45" t="e">
        <f>IF(#REF!="*","*",[4]Cumulative!R76)</f>
        <v>#REF!</v>
      </c>
      <c r="H294" s="46" t="str">
        <f>IF(C294="*","*",IF(C294&gt;0,#REF!/C294*100,"-"))</f>
        <v>-</v>
      </c>
      <c r="I294" s="44" t="e">
        <f>IF(C294="*","*",C294-#REF!)</f>
        <v>#REF!</v>
      </c>
      <c r="J294" s="45">
        <f>IF(C294="*","*",[4]Weeks!P143-[4]Weeks!P183)</f>
        <v>0</v>
      </c>
      <c r="K294" s="45">
        <f>IF(C294="*","*",[4]Weeks!P103-[4]Weeks!P143)</f>
        <v>0</v>
      </c>
      <c r="L294" s="45">
        <f>IF(C294="*","*",[4]Weeks!P63-[4]Weeks!P103)</f>
        <v>0</v>
      </c>
      <c r="M294" s="45">
        <f>IF(C294="*","*",[4]Weeks!P23-[4]Weeks!P63)</f>
        <v>0</v>
      </c>
      <c r="N294" s="46" t="str">
        <f t="shared" si="51"/>
        <v>-</v>
      </c>
      <c r="O294" s="45">
        <f t="shared" si="52"/>
        <v>0</v>
      </c>
      <c r="P294" s="41">
        <f>IF(ISTEXT(C294),#REF!,IF(ISNUMBER([4]CLOSURES!P24),TEXT([4]CLOSURES!P24,"ddmmm"),IF(C294&lt;=0,0,IF(I294&lt;0,0,IF(AND(C294&gt;0,O294&lt;=0),"&gt;99",IF(I294/O294&gt;100,"&gt;99",MAX(0,I294/O294-2)))))))</f>
        <v>0</v>
      </c>
      <c r="R294" s="185"/>
    </row>
    <row r="295" spans="2:254" s="191" customFormat="1" ht="10.7" hidden="1" customHeight="1" x14ac:dyDescent="0.2">
      <c r="B295" s="40" t="s">
        <v>104</v>
      </c>
      <c r="C295" s="42">
        <f>[4]quotas!P67</f>
        <v>0</v>
      </c>
      <c r="D295" s="45">
        <f>[4]quotas!P67-[4]quotas!P107</f>
        <v>0</v>
      </c>
      <c r="E295" s="45"/>
      <c r="F295" s="71">
        <f>[4]quotas!S67</f>
        <v>0</v>
      </c>
      <c r="G295" s="45" t="e">
        <f>IF(#REF!="*","*",[4]Cumulative!R77)</f>
        <v>#REF!</v>
      </c>
      <c r="H295" s="46" t="str">
        <f>IF(C295="*","*",IF(C295&gt;0,#REF!/C295*100,"-"))</f>
        <v>-</v>
      </c>
      <c r="I295" s="44" t="e">
        <f>IF(C295="*","*",C295-#REF!)</f>
        <v>#REF!</v>
      </c>
      <c r="J295" s="45">
        <f>IF(C295="*","*",[4]Weeks!P144-[4]Weeks!P184)</f>
        <v>0</v>
      </c>
      <c r="K295" s="45">
        <f>IF(C295="*","*",[4]Weeks!P104-[4]Weeks!P144)</f>
        <v>0</v>
      </c>
      <c r="L295" s="45">
        <f>IF(C295="*","*",[4]Weeks!P64-[4]Weeks!P104)</f>
        <v>0</v>
      </c>
      <c r="M295" s="45">
        <f>IF(C295="*","*",[4]Weeks!P24-[4]Weeks!P64)</f>
        <v>0</v>
      </c>
      <c r="N295" s="46" t="str">
        <f t="shared" si="51"/>
        <v>-</v>
      </c>
      <c r="O295" s="45">
        <f t="shared" si="52"/>
        <v>0</v>
      </c>
      <c r="P295" s="41">
        <f>IF(ISTEXT(C295),#REF!,IF(ISNUMBER([4]CLOSURES!P25),TEXT([4]CLOSURES!P25,"ddmmm"),IF(C295&lt;=0,0,IF(I295&lt;0,0,IF(AND(C295&gt;0,O295&lt;=0),"&gt;99",IF(I295/O295&gt;100,"&gt;99",MAX(0,I295/O295-2)))))))</f>
        <v>0</v>
      </c>
      <c r="R295" s="185"/>
    </row>
    <row r="296" spans="2:254" s="191" customFormat="1" hidden="1" x14ac:dyDescent="0.2">
      <c r="B296" s="40" t="s">
        <v>70</v>
      </c>
      <c r="C296" s="42">
        <f>[4]quotas!P68</f>
        <v>0</v>
      </c>
      <c r="D296" s="45">
        <f>[4]quotas!P68-[4]quotas!P108</f>
        <v>0</v>
      </c>
      <c r="E296" s="45"/>
      <c r="F296" s="71">
        <f>[4]quotas!S68</f>
        <v>0</v>
      </c>
      <c r="G296" s="45" t="e">
        <f>IF(#REF!="*","*",[4]Cumulative!R64)</f>
        <v>#REF!</v>
      </c>
      <c r="H296" s="46" t="str">
        <f>IF(C296="*","*",IF(C296&gt;0,#REF!/C296*100,"-"))</f>
        <v>-</v>
      </c>
      <c r="I296" s="44" t="e">
        <f>IF(C296="*","*",C296-#REF!)</f>
        <v>#REF!</v>
      </c>
      <c r="J296" s="45">
        <f>IF(C296="*","*",[4]Weeks!P145-[4]Weeks!P185)</f>
        <v>0</v>
      </c>
      <c r="K296" s="45">
        <f>IF(C296="*","*",[4]Weeks!P105-[4]Weeks!P145)</f>
        <v>0</v>
      </c>
      <c r="L296" s="45">
        <f>IF(C296="*","*",[4]Weeks!P65-[4]Weeks!P105)</f>
        <v>0</v>
      </c>
      <c r="M296" s="45">
        <f>IF(C296="*","*",[4]Weeks!P25-[4]Weeks!P65)</f>
        <v>0</v>
      </c>
      <c r="N296" s="46" t="str">
        <f t="shared" si="51"/>
        <v>-</v>
      </c>
      <c r="O296" s="45">
        <f t="shared" si="52"/>
        <v>0</v>
      </c>
      <c r="P296" s="41">
        <f>IF(ISTEXT(C296),#REF!,IF(ISNUMBER([4]CLOSURES!P12),TEXT([4]CLOSURES!P12,"ddmmm"),IF(C296&lt;=0,0,IF(I296&lt;0,0,IF(AND(C296&gt;0,O296&lt;=0),"&gt;99",IF(I296/O296&gt;100,"&gt;99",MAX(0,I296/O296-2)))))))</f>
        <v>0</v>
      </c>
      <c r="R296" s="185"/>
    </row>
    <row r="297" spans="2:254" s="191" customFormat="1" hidden="1" x14ac:dyDescent="0.2">
      <c r="B297" s="40" t="s">
        <v>105</v>
      </c>
      <c r="C297" s="42">
        <f>[4]quotas!P56</f>
        <v>0</v>
      </c>
      <c r="D297" s="45">
        <f>[4]quotas!P56-[4]quotas!P96</f>
        <v>0</v>
      </c>
      <c r="E297" s="45"/>
      <c r="F297" s="71">
        <f>[4]quotas!S56</f>
        <v>0</v>
      </c>
      <c r="G297" s="45" t="e">
        <f>IF(#REF!="*","*",SUM([4]Cumulative!R66:R66))</f>
        <v>#REF!</v>
      </c>
      <c r="H297" s="46" t="str">
        <f>IF(C297="*","*",IF(C297&gt;0,#REF!/C297*100,"-"))</f>
        <v>-</v>
      </c>
      <c r="I297" s="44" t="e">
        <f>IF(C297="*","*",C297-#REF!)</f>
        <v>#REF!</v>
      </c>
      <c r="J297" s="45">
        <f>IF(C297="*","*",[4]Weeks!P146-[4]Weeks!P186)</f>
        <v>0</v>
      </c>
      <c r="K297" s="45">
        <f>IF(C297="*","*",[4]Weeks!P106-[4]Weeks!P146)</f>
        <v>0</v>
      </c>
      <c r="L297" s="45">
        <f>IF(C297="*","*",[4]Weeks!P66-[4]Weeks!P106)</f>
        <v>0</v>
      </c>
      <c r="M297" s="45">
        <f>IF(C297="*","*",[4]Weeks!P13-[4]Weeks!P66)</f>
        <v>0</v>
      </c>
      <c r="N297" s="46" t="str">
        <f t="shared" si="51"/>
        <v>-</v>
      </c>
      <c r="O297" s="45">
        <f t="shared" si="52"/>
        <v>0</v>
      </c>
      <c r="P297" s="41">
        <f>IF(ISTEXT(C297),#REF!,IF(ISNUMBER([4]CLOSURES!P14),TEXT([4]CLOSURES!P14,"ddmmm"),IF(C297&lt;=0,0,IF(I297&lt;0,0,IF(AND(C297&gt;0,O297&lt;=0),"&gt;99",IF(I297/O297&gt;100,"&gt;99",MAX(0,I297/O297-2)))))))</f>
        <v>0</v>
      </c>
      <c r="R297" s="185"/>
    </row>
    <row r="298" spans="2:254" s="191" customFormat="1" hidden="1" x14ac:dyDescent="0.2">
      <c r="B298" s="57" t="s">
        <v>87</v>
      </c>
      <c r="C298" s="42">
        <f>[4]quotas!P73</f>
        <v>0</v>
      </c>
      <c r="D298" s="45">
        <f>[4]quotas!P73-[4]quotas!P113</f>
        <v>0</v>
      </c>
      <c r="E298" s="45"/>
      <c r="F298" s="71">
        <f>[4]quotas!S73</f>
        <v>0</v>
      </c>
      <c r="G298" s="45" t="e">
        <f>IF(#REF!="*","*",([4]Cumulative!R58+[4]Cumulative!R61)+SUM([4]Cumulative!R64:R69)+SUM([4]Cumulative!R76:R77)+[4]Cumulative!R80)</f>
        <v>#REF!</v>
      </c>
      <c r="H298" s="46" t="str">
        <f>IF(C298="*","*",IF(C298&gt;0,#REF!/C298*100,"-"))</f>
        <v>-</v>
      </c>
      <c r="I298" s="44" t="e">
        <f>IF(C298="*","*",C298-#REF!)</f>
        <v>#REF!</v>
      </c>
      <c r="J298" s="45">
        <f>IF(C298="*","*",[4]Weeks!P147-[4]Weeks!P187)</f>
        <v>0</v>
      </c>
      <c r="K298" s="45">
        <f>IF(C298="*","*",[4]Weeks!P107-[4]Weeks!P147)</f>
        <v>0</v>
      </c>
      <c r="L298" s="45">
        <f>IF(C298="*","*",[4]Weeks!P67-[4]Weeks!P107)</f>
        <v>0</v>
      </c>
      <c r="M298" s="45">
        <f>IF(C298="*","*",[4]Weeks!P27-[4]Weeks!P67)</f>
        <v>0</v>
      </c>
      <c r="N298" s="46" t="str">
        <f t="shared" si="51"/>
        <v>-</v>
      </c>
      <c r="O298" s="45">
        <f t="shared" si="52"/>
        <v>0</v>
      </c>
      <c r="P298" s="41">
        <f>IF(ISTEXT(C298),#REF!,IF(ISNUMBER([4]CLOSURES!P33),TEXT([4]CLOSURES!P33,"ddmmm"),IF(C298&lt;=0,0,IF(I298&lt;0,0,IF(AND(C298&gt;0,O298&lt;=0),"&gt;99",IF(I298/O298&gt;100,"&gt;99",MAX(0,I298/O298-2)))))))</f>
        <v>0</v>
      </c>
      <c r="R298" s="185"/>
    </row>
    <row r="299" spans="2:254" s="191" customFormat="1" hidden="1" x14ac:dyDescent="0.2">
      <c r="B299" s="49" t="s">
        <v>88</v>
      </c>
      <c r="C299" s="42">
        <f>[4]quotas!P74</f>
        <v>0</v>
      </c>
      <c r="D299" s="45">
        <f>[4]quotas!P74-[4]quotas!P114</f>
        <v>0</v>
      </c>
      <c r="E299" s="45"/>
      <c r="F299" s="71">
        <f>[4]quotas!S74</f>
        <v>0</v>
      </c>
      <c r="G299" s="45" t="e">
        <f>IF(#REF!="*","*",[4]Cumulative!R84)</f>
        <v>#REF!</v>
      </c>
      <c r="H299" s="46" t="str">
        <f>IF(C299="*","*",IF(C299&gt;0,#REF!/C299*100,"-"))</f>
        <v>-</v>
      </c>
      <c r="I299" s="44" t="e">
        <f>IF(C299="*","*",C299-#REF!)</f>
        <v>#REF!</v>
      </c>
      <c r="J299" s="45">
        <f>IF(C299="*","*",[4]Weeks!P135-[4]Weeks!P175)</f>
        <v>0</v>
      </c>
      <c r="K299" s="45">
        <f>IF(C299="*","*",[4]Weeks!P95-[4]Weeks!P135)</f>
        <v>0</v>
      </c>
      <c r="L299" s="45">
        <f>IF(C299="*","*",[4]Weeks!P55-[4]Weeks!P95)</f>
        <v>0</v>
      </c>
      <c r="M299" s="45">
        <f>IF(C299="*","*",[4]Weeks!P28-[4]Weeks!P55)</f>
        <v>0</v>
      </c>
      <c r="N299" s="46" t="str">
        <f t="shared" si="51"/>
        <v>-</v>
      </c>
      <c r="O299" s="45">
        <f t="shared" si="52"/>
        <v>0</v>
      </c>
      <c r="P299" s="41">
        <f>IF(ISTEXT(C299),#REF!,IF(ISNUMBER([4]CLOSURES!P35),TEXT([4]CLOSURES!P35,"ddmmm"),IF(C299&lt;=0,0,IF(I299&lt;0,0,IF(AND(C299&gt;0,O299&lt;=0),"&gt;99",IF(I299/O299&gt;100,"&gt;99",MAX(0,I299/O299-2)))))))</f>
        <v>0</v>
      </c>
      <c r="R299" s="185"/>
    </row>
    <row r="300" spans="2:254" s="191" customFormat="1" hidden="1" x14ac:dyDescent="0.2">
      <c r="B300" s="49" t="s">
        <v>89</v>
      </c>
      <c r="C300" s="42">
        <f>[4]quotas!P78</f>
        <v>0</v>
      </c>
      <c r="D300" s="45">
        <f>[4]quotas!P78-[4]quotas!P118</f>
        <v>0</v>
      </c>
      <c r="E300" s="45"/>
      <c r="F300" s="71">
        <f>[4]quotas!S78</f>
        <v>0</v>
      </c>
      <c r="G300" s="45" t="e">
        <f>IF(#REF!="*","*",[4]Cumulative!R85)</f>
        <v>#REF!</v>
      </c>
      <c r="H300" s="46" t="str">
        <f>IF(C300="*","*",IF(C300&gt;0,#REF!/C300*100,"-"))</f>
        <v>-</v>
      </c>
      <c r="I300" s="44" t="e">
        <f>IF(C300="*","*",C300-#REF!)</f>
        <v>#REF!</v>
      </c>
      <c r="J300" s="45">
        <f>IF(C300="*","*",[4]Weeks!P152-[4]Weeks!P192)</f>
        <v>0</v>
      </c>
      <c r="K300" s="45">
        <f>IF(C300="*","*",[4]Weeks!P112-[4]Weeks!P152)</f>
        <v>0</v>
      </c>
      <c r="L300" s="45">
        <f>IF(C300="*","*",[4]Weeks!P72-[4]Weeks!P112)</f>
        <v>0</v>
      </c>
      <c r="M300" s="45">
        <f>IF(C300="*","*",[4]Weeks!P32-[4]Weeks!P72)</f>
        <v>0</v>
      </c>
      <c r="N300" s="46" t="str">
        <f t="shared" si="51"/>
        <v>-</v>
      </c>
      <c r="O300" s="45">
        <f t="shared" si="52"/>
        <v>0</v>
      </c>
      <c r="P300" s="41">
        <f>IF(ISTEXT(C300),#REF!,IF(ISNUMBER([4]CLOSURES!P39),TEXT([4]CLOSURES!P39,"ddmmm"),IF(C300&lt;=0,0,IF(I300&lt;0,0,IF(AND(C300&gt;0,O300&lt;=0),"&gt;99",IF(I300/O300&gt;100,"&gt;99",MAX(0,I300/O300-2)))))))</f>
        <v>0</v>
      </c>
      <c r="R300" s="185"/>
    </row>
    <row r="301" spans="2:254" s="191" customFormat="1" hidden="1" x14ac:dyDescent="0.2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5"/>
    </row>
    <row r="302" spans="2:254" s="191" customFormat="1" hidden="1" x14ac:dyDescent="0.2">
      <c r="B302" s="208" t="s">
        <v>91</v>
      </c>
      <c r="C302" s="50">
        <f>[4]PELAGIC!P18</f>
        <v>0</v>
      </c>
      <c r="D302" s="52">
        <f>[4]quotas!P80-[4]quotas!P120</f>
        <v>0</v>
      </c>
      <c r="E302" s="52"/>
      <c r="F302" s="72" t="e">
        <f>[4]PELAGIC!S18</f>
        <v>#DIV/0!</v>
      </c>
      <c r="G302" s="52" t="e">
        <f>SUM(G278:G301)</f>
        <v>#REF!</v>
      </c>
      <c r="H302" s="58" t="str">
        <f>IF(C302="*","*",IF(C302&gt;0,#REF!/C302*100,"-"))</f>
        <v>-</v>
      </c>
      <c r="I302" s="51" t="e">
        <f>C302-#REF!</f>
        <v>#REF!</v>
      </c>
      <c r="J302" s="52">
        <f>SUM(J278:J301)</f>
        <v>0</v>
      </c>
      <c r="K302" s="52">
        <f>SUM(K278:K301)</f>
        <v>0</v>
      </c>
      <c r="L302" s="52">
        <f>SUM(L278:L301)</f>
        <v>0</v>
      </c>
      <c r="M302" s="52" t="e">
        <f>SUM(M278:M301)</f>
        <v>#VALUE!</v>
      </c>
      <c r="N302" s="58" t="str">
        <f>IF(C302="*","*",IF(C302&gt;0,M302/C302*100,"-"))</f>
        <v>-</v>
      </c>
      <c r="O302" s="52" t="e">
        <f>IF(C302="*","*",SUM(J302:M302)/4)</f>
        <v>#VALUE!</v>
      </c>
      <c r="P302" s="54">
        <f>IF(ISTEXT(C302),#REF!,IF(ISNUMBER([4]CLOSURES!#REF!),TEXT([4]CLOSURES!#REF!,"ddmmm"),IF(C302&lt;=0,0,IF(I302&lt;0,0,IF(AND(C302&gt;0,O302&lt;=0),"&gt;99",IF(I302/O302&gt;100,"&gt;99",MAX(0,I302/O302-2)))))))</f>
        <v>0</v>
      </c>
      <c r="R302" s="185"/>
    </row>
    <row r="303" spans="2:254" ht="10.7" hidden="1" customHeight="1" x14ac:dyDescent="0.2">
      <c r="B303" s="198"/>
      <c r="C303" s="198"/>
      <c r="D303" s="198"/>
      <c r="E303" s="198"/>
      <c r="F303" s="199"/>
      <c r="G303" s="198"/>
      <c r="H303" s="198"/>
      <c r="I303" s="199"/>
      <c r="J303" s="198"/>
      <c r="K303" s="198"/>
      <c r="L303" s="198"/>
      <c r="M303" s="198"/>
      <c r="N303" s="201"/>
      <c r="O303" s="198"/>
      <c r="P303" s="201"/>
      <c r="Q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198"/>
      <c r="CF303" s="198"/>
      <c r="CG303" s="198"/>
      <c r="CH303" s="198"/>
      <c r="CI303" s="198"/>
      <c r="CJ303" s="198"/>
      <c r="CK303" s="198"/>
      <c r="CL303" s="198"/>
      <c r="CM303" s="198"/>
      <c r="CN303" s="198"/>
      <c r="CO303" s="198"/>
      <c r="CP303" s="198"/>
      <c r="CQ303" s="198"/>
      <c r="CR303" s="198"/>
      <c r="CS303" s="198"/>
      <c r="CT303" s="198"/>
      <c r="CU303" s="198"/>
      <c r="CV303" s="198"/>
      <c r="CW303" s="198"/>
      <c r="CX303" s="198"/>
      <c r="CY303" s="198"/>
      <c r="CZ303" s="198"/>
      <c r="DA303" s="198"/>
      <c r="DB303" s="198"/>
      <c r="DC303" s="198"/>
      <c r="DD303" s="198"/>
      <c r="DE303" s="198"/>
      <c r="DF303" s="198"/>
      <c r="DG303" s="198"/>
      <c r="DH303" s="198"/>
      <c r="DI303" s="198"/>
      <c r="DJ303" s="198"/>
      <c r="DK303" s="198"/>
      <c r="DL303" s="198"/>
      <c r="DM303" s="198"/>
      <c r="DN303" s="198"/>
      <c r="DO303" s="198"/>
      <c r="DP303" s="198"/>
      <c r="DQ303" s="198"/>
      <c r="DR303" s="198"/>
      <c r="DS303" s="198"/>
      <c r="DT303" s="198"/>
      <c r="DU303" s="198"/>
      <c r="DV303" s="198"/>
      <c r="DW303" s="198"/>
      <c r="DX303" s="198"/>
      <c r="DY303" s="198"/>
      <c r="DZ303" s="198"/>
      <c r="EA303" s="198"/>
      <c r="EB303" s="198"/>
      <c r="EC303" s="198"/>
      <c r="ED303" s="198"/>
      <c r="EE303" s="198"/>
      <c r="EF303" s="198"/>
      <c r="EG303" s="198"/>
      <c r="EH303" s="198"/>
      <c r="EI303" s="198"/>
      <c r="EJ303" s="198"/>
      <c r="EK303" s="198"/>
      <c r="EL303" s="198"/>
      <c r="EM303" s="198"/>
      <c r="EN303" s="198"/>
      <c r="EO303" s="198"/>
      <c r="EP303" s="198"/>
      <c r="EQ303" s="198"/>
      <c r="ER303" s="198"/>
      <c r="ES303" s="198"/>
      <c r="ET303" s="198"/>
      <c r="EU303" s="198"/>
      <c r="EV303" s="198"/>
      <c r="EW303" s="198"/>
      <c r="EX303" s="198"/>
      <c r="EY303" s="198"/>
      <c r="EZ303" s="198"/>
      <c r="FA303" s="198"/>
      <c r="FB303" s="198"/>
      <c r="FC303" s="198"/>
      <c r="FD303" s="198"/>
      <c r="FE303" s="198"/>
      <c r="FF303" s="198"/>
      <c r="FG303" s="198"/>
      <c r="FH303" s="198"/>
      <c r="FI303" s="198"/>
      <c r="FJ303" s="198"/>
      <c r="FK303" s="198"/>
      <c r="FL303" s="198"/>
      <c r="FM303" s="198"/>
      <c r="FN303" s="198"/>
      <c r="FO303" s="198"/>
      <c r="FP303" s="198"/>
      <c r="FQ303" s="198"/>
      <c r="FR303" s="198"/>
      <c r="FS303" s="198"/>
      <c r="FT303" s="198"/>
      <c r="FU303" s="198"/>
      <c r="FV303" s="198"/>
      <c r="FW303" s="198"/>
      <c r="FX303" s="198"/>
      <c r="FY303" s="198"/>
      <c r="FZ303" s="198"/>
      <c r="GA303" s="198"/>
      <c r="GB303" s="198"/>
      <c r="GC303" s="198"/>
      <c r="GD303" s="198"/>
      <c r="GE303" s="198"/>
      <c r="GF303" s="198"/>
      <c r="GG303" s="198"/>
      <c r="GH303" s="198"/>
      <c r="GI303" s="198"/>
      <c r="GJ303" s="198"/>
      <c r="GK303" s="198"/>
      <c r="GL303" s="198"/>
      <c r="GM303" s="198"/>
      <c r="GN303" s="198"/>
      <c r="GO303" s="198"/>
      <c r="GP303" s="198"/>
      <c r="GQ303" s="198"/>
      <c r="GR303" s="198"/>
      <c r="GS303" s="198"/>
      <c r="GT303" s="198"/>
      <c r="GU303" s="198"/>
      <c r="GV303" s="198"/>
      <c r="GW303" s="198"/>
      <c r="GX303" s="198"/>
      <c r="GY303" s="198"/>
      <c r="GZ303" s="198"/>
      <c r="HA303" s="198"/>
      <c r="HB303" s="198"/>
      <c r="HC303" s="198"/>
      <c r="HD303" s="198"/>
      <c r="HE303" s="198"/>
      <c r="HF303" s="198"/>
      <c r="HG303" s="198"/>
      <c r="HH303" s="198"/>
      <c r="HI303" s="198"/>
      <c r="HJ303" s="198"/>
      <c r="HK303" s="198"/>
      <c r="HL303" s="198"/>
      <c r="HM303" s="198"/>
      <c r="HN303" s="198"/>
      <c r="HO303" s="198"/>
      <c r="HP303" s="198"/>
      <c r="HQ303" s="198"/>
      <c r="HR303" s="198"/>
      <c r="HS303" s="198"/>
      <c r="HT303" s="198"/>
      <c r="HU303" s="198"/>
      <c r="HV303" s="198"/>
      <c r="HW303" s="198"/>
      <c r="HX303" s="198"/>
      <c r="HY303" s="198"/>
      <c r="HZ303" s="198"/>
      <c r="IA303" s="198"/>
      <c r="IB303" s="198"/>
      <c r="IC303" s="198"/>
      <c r="ID303" s="198"/>
      <c r="IE303" s="198"/>
      <c r="IF303" s="198"/>
      <c r="IG303" s="198"/>
      <c r="IH303" s="198"/>
      <c r="II303" s="198"/>
      <c r="IJ303" s="198"/>
      <c r="IK303" s="198"/>
      <c r="IL303" s="198"/>
      <c r="IM303" s="198"/>
      <c r="IN303" s="198"/>
      <c r="IO303" s="198"/>
      <c r="IP303" s="198"/>
      <c r="IQ303" s="198"/>
      <c r="IR303" s="198"/>
      <c r="IS303" s="198"/>
      <c r="IT303" s="198"/>
    </row>
    <row r="304" spans="2:254" ht="10.7" hidden="1" customHeight="1" x14ac:dyDescent="0.2">
      <c r="B304" s="198"/>
      <c r="C304" s="191"/>
      <c r="D304" s="191"/>
      <c r="E304" s="191"/>
      <c r="F304" s="192"/>
      <c r="G304" s="191"/>
      <c r="H304" s="191"/>
      <c r="I304" s="192"/>
      <c r="J304" s="191"/>
      <c r="K304" s="191"/>
      <c r="L304" s="191"/>
      <c r="M304" s="191"/>
      <c r="N304" s="194"/>
      <c r="O304" s="191"/>
      <c r="P304" s="194"/>
      <c r="Q304" s="191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S188"/>
  <sheetViews>
    <sheetView workbookViewId="0"/>
  </sheetViews>
  <sheetFormatPr defaultRowHeight="12.75" x14ac:dyDescent="0.2"/>
  <cols>
    <col min="1" max="1" width="16.85546875" bestFit="1" customWidth="1"/>
    <col min="2" max="2" width="17.28515625" customWidth="1"/>
    <col min="3" max="3" width="13.28515625" customWidth="1"/>
    <col min="16" max="16" width="11.7109375" bestFit="1" customWidth="1"/>
    <col min="17" max="17" width="18" bestFit="1" customWidth="1"/>
    <col min="18" max="18" width="91.140625" bestFit="1" customWidth="1"/>
  </cols>
  <sheetData>
    <row r="1" spans="1:19" x14ac:dyDescent="0.2">
      <c r="R1" s="227"/>
      <c r="S1">
        <v>1</v>
      </c>
    </row>
    <row r="2" spans="1:19" x14ac:dyDescent="0.2">
      <c r="S2">
        <v>0.6</v>
      </c>
    </row>
    <row r="3" spans="1:19" x14ac:dyDescent="0.2">
      <c r="C3" s="228" t="s">
        <v>158</v>
      </c>
    </row>
    <row r="4" spans="1:19" x14ac:dyDescent="0.2">
      <c r="B4" t="s">
        <v>159</v>
      </c>
      <c r="C4" t="s">
        <v>160</v>
      </c>
      <c r="D4" t="s">
        <v>161</v>
      </c>
    </row>
    <row r="5" spans="1:19" x14ac:dyDescent="0.2">
      <c r="A5" t="s">
        <v>62</v>
      </c>
    </row>
    <row r="6" spans="1:19" x14ac:dyDescent="0.2">
      <c r="A6" t="s">
        <v>63</v>
      </c>
    </row>
    <row r="7" spans="1:19" x14ac:dyDescent="0.2">
      <c r="A7" t="s">
        <v>65</v>
      </c>
    </row>
    <row r="8" spans="1:19" x14ac:dyDescent="0.2">
      <c r="A8" t="s">
        <v>66</v>
      </c>
    </row>
    <row r="9" spans="1:19" x14ac:dyDescent="0.2">
      <c r="A9" t="s">
        <v>67</v>
      </c>
    </row>
    <row r="10" spans="1:19" x14ac:dyDescent="0.2">
      <c r="A10" t="s">
        <v>68</v>
      </c>
    </row>
    <row r="11" spans="1:19" x14ac:dyDescent="0.2">
      <c r="A11" t="s">
        <v>69</v>
      </c>
    </row>
    <row r="12" spans="1:19" x14ac:dyDescent="0.2">
      <c r="A12" t="s">
        <v>70</v>
      </c>
    </row>
    <row r="13" spans="1:19" x14ac:dyDescent="0.2">
      <c r="A13" t="s">
        <v>71</v>
      </c>
    </row>
    <row r="14" spans="1:19" x14ac:dyDescent="0.2">
      <c r="A14" t="s">
        <v>72</v>
      </c>
    </row>
    <row r="15" spans="1:19" x14ac:dyDescent="0.2">
      <c r="A15" t="s">
        <v>73</v>
      </c>
    </row>
    <row r="17" spans="1:1" x14ac:dyDescent="0.2">
      <c r="A17" t="s">
        <v>74</v>
      </c>
    </row>
    <row r="18" spans="1:1" x14ac:dyDescent="0.2">
      <c r="A18" t="s">
        <v>75</v>
      </c>
    </row>
    <row r="19" spans="1:1" x14ac:dyDescent="0.2">
      <c r="A19" t="s">
        <v>157</v>
      </c>
    </row>
    <row r="20" spans="1:1" x14ac:dyDescent="0.2">
      <c r="A20" t="s">
        <v>76</v>
      </c>
    </row>
    <row r="21" spans="1:1" x14ac:dyDescent="0.2">
      <c r="A21" t="s">
        <v>77</v>
      </c>
    </row>
    <row r="22" spans="1:1" x14ac:dyDescent="0.2">
      <c r="A22" t="s">
        <v>78</v>
      </c>
    </row>
    <row r="23" spans="1:1" x14ac:dyDescent="0.2">
      <c r="A23" t="s">
        <v>79</v>
      </c>
    </row>
    <row r="24" spans="1:1" x14ac:dyDescent="0.2">
      <c r="A24" t="s">
        <v>80</v>
      </c>
    </row>
    <row r="25" spans="1:1" x14ac:dyDescent="0.2">
      <c r="A25" t="s">
        <v>81</v>
      </c>
    </row>
    <row r="26" spans="1:1" x14ac:dyDescent="0.2">
      <c r="A26" t="s">
        <v>82</v>
      </c>
    </row>
    <row r="27" spans="1:1" x14ac:dyDescent="0.2">
      <c r="A27" t="s">
        <v>83</v>
      </c>
    </row>
    <row r="28" spans="1:1" x14ac:dyDescent="0.2">
      <c r="A28" t="s">
        <v>84</v>
      </c>
    </row>
    <row r="29" spans="1:1" x14ac:dyDescent="0.2">
      <c r="A29" t="s">
        <v>85</v>
      </c>
    </row>
    <row r="30" spans="1:1" x14ac:dyDescent="0.2">
      <c r="A30" t="s">
        <v>86</v>
      </c>
    </row>
    <row r="32" spans="1:1" x14ac:dyDescent="0.2">
      <c r="A32" t="s">
        <v>87</v>
      </c>
    </row>
    <row r="33" spans="1:4" x14ac:dyDescent="0.2">
      <c r="A33" t="s">
        <v>88</v>
      </c>
    </row>
    <row r="34" spans="1:4" x14ac:dyDescent="0.2">
      <c r="A34" t="s">
        <v>89</v>
      </c>
    </row>
    <row r="36" spans="1:4" x14ac:dyDescent="0.2">
      <c r="A36" t="s">
        <v>90</v>
      </c>
    </row>
    <row r="37" spans="1:4" x14ac:dyDescent="0.2">
      <c r="A37" t="s">
        <v>91</v>
      </c>
    </row>
    <row r="41" spans="1:4" x14ac:dyDescent="0.2">
      <c r="C41" s="228" t="s">
        <v>162</v>
      </c>
    </row>
    <row r="42" spans="1:4" x14ac:dyDescent="0.2">
      <c r="B42" t="s">
        <v>159</v>
      </c>
      <c r="C42" t="s">
        <v>160</v>
      </c>
      <c r="D42" t="s">
        <v>161</v>
      </c>
    </row>
    <row r="43" spans="1:4" x14ac:dyDescent="0.2">
      <c r="A43" t="s">
        <v>62</v>
      </c>
    </row>
    <row r="44" spans="1:4" x14ac:dyDescent="0.2">
      <c r="A44" t="s">
        <v>63</v>
      </c>
    </row>
    <row r="45" spans="1:4" x14ac:dyDescent="0.2">
      <c r="A45" t="s">
        <v>65</v>
      </c>
    </row>
    <row r="46" spans="1:4" x14ac:dyDescent="0.2">
      <c r="A46" t="s">
        <v>66</v>
      </c>
    </row>
    <row r="47" spans="1:4" x14ac:dyDescent="0.2">
      <c r="A47" t="s">
        <v>67</v>
      </c>
    </row>
    <row r="48" spans="1:4" x14ac:dyDescent="0.2">
      <c r="A48" t="s">
        <v>68</v>
      </c>
    </row>
    <row r="49" spans="1:1" x14ac:dyDescent="0.2">
      <c r="A49" t="s">
        <v>69</v>
      </c>
    </row>
    <row r="50" spans="1:1" x14ac:dyDescent="0.2">
      <c r="A50" t="s">
        <v>70</v>
      </c>
    </row>
    <row r="51" spans="1:1" x14ac:dyDescent="0.2">
      <c r="A51" t="s">
        <v>71</v>
      </c>
    </row>
    <row r="52" spans="1:1" x14ac:dyDescent="0.2">
      <c r="A52" t="s">
        <v>72</v>
      </c>
    </row>
    <row r="53" spans="1:1" x14ac:dyDescent="0.2">
      <c r="A53" t="s">
        <v>73</v>
      </c>
    </row>
    <row r="55" spans="1:1" x14ac:dyDescent="0.2">
      <c r="A55" t="s">
        <v>74</v>
      </c>
    </row>
    <row r="56" spans="1:1" x14ac:dyDescent="0.2">
      <c r="A56" t="s">
        <v>75</v>
      </c>
    </row>
    <row r="57" spans="1:1" x14ac:dyDescent="0.2">
      <c r="A57" t="s">
        <v>157</v>
      </c>
    </row>
    <row r="58" spans="1:1" x14ac:dyDescent="0.2">
      <c r="A58" t="s">
        <v>76</v>
      </c>
    </row>
    <row r="59" spans="1:1" x14ac:dyDescent="0.2">
      <c r="A59" t="s">
        <v>77</v>
      </c>
    </row>
    <row r="60" spans="1:1" x14ac:dyDescent="0.2">
      <c r="A60" t="s">
        <v>78</v>
      </c>
    </row>
    <row r="61" spans="1:1" x14ac:dyDescent="0.2">
      <c r="A61" t="s">
        <v>79</v>
      </c>
    </row>
    <row r="62" spans="1:1" x14ac:dyDescent="0.2">
      <c r="A62" t="s">
        <v>80</v>
      </c>
    </row>
    <row r="63" spans="1:1" x14ac:dyDescent="0.2">
      <c r="A63" t="s">
        <v>81</v>
      </c>
    </row>
    <row r="64" spans="1:1" x14ac:dyDescent="0.2">
      <c r="A64" t="s">
        <v>82</v>
      </c>
    </row>
    <row r="65" spans="1:3" x14ac:dyDescent="0.2">
      <c r="A65" t="s">
        <v>83</v>
      </c>
    </row>
    <row r="66" spans="1:3" x14ac:dyDescent="0.2">
      <c r="A66" t="s">
        <v>84</v>
      </c>
    </row>
    <row r="67" spans="1:3" x14ac:dyDescent="0.2">
      <c r="A67" t="s">
        <v>85</v>
      </c>
    </row>
    <row r="68" spans="1:3" x14ac:dyDescent="0.2">
      <c r="A68" t="s">
        <v>86</v>
      </c>
    </row>
    <row r="70" spans="1:3" x14ac:dyDescent="0.2">
      <c r="A70" t="s">
        <v>87</v>
      </c>
    </row>
    <row r="71" spans="1:3" x14ac:dyDescent="0.2">
      <c r="A71" t="s">
        <v>88</v>
      </c>
    </row>
    <row r="72" spans="1:3" x14ac:dyDescent="0.2">
      <c r="A72" t="s">
        <v>89</v>
      </c>
    </row>
    <row r="74" spans="1:3" x14ac:dyDescent="0.2">
      <c r="A74" t="s">
        <v>90</v>
      </c>
    </row>
    <row r="75" spans="1:3" x14ac:dyDescent="0.2">
      <c r="A75" t="s">
        <v>91</v>
      </c>
    </row>
    <row r="78" spans="1:3" x14ac:dyDescent="0.2">
      <c r="C78" s="229" t="s">
        <v>163</v>
      </c>
    </row>
    <row r="79" spans="1:3" x14ac:dyDescent="0.2">
      <c r="B79" t="s">
        <v>159</v>
      </c>
      <c r="C79" t="s">
        <v>160</v>
      </c>
    </row>
    <row r="80" spans="1:3" x14ac:dyDescent="0.2">
      <c r="A80" t="s">
        <v>62</v>
      </c>
    </row>
    <row r="81" spans="1:1" x14ac:dyDescent="0.2">
      <c r="A81" t="s">
        <v>63</v>
      </c>
    </row>
    <row r="82" spans="1:1" x14ac:dyDescent="0.2">
      <c r="A82" t="s">
        <v>65</v>
      </c>
    </row>
    <row r="83" spans="1:1" x14ac:dyDescent="0.2">
      <c r="A83" t="s">
        <v>66</v>
      </c>
    </row>
    <row r="84" spans="1:1" x14ac:dyDescent="0.2">
      <c r="A84" t="s">
        <v>67</v>
      </c>
    </row>
    <row r="85" spans="1:1" x14ac:dyDescent="0.2">
      <c r="A85" t="s">
        <v>68</v>
      </c>
    </row>
    <row r="86" spans="1:1" x14ac:dyDescent="0.2">
      <c r="A86" t="s">
        <v>69</v>
      </c>
    </row>
    <row r="87" spans="1:1" x14ac:dyDescent="0.2">
      <c r="A87" t="s">
        <v>70</v>
      </c>
    </row>
    <row r="88" spans="1:1" x14ac:dyDescent="0.2">
      <c r="A88" t="s">
        <v>71</v>
      </c>
    </row>
    <row r="89" spans="1:1" x14ac:dyDescent="0.2">
      <c r="A89" t="s">
        <v>72</v>
      </c>
    </row>
    <row r="90" spans="1:1" x14ac:dyDescent="0.2">
      <c r="A90" t="s">
        <v>73</v>
      </c>
    </row>
    <row r="92" spans="1:1" x14ac:dyDescent="0.2">
      <c r="A92" t="s">
        <v>74</v>
      </c>
    </row>
    <row r="93" spans="1:1" x14ac:dyDescent="0.2">
      <c r="A93" t="s">
        <v>75</v>
      </c>
    </row>
    <row r="94" spans="1:1" x14ac:dyDescent="0.2">
      <c r="A94" t="s">
        <v>157</v>
      </c>
    </row>
    <row r="95" spans="1:1" x14ac:dyDescent="0.2">
      <c r="A95" t="s">
        <v>76</v>
      </c>
    </row>
    <row r="96" spans="1:1" x14ac:dyDescent="0.2">
      <c r="A96" t="s">
        <v>77</v>
      </c>
    </row>
    <row r="97" spans="1:1" x14ac:dyDescent="0.2">
      <c r="A97" t="s">
        <v>78</v>
      </c>
    </row>
    <row r="98" spans="1:1" x14ac:dyDescent="0.2">
      <c r="A98" t="s">
        <v>79</v>
      </c>
    </row>
    <row r="99" spans="1:1" x14ac:dyDescent="0.2">
      <c r="A99" t="s">
        <v>80</v>
      </c>
    </row>
    <row r="100" spans="1:1" x14ac:dyDescent="0.2">
      <c r="A100" t="s">
        <v>81</v>
      </c>
    </row>
    <row r="101" spans="1:1" x14ac:dyDescent="0.2">
      <c r="A101" t="s">
        <v>82</v>
      </c>
    </row>
    <row r="102" spans="1:1" x14ac:dyDescent="0.2">
      <c r="A102" t="s">
        <v>83</v>
      </c>
    </row>
    <row r="103" spans="1:1" x14ac:dyDescent="0.2">
      <c r="A103" t="s">
        <v>84</v>
      </c>
    </row>
    <row r="104" spans="1:1" x14ac:dyDescent="0.2">
      <c r="A104" t="s">
        <v>85</v>
      </c>
    </row>
    <row r="105" spans="1:1" x14ac:dyDescent="0.2">
      <c r="A105" t="s">
        <v>86</v>
      </c>
    </row>
    <row r="107" spans="1:1" x14ac:dyDescent="0.2">
      <c r="A107" t="s">
        <v>87</v>
      </c>
    </row>
    <row r="108" spans="1:1" x14ac:dyDescent="0.2">
      <c r="A108" t="s">
        <v>88</v>
      </c>
    </row>
    <row r="109" spans="1:1" x14ac:dyDescent="0.2">
      <c r="A109" t="s">
        <v>89</v>
      </c>
    </row>
    <row r="111" spans="1:1" x14ac:dyDescent="0.2">
      <c r="A111" t="s">
        <v>90</v>
      </c>
    </row>
    <row r="112" spans="1:1" x14ac:dyDescent="0.2">
      <c r="A112" t="s">
        <v>91</v>
      </c>
    </row>
    <row r="116" spans="1:3" x14ac:dyDescent="0.2">
      <c r="C116" s="228" t="s">
        <v>164</v>
      </c>
    </row>
    <row r="117" spans="1:3" x14ac:dyDescent="0.2">
      <c r="B117" t="s">
        <v>159</v>
      </c>
      <c r="C117" t="s">
        <v>160</v>
      </c>
    </row>
    <row r="118" spans="1:3" x14ac:dyDescent="0.2">
      <c r="A118" t="s">
        <v>62</v>
      </c>
    </row>
    <row r="119" spans="1:3" x14ac:dyDescent="0.2">
      <c r="A119" t="s">
        <v>63</v>
      </c>
    </row>
    <row r="120" spans="1:3" x14ac:dyDescent="0.2">
      <c r="A120" t="s">
        <v>65</v>
      </c>
    </row>
    <row r="121" spans="1:3" x14ac:dyDescent="0.2">
      <c r="A121" t="s">
        <v>66</v>
      </c>
    </row>
    <row r="122" spans="1:3" x14ac:dyDescent="0.2">
      <c r="A122" t="s">
        <v>67</v>
      </c>
    </row>
    <row r="123" spans="1:3" x14ac:dyDescent="0.2">
      <c r="A123" t="s">
        <v>68</v>
      </c>
    </row>
    <row r="124" spans="1:3" x14ac:dyDescent="0.2">
      <c r="A124" t="s">
        <v>69</v>
      </c>
    </row>
    <row r="125" spans="1:3" x14ac:dyDescent="0.2">
      <c r="A125" t="s">
        <v>70</v>
      </c>
    </row>
    <row r="126" spans="1:3" x14ac:dyDescent="0.2">
      <c r="A126" t="s">
        <v>71</v>
      </c>
    </row>
    <row r="127" spans="1:3" x14ac:dyDescent="0.2">
      <c r="A127" t="s">
        <v>72</v>
      </c>
    </row>
    <row r="128" spans="1:3" x14ac:dyDescent="0.2">
      <c r="A128" t="s">
        <v>73</v>
      </c>
    </row>
    <row r="130" spans="1:1" x14ac:dyDescent="0.2">
      <c r="A130" t="s">
        <v>74</v>
      </c>
    </row>
    <row r="131" spans="1:1" x14ac:dyDescent="0.2">
      <c r="A131" t="s">
        <v>75</v>
      </c>
    </row>
    <row r="132" spans="1:1" x14ac:dyDescent="0.2">
      <c r="A132" t="s">
        <v>157</v>
      </c>
    </row>
    <row r="133" spans="1:1" x14ac:dyDescent="0.2">
      <c r="A133" t="s">
        <v>76</v>
      </c>
    </row>
    <row r="134" spans="1:1" x14ac:dyDescent="0.2">
      <c r="A134" t="s">
        <v>77</v>
      </c>
    </row>
    <row r="135" spans="1:1" x14ac:dyDescent="0.2">
      <c r="A135" t="s">
        <v>78</v>
      </c>
    </row>
    <row r="136" spans="1:1" x14ac:dyDescent="0.2">
      <c r="A136" t="s">
        <v>79</v>
      </c>
    </row>
    <row r="137" spans="1:1" x14ac:dyDescent="0.2">
      <c r="A137" t="s">
        <v>80</v>
      </c>
    </row>
    <row r="138" spans="1:1" x14ac:dyDescent="0.2">
      <c r="A138" t="s">
        <v>81</v>
      </c>
    </row>
    <row r="139" spans="1:1" x14ac:dyDescent="0.2">
      <c r="A139" t="s">
        <v>82</v>
      </c>
    </row>
    <row r="140" spans="1:1" x14ac:dyDescent="0.2">
      <c r="A140" t="s">
        <v>83</v>
      </c>
    </row>
    <row r="141" spans="1:1" x14ac:dyDescent="0.2">
      <c r="A141" t="s">
        <v>84</v>
      </c>
    </row>
    <row r="142" spans="1:1" x14ac:dyDescent="0.2">
      <c r="A142" t="s">
        <v>85</v>
      </c>
    </row>
    <row r="143" spans="1:1" x14ac:dyDescent="0.2">
      <c r="A143" t="s">
        <v>86</v>
      </c>
    </row>
    <row r="145" spans="1:3" x14ac:dyDescent="0.2">
      <c r="A145" t="s">
        <v>87</v>
      </c>
    </row>
    <row r="146" spans="1:3" x14ac:dyDescent="0.2">
      <c r="A146" t="s">
        <v>88</v>
      </c>
    </row>
    <row r="147" spans="1:3" x14ac:dyDescent="0.2">
      <c r="A147" t="s">
        <v>89</v>
      </c>
      <c r="C147">
        <v>300</v>
      </c>
    </row>
    <row r="149" spans="1:3" x14ac:dyDescent="0.2">
      <c r="A149" t="s">
        <v>90</v>
      </c>
    </row>
    <row r="150" spans="1:3" x14ac:dyDescent="0.2">
      <c r="A150" t="s">
        <v>91</v>
      </c>
    </row>
    <row r="154" spans="1:3" x14ac:dyDescent="0.2">
      <c r="C154" s="228" t="s">
        <v>165</v>
      </c>
    </row>
    <row r="155" spans="1:3" x14ac:dyDescent="0.2">
      <c r="B155" t="s">
        <v>159</v>
      </c>
      <c r="C155" t="s">
        <v>160</v>
      </c>
    </row>
    <row r="156" spans="1:3" x14ac:dyDescent="0.2">
      <c r="A156" t="s">
        <v>62</v>
      </c>
    </row>
    <row r="157" spans="1:3" x14ac:dyDescent="0.2">
      <c r="A157" t="s">
        <v>63</v>
      </c>
    </row>
    <row r="158" spans="1:3" x14ac:dyDescent="0.2">
      <c r="A158" t="s">
        <v>65</v>
      </c>
    </row>
    <row r="159" spans="1:3" x14ac:dyDescent="0.2">
      <c r="A159" t="s">
        <v>66</v>
      </c>
    </row>
    <row r="160" spans="1:3" x14ac:dyDescent="0.2">
      <c r="A160" t="s">
        <v>67</v>
      </c>
    </row>
    <row r="161" spans="1:1" x14ac:dyDescent="0.2">
      <c r="A161" t="s">
        <v>68</v>
      </c>
    </row>
    <row r="162" spans="1:1" x14ac:dyDescent="0.2">
      <c r="A162" t="s">
        <v>69</v>
      </c>
    </row>
    <row r="163" spans="1:1" x14ac:dyDescent="0.2">
      <c r="A163" t="s">
        <v>70</v>
      </c>
    </row>
    <row r="164" spans="1:1" x14ac:dyDescent="0.2">
      <c r="A164" t="s">
        <v>71</v>
      </c>
    </row>
    <row r="165" spans="1:1" x14ac:dyDescent="0.2">
      <c r="A165" t="s">
        <v>72</v>
      </c>
    </row>
    <row r="166" spans="1:1" x14ac:dyDescent="0.2">
      <c r="A166" t="s">
        <v>73</v>
      </c>
    </row>
    <row r="168" spans="1:1" x14ac:dyDescent="0.2">
      <c r="A168" t="s">
        <v>74</v>
      </c>
    </row>
    <row r="169" spans="1:1" x14ac:dyDescent="0.2">
      <c r="A169" t="s">
        <v>75</v>
      </c>
    </row>
    <row r="170" spans="1:1" x14ac:dyDescent="0.2">
      <c r="A170" t="s">
        <v>157</v>
      </c>
    </row>
    <row r="171" spans="1:1" x14ac:dyDescent="0.2">
      <c r="A171" t="s">
        <v>76</v>
      </c>
    </row>
    <row r="172" spans="1:1" x14ac:dyDescent="0.2">
      <c r="A172" t="s">
        <v>77</v>
      </c>
    </row>
    <row r="173" spans="1:1" x14ac:dyDescent="0.2">
      <c r="A173" t="s">
        <v>78</v>
      </c>
    </row>
    <row r="174" spans="1:1" x14ac:dyDescent="0.2">
      <c r="A174" t="s">
        <v>79</v>
      </c>
    </row>
    <row r="175" spans="1:1" x14ac:dyDescent="0.2">
      <c r="A175" t="s">
        <v>80</v>
      </c>
    </row>
    <row r="176" spans="1:1" x14ac:dyDescent="0.2">
      <c r="A176" t="s">
        <v>81</v>
      </c>
    </row>
    <row r="177" spans="1:1" x14ac:dyDescent="0.2">
      <c r="A177" t="s">
        <v>82</v>
      </c>
    </row>
    <row r="178" spans="1:1" x14ac:dyDescent="0.2">
      <c r="A178" t="s">
        <v>83</v>
      </c>
    </row>
    <row r="179" spans="1:1" x14ac:dyDescent="0.2">
      <c r="A179" t="s">
        <v>84</v>
      </c>
    </row>
    <row r="180" spans="1:1" x14ac:dyDescent="0.2">
      <c r="A180" t="s">
        <v>85</v>
      </c>
    </row>
    <row r="181" spans="1:1" x14ac:dyDescent="0.2">
      <c r="A181" t="s">
        <v>86</v>
      </c>
    </row>
    <row r="183" spans="1:1" x14ac:dyDescent="0.2">
      <c r="A183" t="s">
        <v>87</v>
      </c>
    </row>
    <row r="184" spans="1:1" x14ac:dyDescent="0.2">
      <c r="A184" t="s">
        <v>88</v>
      </c>
    </row>
    <row r="185" spans="1:1" x14ac:dyDescent="0.2">
      <c r="A185" t="s">
        <v>89</v>
      </c>
    </row>
    <row r="187" spans="1:1" x14ac:dyDescent="0.2">
      <c r="A187" t="s">
        <v>90</v>
      </c>
    </row>
    <row r="188" spans="1:1" x14ac:dyDescent="0.2">
      <c r="A188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PELAGIC</vt:lpstr>
      <vt:lpstr>New Sectoral</vt:lpstr>
      <vt:lpstr>Pel Non PO </vt:lpstr>
      <vt:lpstr>Spe Cond stocks</vt:lpstr>
      <vt:lpstr>'New Sectoral'!Print_Area</vt:lpstr>
      <vt:lpstr>PELAGIC!Print_Area</vt:lpstr>
      <vt:lpstr>'New Sectoral'!Print_Titles</vt:lpstr>
      <vt:lpstr>'Pel Non PO 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Etridge, Callum (MMO)</cp:lastModifiedBy>
  <cp:lastPrinted>2019-12-11T10:01:57Z</cp:lastPrinted>
  <dcterms:created xsi:type="dcterms:W3CDTF">2011-07-06T13:58:32Z</dcterms:created>
  <dcterms:modified xsi:type="dcterms:W3CDTF">2021-10-20T14:59:03Z</dcterms:modified>
</cp:coreProperties>
</file>