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H222DF\x955467$\Weekly Spreadsheets\"/>
    </mc:Choice>
  </mc:AlternateContent>
  <xr:revisionPtr revIDLastSave="0" documentId="8_{A3C58DFE-7C9A-4E6B-9D81-F64C8F8C93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ELAGIC" sheetId="182" r:id="rId1"/>
    <sheet name="New Sectoral" sheetId="183" r:id="rId2"/>
    <sheet name="Pel Non PO " sheetId="184" r:id="rId3"/>
    <sheet name="Spe Cond stocks" sheetId="18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 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2" i="184" l="1"/>
  <c r="D302" i="184"/>
  <c r="C302" i="184"/>
  <c r="P302" i="184" s="1"/>
  <c r="G300" i="184"/>
  <c r="F300" i="184"/>
  <c r="D300" i="184"/>
  <c r="C300" i="184"/>
  <c r="M300" i="184" s="1"/>
  <c r="P299" i="184"/>
  <c r="K299" i="184"/>
  <c r="G299" i="184"/>
  <c r="F299" i="184"/>
  <c r="D299" i="184"/>
  <c r="C299" i="184"/>
  <c r="M298" i="184"/>
  <c r="L298" i="184"/>
  <c r="I298" i="184"/>
  <c r="G298" i="184"/>
  <c r="F298" i="184"/>
  <c r="D298" i="184"/>
  <c r="C298" i="184"/>
  <c r="M297" i="184"/>
  <c r="J297" i="184"/>
  <c r="I297" i="184"/>
  <c r="G297" i="184"/>
  <c r="F297" i="184"/>
  <c r="D297" i="184"/>
  <c r="C297" i="184"/>
  <c r="P297" i="184" s="1"/>
  <c r="M296" i="184"/>
  <c r="K296" i="184"/>
  <c r="J296" i="184"/>
  <c r="I296" i="184"/>
  <c r="G296" i="184"/>
  <c r="F296" i="184"/>
  <c r="D296" i="184"/>
  <c r="C296" i="184"/>
  <c r="P296" i="184" s="1"/>
  <c r="G295" i="184"/>
  <c r="F295" i="184"/>
  <c r="D295" i="184"/>
  <c r="C295" i="184"/>
  <c r="G294" i="184"/>
  <c r="F294" i="184"/>
  <c r="D294" i="184"/>
  <c r="C294" i="184"/>
  <c r="I294" i="184" s="1"/>
  <c r="N293" i="184"/>
  <c r="G293" i="184"/>
  <c r="F293" i="184"/>
  <c r="D293" i="184"/>
  <c r="C293" i="184"/>
  <c r="P293" i="184" s="1"/>
  <c r="G292" i="184"/>
  <c r="F292" i="184"/>
  <c r="D292" i="184"/>
  <c r="C292" i="184"/>
  <c r="P292" i="184" s="1"/>
  <c r="G291" i="184"/>
  <c r="F291" i="184"/>
  <c r="D291" i="184"/>
  <c r="C291" i="184"/>
  <c r="M290" i="184"/>
  <c r="L290" i="184"/>
  <c r="I290" i="184"/>
  <c r="G290" i="184"/>
  <c r="F290" i="184"/>
  <c r="D290" i="184"/>
  <c r="C290" i="184"/>
  <c r="M289" i="184"/>
  <c r="J289" i="184"/>
  <c r="I289" i="184"/>
  <c r="G289" i="184"/>
  <c r="F289" i="184"/>
  <c r="D289" i="184"/>
  <c r="C289" i="184"/>
  <c r="P289" i="184" s="1"/>
  <c r="M288" i="184"/>
  <c r="K288" i="184"/>
  <c r="J288" i="184"/>
  <c r="I288" i="184"/>
  <c r="G288" i="184"/>
  <c r="F288" i="184"/>
  <c r="D288" i="184"/>
  <c r="C288" i="184"/>
  <c r="P288" i="184" s="1"/>
  <c r="P287" i="184"/>
  <c r="G287" i="184"/>
  <c r="F287" i="184"/>
  <c r="D287" i="184"/>
  <c r="C287" i="184"/>
  <c r="G286" i="184"/>
  <c r="F286" i="184"/>
  <c r="D286" i="184"/>
  <c r="C286" i="184"/>
  <c r="L286" i="184" s="1"/>
  <c r="G285" i="184"/>
  <c r="F285" i="184"/>
  <c r="D285" i="184"/>
  <c r="C285" i="184"/>
  <c r="P285" i="184" s="1"/>
  <c r="K284" i="184"/>
  <c r="I284" i="184"/>
  <c r="G284" i="184"/>
  <c r="F284" i="184"/>
  <c r="D284" i="184"/>
  <c r="C284" i="184"/>
  <c r="P284" i="184" s="1"/>
  <c r="G283" i="184"/>
  <c r="F283" i="184"/>
  <c r="D283" i="184"/>
  <c r="C283" i="184"/>
  <c r="K283" i="184" s="1"/>
  <c r="M282" i="184"/>
  <c r="G282" i="184"/>
  <c r="F282" i="184"/>
  <c r="D282" i="184"/>
  <c r="C282" i="184"/>
  <c r="L282" i="184" s="1"/>
  <c r="M281" i="184"/>
  <c r="G281" i="184"/>
  <c r="F281" i="184"/>
  <c r="D281" i="184"/>
  <c r="C281" i="184"/>
  <c r="P281" i="184" s="1"/>
  <c r="M280" i="184"/>
  <c r="G280" i="184"/>
  <c r="F280" i="184"/>
  <c r="D280" i="184"/>
  <c r="C280" i="184"/>
  <c r="P280" i="184" s="1"/>
  <c r="G279" i="184"/>
  <c r="F279" i="184"/>
  <c r="D279" i="184"/>
  <c r="C279" i="184"/>
  <c r="M278" i="184"/>
  <c r="M302" i="184" s="1"/>
  <c r="L278" i="184"/>
  <c r="I278" i="184"/>
  <c r="G278" i="184"/>
  <c r="G302" i="184" s="1"/>
  <c r="F278" i="184"/>
  <c r="D278" i="184"/>
  <c r="C278" i="184"/>
  <c r="F268" i="184"/>
  <c r="D268" i="184"/>
  <c r="C268" i="184"/>
  <c r="P268" i="184" s="1"/>
  <c r="N266" i="184"/>
  <c r="G266" i="184"/>
  <c r="F266" i="184"/>
  <c r="D266" i="184"/>
  <c r="C266" i="184"/>
  <c r="P266" i="184" s="1"/>
  <c r="G265" i="184"/>
  <c r="F265" i="184"/>
  <c r="D265" i="184"/>
  <c r="C265" i="184"/>
  <c r="P265" i="184" s="1"/>
  <c r="G264" i="184"/>
  <c r="F264" i="184"/>
  <c r="D264" i="184"/>
  <c r="C264" i="184"/>
  <c r="L264" i="184" s="1"/>
  <c r="M263" i="184"/>
  <c r="L263" i="184"/>
  <c r="G263" i="184"/>
  <c r="F263" i="184"/>
  <c r="D263" i="184"/>
  <c r="C263" i="184"/>
  <c r="N262" i="184"/>
  <c r="M262" i="184"/>
  <c r="J262" i="184"/>
  <c r="I262" i="184"/>
  <c r="G262" i="184"/>
  <c r="F262" i="184"/>
  <c r="D262" i="184"/>
  <c r="C262" i="184"/>
  <c r="P262" i="184" s="1"/>
  <c r="N261" i="184"/>
  <c r="K261" i="184"/>
  <c r="J261" i="184"/>
  <c r="G261" i="184"/>
  <c r="F261" i="184"/>
  <c r="D261" i="184"/>
  <c r="C261" i="184"/>
  <c r="M261" i="184" s="1"/>
  <c r="G260" i="184"/>
  <c r="F260" i="184"/>
  <c r="D260" i="184"/>
  <c r="C260" i="184"/>
  <c r="P260" i="184" s="1"/>
  <c r="G259" i="184"/>
  <c r="F259" i="184"/>
  <c r="D259" i="184"/>
  <c r="C259" i="184"/>
  <c r="P259" i="184" s="1"/>
  <c r="M258" i="184"/>
  <c r="G258" i="184"/>
  <c r="F258" i="184"/>
  <c r="D258" i="184"/>
  <c r="C258" i="184"/>
  <c r="P258" i="184" s="1"/>
  <c r="N257" i="184"/>
  <c r="K257" i="184"/>
  <c r="G257" i="184"/>
  <c r="F257" i="184"/>
  <c r="D257" i="184"/>
  <c r="C257" i="184"/>
  <c r="M257" i="184" s="1"/>
  <c r="L256" i="184"/>
  <c r="K256" i="184"/>
  <c r="G256" i="184"/>
  <c r="F256" i="184"/>
  <c r="D256" i="184"/>
  <c r="C256" i="184"/>
  <c r="M255" i="184"/>
  <c r="L255" i="184"/>
  <c r="G255" i="184"/>
  <c r="F255" i="184"/>
  <c r="D255" i="184"/>
  <c r="C255" i="184"/>
  <c r="G254" i="184"/>
  <c r="F254" i="184"/>
  <c r="D254" i="184"/>
  <c r="C254" i="184"/>
  <c r="K254" i="184" s="1"/>
  <c r="M253" i="184"/>
  <c r="G253" i="184"/>
  <c r="F253" i="184"/>
  <c r="D253" i="184"/>
  <c r="C253" i="184"/>
  <c r="L253" i="184" s="1"/>
  <c r="K252" i="184"/>
  <c r="G252" i="184"/>
  <c r="F252" i="184"/>
  <c r="D252" i="184"/>
  <c r="C252" i="184"/>
  <c r="P252" i="184" s="1"/>
  <c r="N251" i="184"/>
  <c r="K251" i="184"/>
  <c r="G251" i="184"/>
  <c r="F251" i="184"/>
  <c r="D251" i="184"/>
  <c r="C251" i="184"/>
  <c r="M251" i="184" s="1"/>
  <c r="P250" i="184"/>
  <c r="G250" i="184"/>
  <c r="F250" i="184"/>
  <c r="D250" i="184"/>
  <c r="C250" i="184"/>
  <c r="M249" i="184"/>
  <c r="L249" i="184"/>
  <c r="I249" i="184"/>
  <c r="G249" i="184"/>
  <c r="F249" i="184"/>
  <c r="D249" i="184"/>
  <c r="C249" i="184"/>
  <c r="M248" i="184"/>
  <c r="K248" i="184"/>
  <c r="J248" i="184"/>
  <c r="I248" i="184"/>
  <c r="G248" i="184"/>
  <c r="F248" i="184"/>
  <c r="D248" i="184"/>
  <c r="C248" i="184"/>
  <c r="P248" i="184" s="1"/>
  <c r="N247" i="184"/>
  <c r="K247" i="184"/>
  <c r="J247" i="184"/>
  <c r="G247" i="184"/>
  <c r="F247" i="184"/>
  <c r="D247" i="184"/>
  <c r="C247" i="184"/>
  <c r="M247" i="184" s="1"/>
  <c r="G246" i="184"/>
  <c r="F246" i="184"/>
  <c r="D246" i="184"/>
  <c r="C246" i="184"/>
  <c r="P245" i="184"/>
  <c r="G245" i="184"/>
  <c r="F245" i="184"/>
  <c r="D245" i="184"/>
  <c r="C245" i="184"/>
  <c r="M244" i="184"/>
  <c r="M268" i="184" s="1"/>
  <c r="K244" i="184"/>
  <c r="J244" i="184"/>
  <c r="I244" i="184"/>
  <c r="G244" i="184"/>
  <c r="G268" i="184" s="1"/>
  <c r="F244" i="184"/>
  <c r="D244" i="184"/>
  <c r="C244" i="184"/>
  <c r="P244" i="184" s="1"/>
  <c r="L240" i="184"/>
  <c r="K240" i="184"/>
  <c r="J240" i="184"/>
  <c r="B238" i="184"/>
  <c r="B237" i="184"/>
  <c r="N229" i="184"/>
  <c r="D229" i="184"/>
  <c r="P227" i="184"/>
  <c r="M227" i="184"/>
  <c r="L227" i="184"/>
  <c r="K227" i="184"/>
  <c r="J227" i="184"/>
  <c r="G227" i="184"/>
  <c r="F227" i="184"/>
  <c r="E227" i="184" s="1"/>
  <c r="C227" i="184"/>
  <c r="P226" i="184"/>
  <c r="M226" i="184"/>
  <c r="L226" i="184"/>
  <c r="K226" i="184"/>
  <c r="J226" i="184"/>
  <c r="G226" i="184"/>
  <c r="F226" i="184"/>
  <c r="E226" i="184" s="1"/>
  <c r="D226" i="184"/>
  <c r="C226" i="184"/>
  <c r="N226" i="184" s="1"/>
  <c r="P225" i="184"/>
  <c r="M225" i="184"/>
  <c r="L225" i="184"/>
  <c r="K225" i="184"/>
  <c r="J225" i="184"/>
  <c r="J229" i="184" s="1"/>
  <c r="G225" i="184"/>
  <c r="F225" i="184"/>
  <c r="C225" i="184"/>
  <c r="N225" i="184" s="1"/>
  <c r="P224" i="184"/>
  <c r="M224" i="184"/>
  <c r="L224" i="184"/>
  <c r="K224" i="184"/>
  <c r="J224" i="184"/>
  <c r="G224" i="184"/>
  <c r="F224" i="184"/>
  <c r="E224" i="184" s="1"/>
  <c r="C224" i="184"/>
  <c r="N224" i="184" s="1"/>
  <c r="P220" i="184"/>
  <c r="M220" i="184"/>
  <c r="L220" i="184"/>
  <c r="K220" i="184"/>
  <c r="J220" i="184"/>
  <c r="G220" i="184"/>
  <c r="H220" i="184" s="1"/>
  <c r="F220" i="184"/>
  <c r="D220" i="184" s="1"/>
  <c r="C220" i="184"/>
  <c r="P219" i="184"/>
  <c r="M219" i="184"/>
  <c r="L219" i="184"/>
  <c r="K219" i="184"/>
  <c r="J219" i="184"/>
  <c r="G219" i="184"/>
  <c r="F219" i="184"/>
  <c r="I219" i="184" s="1"/>
  <c r="E219" i="184"/>
  <c r="D219" i="184"/>
  <c r="C219" i="184"/>
  <c r="P218" i="184"/>
  <c r="M218" i="184"/>
  <c r="L218" i="184"/>
  <c r="K218" i="184"/>
  <c r="J218" i="184"/>
  <c r="G218" i="184"/>
  <c r="H218" i="184" s="1"/>
  <c r="F218" i="184"/>
  <c r="D218" i="184" s="1"/>
  <c r="C218" i="184"/>
  <c r="P217" i="184"/>
  <c r="M217" i="184"/>
  <c r="M222" i="184" s="1"/>
  <c r="L217" i="184"/>
  <c r="K217" i="184"/>
  <c r="J217" i="184"/>
  <c r="G217" i="184"/>
  <c r="F217" i="184"/>
  <c r="F222" i="184" s="1"/>
  <c r="D217" i="184"/>
  <c r="C217" i="184"/>
  <c r="N217" i="184" s="1"/>
  <c r="C212" i="184"/>
  <c r="B208" i="184"/>
  <c r="P206" i="184"/>
  <c r="P205" i="184"/>
  <c r="O205" i="184"/>
  <c r="N205" i="184"/>
  <c r="P202" i="184"/>
  <c r="M202" i="184"/>
  <c r="L202" i="184"/>
  <c r="K202" i="184"/>
  <c r="J202" i="184"/>
  <c r="G202" i="184"/>
  <c r="F202" i="184"/>
  <c r="H202" i="184" s="1"/>
  <c r="D202" i="184"/>
  <c r="C202" i="184"/>
  <c r="P201" i="184"/>
  <c r="M201" i="184"/>
  <c r="L201" i="184"/>
  <c r="K201" i="184"/>
  <c r="J201" i="184"/>
  <c r="G201" i="184"/>
  <c r="F201" i="184"/>
  <c r="D201" i="184"/>
  <c r="C201" i="184"/>
  <c r="P200" i="184"/>
  <c r="M200" i="184"/>
  <c r="L200" i="184"/>
  <c r="K200" i="184"/>
  <c r="J200" i="184"/>
  <c r="G200" i="184"/>
  <c r="F200" i="184"/>
  <c r="E200" i="184" s="1"/>
  <c r="D200" i="184"/>
  <c r="C200" i="184"/>
  <c r="N200" i="184" s="1"/>
  <c r="P199" i="184"/>
  <c r="M199" i="184"/>
  <c r="L199" i="184"/>
  <c r="K199" i="184"/>
  <c r="K204" i="184" s="1"/>
  <c r="J199" i="184"/>
  <c r="G199" i="184"/>
  <c r="F199" i="184"/>
  <c r="D199" i="184"/>
  <c r="D204" i="184" s="1"/>
  <c r="C199" i="184"/>
  <c r="N199" i="184" s="1"/>
  <c r="P195" i="184"/>
  <c r="M195" i="184"/>
  <c r="L195" i="184"/>
  <c r="K195" i="184"/>
  <c r="J195" i="184"/>
  <c r="G195" i="184"/>
  <c r="H195" i="184" s="1"/>
  <c r="F195" i="184"/>
  <c r="D195" i="184"/>
  <c r="C195" i="184"/>
  <c r="N195" i="184" s="1"/>
  <c r="P194" i="184"/>
  <c r="M194" i="184"/>
  <c r="L194" i="184"/>
  <c r="K194" i="184"/>
  <c r="J194" i="184"/>
  <c r="G194" i="184"/>
  <c r="F194" i="184"/>
  <c r="H194" i="184" s="1"/>
  <c r="D194" i="184"/>
  <c r="C194" i="184"/>
  <c r="P193" i="184"/>
  <c r="M193" i="184"/>
  <c r="L193" i="184"/>
  <c r="K193" i="184"/>
  <c r="J193" i="184"/>
  <c r="G193" i="184"/>
  <c r="F193" i="184"/>
  <c r="D193" i="184"/>
  <c r="C193" i="184"/>
  <c r="P192" i="184"/>
  <c r="M192" i="184"/>
  <c r="M197" i="184" s="1"/>
  <c r="L192" i="184"/>
  <c r="K192" i="184"/>
  <c r="J192" i="184"/>
  <c r="G192" i="184"/>
  <c r="G197" i="184" s="1"/>
  <c r="F192" i="184"/>
  <c r="I192" i="184" s="1"/>
  <c r="D192" i="184"/>
  <c r="C192" i="184"/>
  <c r="C187" i="184"/>
  <c r="M180" i="184"/>
  <c r="L180" i="184"/>
  <c r="K180" i="184"/>
  <c r="J180" i="184"/>
  <c r="G180" i="184"/>
  <c r="F180" i="184"/>
  <c r="P180" i="184" s="1"/>
  <c r="C180" i="184"/>
  <c r="P179" i="184"/>
  <c r="M179" i="184"/>
  <c r="L179" i="184"/>
  <c r="K179" i="184"/>
  <c r="J179" i="184"/>
  <c r="G179" i="184"/>
  <c r="H179" i="184" s="1"/>
  <c r="F179" i="184"/>
  <c r="D179" i="184"/>
  <c r="C179" i="184"/>
  <c r="N179" i="184" s="1"/>
  <c r="N178" i="184"/>
  <c r="M178" i="184"/>
  <c r="L178" i="184"/>
  <c r="K178" i="184"/>
  <c r="J178" i="184"/>
  <c r="G178" i="184"/>
  <c r="F178" i="184"/>
  <c r="P178" i="184" s="1"/>
  <c r="C178" i="184"/>
  <c r="M177" i="184"/>
  <c r="L177" i="184"/>
  <c r="K177" i="184"/>
  <c r="J177" i="184"/>
  <c r="G177" i="184"/>
  <c r="F177" i="184"/>
  <c r="F182" i="184" s="1"/>
  <c r="C177" i="184"/>
  <c r="P173" i="184"/>
  <c r="M173" i="184"/>
  <c r="L173" i="184"/>
  <c r="K173" i="184"/>
  <c r="J173" i="184"/>
  <c r="G173" i="184"/>
  <c r="H173" i="184" s="1"/>
  <c r="F173" i="184"/>
  <c r="D173" i="184"/>
  <c r="C173" i="184"/>
  <c r="N173" i="184" s="1"/>
  <c r="N172" i="184"/>
  <c r="M172" i="184"/>
  <c r="L172" i="184"/>
  <c r="K172" i="184"/>
  <c r="J172" i="184"/>
  <c r="G172" i="184"/>
  <c r="F172" i="184"/>
  <c r="P172" i="184" s="1"/>
  <c r="C172" i="184"/>
  <c r="P171" i="184"/>
  <c r="M171" i="184"/>
  <c r="L171" i="184"/>
  <c r="K171" i="184"/>
  <c r="J171" i="184"/>
  <c r="G171" i="184"/>
  <c r="H171" i="184" s="1"/>
  <c r="F171" i="184"/>
  <c r="D171" i="184" s="1"/>
  <c r="C171" i="184"/>
  <c r="N171" i="184" s="1"/>
  <c r="M170" i="184"/>
  <c r="N170" i="184" s="1"/>
  <c r="L170" i="184"/>
  <c r="K170" i="184"/>
  <c r="J170" i="184"/>
  <c r="I170" i="184"/>
  <c r="G170" i="184"/>
  <c r="F170" i="184"/>
  <c r="C170" i="184"/>
  <c r="E170" i="184" s="1"/>
  <c r="C165" i="184"/>
  <c r="P158" i="184"/>
  <c r="M158" i="184"/>
  <c r="L158" i="184"/>
  <c r="K158" i="184"/>
  <c r="J158" i="184"/>
  <c r="G158" i="184"/>
  <c r="H158" i="184" s="1"/>
  <c r="F158" i="184"/>
  <c r="D158" i="184" s="1"/>
  <c r="C158" i="184"/>
  <c r="O158" i="184" s="1"/>
  <c r="P157" i="184"/>
  <c r="M157" i="184"/>
  <c r="L157" i="184"/>
  <c r="K157" i="184"/>
  <c r="J157" i="184"/>
  <c r="G157" i="184"/>
  <c r="F157" i="184"/>
  <c r="E157" i="184" s="1"/>
  <c r="C157" i="184"/>
  <c r="N157" i="184" s="1"/>
  <c r="P156" i="184"/>
  <c r="M156" i="184"/>
  <c r="L156" i="184"/>
  <c r="O156" i="184" s="1"/>
  <c r="K156" i="184"/>
  <c r="J156" i="184"/>
  <c r="G156" i="184"/>
  <c r="F156" i="184"/>
  <c r="D156" i="184" s="1"/>
  <c r="C156" i="184"/>
  <c r="N156" i="184" s="1"/>
  <c r="P155" i="184"/>
  <c r="M155" i="184"/>
  <c r="N155" i="184" s="1"/>
  <c r="L155" i="184"/>
  <c r="K155" i="184"/>
  <c r="J155" i="184"/>
  <c r="G155" i="184"/>
  <c r="F155" i="184"/>
  <c r="C155" i="184"/>
  <c r="P151" i="184"/>
  <c r="N151" i="184"/>
  <c r="M151" i="184"/>
  <c r="L151" i="184"/>
  <c r="K151" i="184"/>
  <c r="J151" i="184"/>
  <c r="G151" i="184"/>
  <c r="G153" i="184" s="1"/>
  <c r="F151" i="184"/>
  <c r="I151" i="184" s="1"/>
  <c r="C151" i="184"/>
  <c r="P150" i="184"/>
  <c r="M150" i="184"/>
  <c r="L150" i="184"/>
  <c r="K150" i="184"/>
  <c r="J150" i="184"/>
  <c r="H150" i="184"/>
  <c r="G150" i="184"/>
  <c r="F150" i="184"/>
  <c r="D150" i="184"/>
  <c r="C150" i="184"/>
  <c r="P149" i="184"/>
  <c r="M149" i="184"/>
  <c r="L149" i="184"/>
  <c r="K149" i="184"/>
  <c r="J149" i="184"/>
  <c r="G149" i="184"/>
  <c r="F149" i="184"/>
  <c r="I149" i="184" s="1"/>
  <c r="C149" i="184"/>
  <c r="N149" i="184" s="1"/>
  <c r="P148" i="184"/>
  <c r="M148" i="184"/>
  <c r="M153" i="184" s="1"/>
  <c r="L148" i="184"/>
  <c r="K148" i="184"/>
  <c r="J148" i="184"/>
  <c r="H148" i="184"/>
  <c r="G148" i="184"/>
  <c r="F148" i="184"/>
  <c r="D148" i="184"/>
  <c r="C148" i="184"/>
  <c r="C143" i="184"/>
  <c r="B139" i="184"/>
  <c r="P133" i="184"/>
  <c r="M133" i="184"/>
  <c r="L133" i="184"/>
  <c r="K133" i="184"/>
  <c r="J133" i="184"/>
  <c r="H133" i="184"/>
  <c r="G133" i="184"/>
  <c r="F133" i="184"/>
  <c r="D133" i="184"/>
  <c r="C133" i="184"/>
  <c r="M132" i="184"/>
  <c r="L132" i="184"/>
  <c r="K132" i="184"/>
  <c r="J132" i="184"/>
  <c r="G132" i="184"/>
  <c r="F132" i="184"/>
  <c r="C132" i="184"/>
  <c r="M131" i="184"/>
  <c r="L131" i="184"/>
  <c r="K131" i="184"/>
  <c r="J131" i="184"/>
  <c r="G131" i="184"/>
  <c r="F131" i="184"/>
  <c r="P131" i="184" s="1"/>
  <c r="D131" i="184"/>
  <c r="C131" i="184"/>
  <c r="N131" i="184" s="1"/>
  <c r="M130" i="184"/>
  <c r="L130" i="184"/>
  <c r="K130" i="184"/>
  <c r="J130" i="184"/>
  <c r="G130" i="184"/>
  <c r="I130" i="184" s="1"/>
  <c r="F130" i="184"/>
  <c r="E130" i="184" s="1"/>
  <c r="C130" i="184"/>
  <c r="N130" i="184" s="1"/>
  <c r="P126" i="184"/>
  <c r="M126" i="184"/>
  <c r="L126" i="184"/>
  <c r="K126" i="184"/>
  <c r="J126" i="184"/>
  <c r="G126" i="184"/>
  <c r="F126" i="184"/>
  <c r="E126" i="184" s="1"/>
  <c r="C126" i="184"/>
  <c r="N126" i="184" s="1"/>
  <c r="P125" i="184"/>
  <c r="M125" i="184"/>
  <c r="L125" i="184"/>
  <c r="O125" i="184" s="1"/>
  <c r="K125" i="184"/>
  <c r="J125" i="184"/>
  <c r="G125" i="184"/>
  <c r="F125" i="184"/>
  <c r="D125" i="184" s="1"/>
  <c r="C125" i="184"/>
  <c r="P124" i="184"/>
  <c r="N124" i="184"/>
  <c r="M124" i="184"/>
  <c r="L124" i="184"/>
  <c r="K124" i="184"/>
  <c r="J124" i="184"/>
  <c r="G124" i="184"/>
  <c r="F124" i="184"/>
  <c r="C124" i="184"/>
  <c r="P123" i="184"/>
  <c r="M123" i="184"/>
  <c r="L123" i="184"/>
  <c r="K123" i="184"/>
  <c r="K128" i="184" s="1"/>
  <c r="J123" i="184"/>
  <c r="G123" i="184"/>
  <c r="F123" i="184"/>
  <c r="D123" i="184"/>
  <c r="C123" i="184"/>
  <c r="N123" i="184" s="1"/>
  <c r="C118" i="184"/>
  <c r="M111" i="184"/>
  <c r="L111" i="184"/>
  <c r="K111" i="184"/>
  <c r="J111" i="184"/>
  <c r="G111" i="184"/>
  <c r="F111" i="184"/>
  <c r="I111" i="184" s="1"/>
  <c r="C111" i="184"/>
  <c r="N110" i="184"/>
  <c r="M110" i="184"/>
  <c r="L110" i="184"/>
  <c r="K110" i="184"/>
  <c r="J110" i="184"/>
  <c r="G110" i="184"/>
  <c r="F110" i="184"/>
  <c r="C110" i="184"/>
  <c r="M109" i="184"/>
  <c r="L109" i="184"/>
  <c r="K109" i="184"/>
  <c r="J109" i="184"/>
  <c r="G109" i="184"/>
  <c r="F109" i="184"/>
  <c r="E109" i="184" s="1"/>
  <c r="C109" i="184"/>
  <c r="C113" i="184" s="1"/>
  <c r="M108" i="184"/>
  <c r="M113" i="184" s="1"/>
  <c r="L108" i="184"/>
  <c r="K108" i="184"/>
  <c r="J108" i="184"/>
  <c r="G108" i="184"/>
  <c r="F108" i="184"/>
  <c r="C108" i="184"/>
  <c r="P104" i="184"/>
  <c r="M104" i="184"/>
  <c r="L104" i="184"/>
  <c r="K104" i="184"/>
  <c r="J104" i="184"/>
  <c r="G104" i="184"/>
  <c r="F104" i="184"/>
  <c r="C104" i="184"/>
  <c r="O104" i="184" s="1"/>
  <c r="P103" i="184"/>
  <c r="M103" i="184"/>
  <c r="L103" i="184"/>
  <c r="K103" i="184"/>
  <c r="J103" i="184"/>
  <c r="G103" i="184"/>
  <c r="H103" i="184" s="1"/>
  <c r="F103" i="184"/>
  <c r="I103" i="184" s="1"/>
  <c r="D103" i="184"/>
  <c r="C103" i="184"/>
  <c r="P102" i="184"/>
  <c r="M102" i="184"/>
  <c r="L102" i="184"/>
  <c r="K102" i="184"/>
  <c r="J102" i="184"/>
  <c r="G102" i="184"/>
  <c r="F102" i="184"/>
  <c r="C102" i="184"/>
  <c r="N102" i="184" s="1"/>
  <c r="P101" i="184"/>
  <c r="M101" i="184"/>
  <c r="M106" i="184" s="1"/>
  <c r="M115" i="184" s="1"/>
  <c r="L101" i="184"/>
  <c r="K101" i="184"/>
  <c r="J101" i="184"/>
  <c r="I101" i="184"/>
  <c r="H101" i="184"/>
  <c r="G101" i="184"/>
  <c r="F101" i="184"/>
  <c r="E101" i="184"/>
  <c r="D101" i="184"/>
  <c r="C101" i="184"/>
  <c r="C96" i="184"/>
  <c r="M89" i="184"/>
  <c r="L89" i="184"/>
  <c r="K89" i="184"/>
  <c r="J89" i="184"/>
  <c r="G89" i="184"/>
  <c r="F89" i="184"/>
  <c r="C89" i="184"/>
  <c r="M88" i="184"/>
  <c r="L88" i="184"/>
  <c r="K88" i="184"/>
  <c r="J88" i="184"/>
  <c r="G88" i="184"/>
  <c r="H88" i="184" s="1"/>
  <c r="F88" i="184"/>
  <c r="I88" i="184" s="1"/>
  <c r="D88" i="184"/>
  <c r="C88" i="184"/>
  <c r="M87" i="184"/>
  <c r="L87" i="184"/>
  <c r="K87" i="184"/>
  <c r="J87" i="184"/>
  <c r="G87" i="184"/>
  <c r="F87" i="184"/>
  <c r="C87" i="184"/>
  <c r="N87" i="184" s="1"/>
  <c r="M86" i="184"/>
  <c r="M91" i="184" s="1"/>
  <c r="L86" i="184"/>
  <c r="K86" i="184"/>
  <c r="J86" i="184"/>
  <c r="I86" i="184"/>
  <c r="G86" i="184"/>
  <c r="F86" i="184"/>
  <c r="D86" i="184" s="1"/>
  <c r="E86" i="184"/>
  <c r="C86" i="184"/>
  <c r="P82" i="184"/>
  <c r="M82" i="184"/>
  <c r="L82" i="184"/>
  <c r="K82" i="184"/>
  <c r="J82" i="184"/>
  <c r="G82" i="184"/>
  <c r="F82" i="184"/>
  <c r="H82" i="184" s="1"/>
  <c r="D82" i="184"/>
  <c r="C82" i="184"/>
  <c r="P81" i="184"/>
  <c r="M81" i="184"/>
  <c r="L81" i="184"/>
  <c r="K81" i="184"/>
  <c r="J81" i="184"/>
  <c r="G81" i="184"/>
  <c r="I81" i="184" s="1"/>
  <c r="F81" i="184"/>
  <c r="E81" i="184" s="1"/>
  <c r="C81" i="184"/>
  <c r="P80" i="184"/>
  <c r="M80" i="184"/>
  <c r="L80" i="184"/>
  <c r="K80" i="184"/>
  <c r="J80" i="184"/>
  <c r="J84" i="184" s="1"/>
  <c r="G80" i="184"/>
  <c r="F80" i="184"/>
  <c r="C80" i="184"/>
  <c r="P79" i="184"/>
  <c r="M79" i="184"/>
  <c r="L79" i="184"/>
  <c r="L84" i="184" s="1"/>
  <c r="K79" i="184"/>
  <c r="J79" i="184"/>
  <c r="G79" i="184"/>
  <c r="F79" i="184"/>
  <c r="C79" i="184"/>
  <c r="N79" i="184" s="1"/>
  <c r="C74" i="184"/>
  <c r="B69" i="184"/>
  <c r="M64" i="184"/>
  <c r="L64" i="184"/>
  <c r="K64" i="184"/>
  <c r="J64" i="184"/>
  <c r="H64" i="184"/>
  <c r="G64" i="184"/>
  <c r="F64" i="184"/>
  <c r="D64" i="184"/>
  <c r="C64" i="184"/>
  <c r="M63" i="184"/>
  <c r="L63" i="184"/>
  <c r="K63" i="184"/>
  <c r="J63" i="184"/>
  <c r="G63" i="184"/>
  <c r="F63" i="184"/>
  <c r="C63" i="184"/>
  <c r="O63" i="184" s="1"/>
  <c r="M62" i="184"/>
  <c r="L62" i="184"/>
  <c r="K62" i="184"/>
  <c r="J62" i="184"/>
  <c r="G62" i="184"/>
  <c r="F62" i="184"/>
  <c r="I62" i="184" s="1"/>
  <c r="C62" i="184"/>
  <c r="M61" i="184"/>
  <c r="L61" i="184"/>
  <c r="K61" i="184"/>
  <c r="J61" i="184"/>
  <c r="J66" i="184" s="1"/>
  <c r="G61" i="184"/>
  <c r="G66" i="184" s="1"/>
  <c r="F61" i="184"/>
  <c r="C61" i="184"/>
  <c r="N57" i="184"/>
  <c r="M57" i="184"/>
  <c r="L57" i="184"/>
  <c r="K57" i="184"/>
  <c r="J57" i="184"/>
  <c r="G57" i="184"/>
  <c r="F57" i="184"/>
  <c r="C57" i="184"/>
  <c r="P56" i="184"/>
  <c r="N56" i="184"/>
  <c r="M56" i="184"/>
  <c r="L56" i="184"/>
  <c r="K56" i="184"/>
  <c r="J56" i="184"/>
  <c r="G56" i="184"/>
  <c r="F56" i="184"/>
  <c r="D56" i="184" s="1"/>
  <c r="C56" i="184"/>
  <c r="N55" i="184"/>
  <c r="M55" i="184"/>
  <c r="L55" i="184"/>
  <c r="K55" i="184"/>
  <c r="J55" i="184"/>
  <c r="G55" i="184"/>
  <c r="F55" i="184"/>
  <c r="C55" i="184"/>
  <c r="N54" i="184"/>
  <c r="M54" i="184"/>
  <c r="L54" i="184"/>
  <c r="K54" i="184"/>
  <c r="K59" i="184" s="1"/>
  <c r="J54" i="184"/>
  <c r="J59" i="184" s="1"/>
  <c r="G54" i="184"/>
  <c r="F54" i="184"/>
  <c r="D54" i="184" s="1"/>
  <c r="E54" i="184"/>
  <c r="C54" i="184"/>
  <c r="K51" i="184"/>
  <c r="C49" i="184"/>
  <c r="P42" i="184"/>
  <c r="M42" i="184"/>
  <c r="L42" i="184"/>
  <c r="K42" i="184"/>
  <c r="J42" i="184"/>
  <c r="G42" i="184"/>
  <c r="F42" i="184"/>
  <c r="D42" i="184" s="1"/>
  <c r="C42" i="184"/>
  <c r="P41" i="184"/>
  <c r="M41" i="184"/>
  <c r="L41" i="184"/>
  <c r="K41" i="184"/>
  <c r="J41" i="184"/>
  <c r="G41" i="184"/>
  <c r="F41" i="184"/>
  <c r="I41" i="184" s="1"/>
  <c r="C41" i="184"/>
  <c r="O41" i="184" s="1"/>
  <c r="P40" i="184"/>
  <c r="M40" i="184"/>
  <c r="M44" i="184" s="1"/>
  <c r="L40" i="184"/>
  <c r="K40" i="184"/>
  <c r="J40" i="184"/>
  <c r="G40" i="184"/>
  <c r="H40" i="184" s="1"/>
  <c r="F40" i="184"/>
  <c r="I40" i="184" s="1"/>
  <c r="D40" i="184"/>
  <c r="C40" i="184"/>
  <c r="P39" i="184"/>
  <c r="M39" i="184"/>
  <c r="L39" i="184"/>
  <c r="K39" i="184"/>
  <c r="K44" i="184" s="1"/>
  <c r="J39" i="184"/>
  <c r="G39" i="184"/>
  <c r="F39" i="184"/>
  <c r="C39" i="184"/>
  <c r="M35" i="184"/>
  <c r="L35" i="184"/>
  <c r="K35" i="184"/>
  <c r="J35" i="184"/>
  <c r="G35" i="184"/>
  <c r="F35" i="184"/>
  <c r="C35" i="184"/>
  <c r="N35" i="184" s="1"/>
  <c r="M34" i="184"/>
  <c r="L34" i="184"/>
  <c r="K34" i="184"/>
  <c r="J34" i="184"/>
  <c r="G34" i="184"/>
  <c r="F34" i="184"/>
  <c r="E34" i="184" s="1"/>
  <c r="C34" i="184"/>
  <c r="M33" i="184"/>
  <c r="L33" i="184"/>
  <c r="K33" i="184"/>
  <c r="J33" i="184"/>
  <c r="G33" i="184"/>
  <c r="F33" i="184"/>
  <c r="C33" i="184"/>
  <c r="N33" i="184" s="1"/>
  <c r="M32" i="184"/>
  <c r="L32" i="184"/>
  <c r="L37" i="184" s="1"/>
  <c r="K32" i="184"/>
  <c r="J32" i="184"/>
  <c r="G32" i="184"/>
  <c r="F32" i="184"/>
  <c r="F37" i="184" s="1"/>
  <c r="E32" i="184"/>
  <c r="C32" i="184"/>
  <c r="C27" i="184"/>
  <c r="P20" i="184"/>
  <c r="M20" i="184"/>
  <c r="L20" i="184"/>
  <c r="K20" i="184"/>
  <c r="J20" i="184"/>
  <c r="G20" i="184"/>
  <c r="F20" i="184"/>
  <c r="I20" i="184" s="1"/>
  <c r="C20" i="184"/>
  <c r="N20" i="184" s="1"/>
  <c r="P19" i="184"/>
  <c r="M19" i="184"/>
  <c r="L19" i="184"/>
  <c r="K19" i="184"/>
  <c r="J19" i="184"/>
  <c r="I19" i="184"/>
  <c r="H19" i="184"/>
  <c r="G19" i="184"/>
  <c r="F19" i="184"/>
  <c r="E19" i="184"/>
  <c r="D19" i="184"/>
  <c r="C19" i="184"/>
  <c r="P18" i="184"/>
  <c r="M18" i="184"/>
  <c r="L18" i="184"/>
  <c r="K18" i="184"/>
  <c r="J18" i="184"/>
  <c r="G18" i="184"/>
  <c r="F18" i="184"/>
  <c r="I18" i="184" s="1"/>
  <c r="C18" i="184"/>
  <c r="N18" i="184" s="1"/>
  <c r="P17" i="184"/>
  <c r="M17" i="184"/>
  <c r="L17" i="184"/>
  <c r="K17" i="184"/>
  <c r="K22" i="184" s="1"/>
  <c r="J17" i="184"/>
  <c r="J22" i="184" s="1"/>
  <c r="I17" i="184"/>
  <c r="H17" i="184"/>
  <c r="G17" i="184"/>
  <c r="F17" i="184"/>
  <c r="D17" i="184"/>
  <c r="C17" i="184"/>
  <c r="C22" i="184" s="1"/>
  <c r="P13" i="184"/>
  <c r="N13" i="184"/>
  <c r="M13" i="184"/>
  <c r="L13" i="184"/>
  <c r="K13" i="184"/>
  <c r="J13" i="184"/>
  <c r="G13" i="184"/>
  <c r="F13" i="184"/>
  <c r="H13" i="184" s="1"/>
  <c r="E13" i="184"/>
  <c r="C13" i="184"/>
  <c r="P12" i="184"/>
  <c r="N12" i="184"/>
  <c r="M12" i="184"/>
  <c r="L12" i="184"/>
  <c r="K12" i="184"/>
  <c r="J12" i="184"/>
  <c r="G12" i="184"/>
  <c r="F12" i="184"/>
  <c r="I12" i="184" s="1"/>
  <c r="C12" i="184"/>
  <c r="P11" i="184"/>
  <c r="M11" i="184"/>
  <c r="L11" i="184"/>
  <c r="K11" i="184"/>
  <c r="J11" i="184"/>
  <c r="G11" i="184"/>
  <c r="F11" i="184"/>
  <c r="E11" i="184" s="1"/>
  <c r="D11" i="184"/>
  <c r="C11" i="184"/>
  <c r="P10" i="184"/>
  <c r="N10" i="184"/>
  <c r="M10" i="184"/>
  <c r="L10" i="184"/>
  <c r="K10" i="184"/>
  <c r="J10" i="184"/>
  <c r="G10" i="184"/>
  <c r="G22" i="184" s="1"/>
  <c r="F10" i="184"/>
  <c r="F15" i="184" s="1"/>
  <c r="C10" i="184"/>
  <c r="L7" i="184"/>
  <c r="L76" i="184" s="1"/>
  <c r="K7" i="184"/>
  <c r="K29" i="184" s="1"/>
  <c r="J7" i="184"/>
  <c r="J29" i="184" s="1"/>
  <c r="K1" i="184"/>
  <c r="H219" i="184" l="1"/>
  <c r="L229" i="184"/>
  <c r="O225" i="184"/>
  <c r="H226" i="184"/>
  <c r="N248" i="184"/>
  <c r="I252" i="184"/>
  <c r="L254" i="184"/>
  <c r="I258" i="184"/>
  <c r="I259" i="184"/>
  <c r="K264" i="184"/>
  <c r="K265" i="184"/>
  <c r="J266" i="184"/>
  <c r="J280" i="184"/>
  <c r="I281" i="184"/>
  <c r="I282" i="184"/>
  <c r="P283" i="184"/>
  <c r="M284" i="184"/>
  <c r="M285" i="184"/>
  <c r="M286" i="184"/>
  <c r="K292" i="184"/>
  <c r="J293" i="184"/>
  <c r="L294" i="184"/>
  <c r="J300" i="184"/>
  <c r="I32" i="184"/>
  <c r="M66" i="184"/>
  <c r="K197" i="184"/>
  <c r="K206" i="184" s="1"/>
  <c r="O80" i="184"/>
  <c r="O81" i="184"/>
  <c r="N81" i="184"/>
  <c r="L91" i="184"/>
  <c r="O110" i="184"/>
  <c r="O111" i="184"/>
  <c r="O124" i="184"/>
  <c r="E132" i="184"/>
  <c r="J160" i="184"/>
  <c r="H156" i="184"/>
  <c r="J175" i="184"/>
  <c r="M175" i="184"/>
  <c r="M182" i="184"/>
  <c r="I180" i="184"/>
  <c r="D197" i="184"/>
  <c r="L197" i="184"/>
  <c r="L204" i="184"/>
  <c r="I200" i="184"/>
  <c r="H217" i="184"/>
  <c r="I226" i="184"/>
  <c r="J251" i="184"/>
  <c r="J252" i="184"/>
  <c r="J257" i="184"/>
  <c r="J258" i="184"/>
  <c r="M265" i="184"/>
  <c r="M266" i="184"/>
  <c r="K280" i="184"/>
  <c r="J281" i="184"/>
  <c r="N284" i="184"/>
  <c r="N285" i="184"/>
  <c r="M292" i="184"/>
  <c r="M293" i="184"/>
  <c r="M294" i="184"/>
  <c r="K300" i="184"/>
  <c r="M37" i="184"/>
  <c r="M46" i="184" s="1"/>
  <c r="P62" i="184"/>
  <c r="O64" i="184"/>
  <c r="L106" i="184"/>
  <c r="L115" i="184" s="1"/>
  <c r="I13" i="184"/>
  <c r="L22" i="184"/>
  <c r="P34" i="184"/>
  <c r="C44" i="184"/>
  <c r="O40" i="184"/>
  <c r="G113" i="184"/>
  <c r="P109" i="184"/>
  <c r="O132" i="184"/>
  <c r="M15" i="184"/>
  <c r="H11" i="184"/>
  <c r="E17" i="184"/>
  <c r="J37" i="184"/>
  <c r="F44" i="184"/>
  <c r="N61" i="184"/>
  <c r="O13" i="184"/>
  <c r="F22" i="184"/>
  <c r="F24" i="184" s="1"/>
  <c r="C37" i="184"/>
  <c r="K37" i="184"/>
  <c r="K46" i="184" s="1"/>
  <c r="H34" i="184"/>
  <c r="I35" i="184"/>
  <c r="G44" i="184"/>
  <c r="E40" i="184"/>
  <c r="G59" i="184"/>
  <c r="O57" i="184"/>
  <c r="C66" i="184"/>
  <c r="O62" i="184"/>
  <c r="G91" i="184"/>
  <c r="E88" i="184"/>
  <c r="E103" i="184"/>
  <c r="K113" i="184"/>
  <c r="H109" i="184"/>
  <c r="D111" i="184"/>
  <c r="H123" i="184"/>
  <c r="N125" i="184"/>
  <c r="J135" i="184"/>
  <c r="H131" i="184"/>
  <c r="I133" i="184"/>
  <c r="K153" i="184"/>
  <c r="I150" i="184"/>
  <c r="K160" i="184"/>
  <c r="O160" i="184" s="1"/>
  <c r="I157" i="184"/>
  <c r="K175" i="184"/>
  <c r="I172" i="184"/>
  <c r="I173" i="184"/>
  <c r="N177" i="184"/>
  <c r="O178" i="184"/>
  <c r="E192" i="184"/>
  <c r="I194" i="184"/>
  <c r="I217" i="184"/>
  <c r="O224" i="184"/>
  <c r="N265" i="184"/>
  <c r="N292" i="184"/>
  <c r="N300" i="184"/>
  <c r="P111" i="184"/>
  <c r="P32" i="184"/>
  <c r="O34" i="184"/>
  <c r="L15" i="184"/>
  <c r="L24" i="184" s="1"/>
  <c r="L182" i="184"/>
  <c r="O192" i="184"/>
  <c r="J197" i="184"/>
  <c r="O12" i="184"/>
  <c r="N17" i="184"/>
  <c r="L44" i="184"/>
  <c r="L46" i="184" s="1"/>
  <c r="I11" i="184"/>
  <c r="O10" i="184"/>
  <c r="D13" i="184"/>
  <c r="O19" i="184"/>
  <c r="D32" i="184"/>
  <c r="I34" i="184"/>
  <c r="J44" i="184"/>
  <c r="H54" i="184"/>
  <c r="D62" i="184"/>
  <c r="N62" i="184"/>
  <c r="N63" i="184"/>
  <c r="H86" i="184"/>
  <c r="O89" i="184"/>
  <c r="N104" i="184"/>
  <c r="I109" i="184"/>
  <c r="E111" i="184"/>
  <c r="J128" i="184"/>
  <c r="I132" i="184"/>
  <c r="L153" i="184"/>
  <c r="E151" i="184"/>
  <c r="L175" i="184"/>
  <c r="L184" i="184" s="1"/>
  <c r="D177" i="184"/>
  <c r="E178" i="184"/>
  <c r="I195" i="184"/>
  <c r="E202" i="184"/>
  <c r="J222" i="184"/>
  <c r="J231" i="184" s="1"/>
  <c r="O219" i="184"/>
  <c r="D224" i="184"/>
  <c r="M252" i="184"/>
  <c r="N258" i="184"/>
  <c r="N280" i="184"/>
  <c r="N281" i="184"/>
  <c r="N252" i="184"/>
  <c r="C204" i="184"/>
  <c r="O131" i="184"/>
  <c r="H177" i="184"/>
  <c r="O180" i="184"/>
  <c r="F204" i="184"/>
  <c r="D222" i="184"/>
  <c r="D231" i="184" s="1"/>
  <c r="O226" i="184"/>
  <c r="J15" i="184"/>
  <c r="J24" i="184" s="1"/>
  <c r="G37" i="184"/>
  <c r="D34" i="184"/>
  <c r="C59" i="184"/>
  <c r="L59" i="184"/>
  <c r="K66" i="184"/>
  <c r="H62" i="184"/>
  <c r="I64" i="184"/>
  <c r="P64" i="184" s="1"/>
  <c r="I82" i="184"/>
  <c r="C91" i="184"/>
  <c r="K91" i="184"/>
  <c r="O108" i="184"/>
  <c r="D109" i="184"/>
  <c r="L113" i="184"/>
  <c r="H111" i="184"/>
  <c r="I126" i="184"/>
  <c r="F153" i="184"/>
  <c r="C160" i="184"/>
  <c r="M160" i="184"/>
  <c r="O172" i="184"/>
  <c r="J182" i="184"/>
  <c r="I178" i="184"/>
  <c r="I179" i="184"/>
  <c r="E180" i="184"/>
  <c r="G182" i="184"/>
  <c r="H199" i="184"/>
  <c r="I202" i="184"/>
  <c r="E217" i="184"/>
  <c r="N219" i="184"/>
  <c r="I265" i="184"/>
  <c r="H268" i="184"/>
  <c r="J284" i="184"/>
  <c r="O284" i="184" s="1"/>
  <c r="I285" i="184"/>
  <c r="I286" i="184"/>
  <c r="N288" i="184"/>
  <c r="N289" i="184"/>
  <c r="I292" i="184"/>
  <c r="N296" i="184"/>
  <c r="N297" i="184"/>
  <c r="I302" i="184"/>
  <c r="O11" i="184"/>
  <c r="O15" i="184" s="1"/>
  <c r="N148" i="184"/>
  <c r="K84" i="184"/>
  <c r="H125" i="184"/>
  <c r="H192" i="184"/>
  <c r="O194" i="184"/>
  <c r="K15" i="184"/>
  <c r="K24" i="184" s="1"/>
  <c r="N11" i="184"/>
  <c r="N15" i="184" s="1"/>
  <c r="H32" i="184"/>
  <c r="I33" i="184"/>
  <c r="M59" i="184"/>
  <c r="M68" i="184" s="1"/>
  <c r="O102" i="184"/>
  <c r="F113" i="184"/>
  <c r="O123" i="184"/>
  <c r="N132" i="184"/>
  <c r="E149" i="184"/>
  <c r="G175" i="184"/>
  <c r="I171" i="184"/>
  <c r="E172" i="184"/>
  <c r="K182" i="184"/>
  <c r="E194" i="184"/>
  <c r="N194" i="184"/>
  <c r="J204" i="184"/>
  <c r="H200" i="184"/>
  <c r="N244" i="184"/>
  <c r="J265" i="184"/>
  <c r="I266" i="184"/>
  <c r="I280" i="184"/>
  <c r="J285" i="184"/>
  <c r="J292" i="184"/>
  <c r="I293" i="184"/>
  <c r="N302" i="184"/>
  <c r="P44" i="184"/>
  <c r="E44" i="184"/>
  <c r="H44" i="184"/>
  <c r="F46" i="184"/>
  <c r="I44" i="184"/>
  <c r="P37" i="184"/>
  <c r="H37" i="184"/>
  <c r="E37" i="184"/>
  <c r="I37" i="184"/>
  <c r="O37" i="184"/>
  <c r="N37" i="184"/>
  <c r="G46" i="184"/>
  <c r="P15" i="184"/>
  <c r="I22" i="184"/>
  <c r="E22" i="184"/>
  <c r="C15" i="184"/>
  <c r="E15" i="184" s="1"/>
  <c r="G15" i="184"/>
  <c r="H15" i="184" s="1"/>
  <c r="O20" i="184"/>
  <c r="M22" i="184"/>
  <c r="O22" i="184" s="1"/>
  <c r="P22" i="184" s="1"/>
  <c r="O35" i="184"/>
  <c r="O44" i="184"/>
  <c r="O39" i="184"/>
  <c r="J68" i="184"/>
  <c r="I55" i="184"/>
  <c r="E55" i="184"/>
  <c r="P55" i="184"/>
  <c r="C68" i="184"/>
  <c r="O66" i="184"/>
  <c r="I80" i="184"/>
  <c r="E80" i="184"/>
  <c r="D80" i="184"/>
  <c r="H80" i="184"/>
  <c r="N91" i="184"/>
  <c r="J274" i="184"/>
  <c r="J167" i="184"/>
  <c r="J189" i="184"/>
  <c r="J120" i="184"/>
  <c r="J76" i="184"/>
  <c r="J214" i="184"/>
  <c r="J145" i="184"/>
  <c r="J98" i="184"/>
  <c r="D10" i="184"/>
  <c r="H10" i="184"/>
  <c r="D18" i="184"/>
  <c r="D22" i="184" s="1"/>
  <c r="H18" i="184"/>
  <c r="N19" i="184"/>
  <c r="D20" i="184"/>
  <c r="H20" i="184"/>
  <c r="L29" i="184"/>
  <c r="N32" i="184"/>
  <c r="D33" i="184"/>
  <c r="D37" i="184" s="1"/>
  <c r="H33" i="184"/>
  <c r="H35" i="184" s="1"/>
  <c r="P33" i="184"/>
  <c r="N34" i="184"/>
  <c r="D35" i="184"/>
  <c r="P35" i="184"/>
  <c r="D39" i="184"/>
  <c r="H39" i="184"/>
  <c r="N40" i="184"/>
  <c r="D41" i="184"/>
  <c r="H41" i="184"/>
  <c r="H42" i="184"/>
  <c r="N44" i="184"/>
  <c r="L51" i="184"/>
  <c r="F59" i="184"/>
  <c r="I54" i="184"/>
  <c r="P54" i="184" s="1"/>
  <c r="K68" i="184"/>
  <c r="O56" i="184"/>
  <c r="H56" i="184"/>
  <c r="I57" i="184"/>
  <c r="E57" i="184"/>
  <c r="P57" i="184"/>
  <c r="H57" i="184"/>
  <c r="D57" i="184"/>
  <c r="I61" i="184"/>
  <c r="E61" i="184"/>
  <c r="P61" i="184"/>
  <c r="H61" i="184"/>
  <c r="D61" i="184"/>
  <c r="L66" i="184"/>
  <c r="L68" i="184" s="1"/>
  <c r="F66" i="184"/>
  <c r="G84" i="184"/>
  <c r="G93" i="184" s="1"/>
  <c r="N150" i="184"/>
  <c r="O150" i="184"/>
  <c r="H155" i="184"/>
  <c r="D155" i="184"/>
  <c r="F160" i="184"/>
  <c r="E155" i="184"/>
  <c r="I155" i="184"/>
  <c r="O157" i="184"/>
  <c r="O171" i="184"/>
  <c r="O173" i="184"/>
  <c r="I201" i="184"/>
  <c r="H201" i="184"/>
  <c r="L274" i="184"/>
  <c r="L145" i="184"/>
  <c r="L120" i="184"/>
  <c r="L214" i="184"/>
  <c r="L189" i="184"/>
  <c r="L98" i="184"/>
  <c r="L167" i="184"/>
  <c r="O18" i="184"/>
  <c r="O33" i="184"/>
  <c r="I63" i="184"/>
  <c r="E63" i="184"/>
  <c r="P63" i="184"/>
  <c r="H63" i="184"/>
  <c r="D63" i="184"/>
  <c r="I102" i="184"/>
  <c r="E102" i="184"/>
  <c r="H102" i="184"/>
  <c r="D102" i="184"/>
  <c r="D106" i="184" s="1"/>
  <c r="E113" i="184"/>
  <c r="I113" i="184"/>
  <c r="F115" i="184"/>
  <c r="O193" i="184"/>
  <c r="H225" i="184"/>
  <c r="D225" i="184"/>
  <c r="E225" i="184"/>
  <c r="I225" i="184"/>
  <c r="D12" i="184"/>
  <c r="H12" i="184"/>
  <c r="K274" i="184"/>
  <c r="K145" i="184"/>
  <c r="K120" i="184"/>
  <c r="K214" i="184"/>
  <c r="K189" i="184"/>
  <c r="K76" i="184"/>
  <c r="K167" i="184"/>
  <c r="K98" i="184"/>
  <c r="E10" i="184"/>
  <c r="I10" i="184"/>
  <c r="E12" i="184"/>
  <c r="O17" i="184"/>
  <c r="E18" i="184"/>
  <c r="E20" i="184"/>
  <c r="O32" i="184"/>
  <c r="E33" i="184"/>
  <c r="E35" i="184"/>
  <c r="E39" i="184"/>
  <c r="I39" i="184"/>
  <c r="E41" i="184"/>
  <c r="O59" i="184"/>
  <c r="N59" i="184"/>
  <c r="N64" i="184" s="1"/>
  <c r="O55" i="184"/>
  <c r="H55" i="184"/>
  <c r="G68" i="184"/>
  <c r="O87" i="184"/>
  <c r="N113" i="184"/>
  <c r="H124" i="184"/>
  <c r="D124" i="184"/>
  <c r="E124" i="184"/>
  <c r="I124" i="184"/>
  <c r="L128" i="184"/>
  <c r="O133" i="184"/>
  <c r="D153" i="184"/>
  <c r="O179" i="184"/>
  <c r="N39" i="184"/>
  <c r="N41" i="184"/>
  <c r="I42" i="184"/>
  <c r="E42" i="184"/>
  <c r="C46" i="184"/>
  <c r="J51" i="184"/>
  <c r="D55" i="184"/>
  <c r="I56" i="184"/>
  <c r="E56" i="184"/>
  <c r="N66" i="184"/>
  <c r="B138" i="184"/>
  <c r="B232" i="184"/>
  <c r="B207" i="184"/>
  <c r="I79" i="184"/>
  <c r="E79" i="184"/>
  <c r="F84" i="184"/>
  <c r="H79" i="184"/>
  <c r="D79" i="184"/>
  <c r="K93" i="184"/>
  <c r="I110" i="184"/>
  <c r="E110" i="184"/>
  <c r="P110" i="184"/>
  <c r="H110" i="184"/>
  <c r="D110" i="184"/>
  <c r="J137" i="184"/>
  <c r="O126" i="184"/>
  <c r="M135" i="184"/>
  <c r="I153" i="184"/>
  <c r="H153" i="184"/>
  <c r="K162" i="184"/>
  <c r="O61" i="184"/>
  <c r="E62" i="184"/>
  <c r="E64" i="184"/>
  <c r="O79" i="184"/>
  <c r="O82" i="184"/>
  <c r="N82" i="184"/>
  <c r="C84" i="184"/>
  <c r="C93" i="184" s="1"/>
  <c r="I87" i="184"/>
  <c r="P87" i="184" s="1"/>
  <c r="E87" i="184"/>
  <c r="H87" i="184"/>
  <c r="D87" i="184"/>
  <c r="O88" i="184"/>
  <c r="P88" i="184" s="1"/>
  <c r="O103" i="184"/>
  <c r="J113" i="184"/>
  <c r="O113" i="184" s="1"/>
  <c r="P113" i="184" s="1"/>
  <c r="N108" i="184"/>
  <c r="F128" i="184"/>
  <c r="G128" i="184"/>
  <c r="H130" i="184"/>
  <c r="D130" i="184"/>
  <c r="K135" i="184"/>
  <c r="K137" i="184" s="1"/>
  <c r="O149" i="184"/>
  <c r="H151" i="184"/>
  <c r="D151" i="184"/>
  <c r="G160" i="184"/>
  <c r="G162" i="184" s="1"/>
  <c r="L160" i="184"/>
  <c r="L162" i="184" s="1"/>
  <c r="I158" i="184"/>
  <c r="K184" i="184"/>
  <c r="O177" i="184"/>
  <c r="D206" i="184"/>
  <c r="P204" i="184"/>
  <c r="I204" i="184"/>
  <c r="E204" i="184"/>
  <c r="O200" i="184"/>
  <c r="N201" i="184"/>
  <c r="E201" i="184"/>
  <c r="O201" i="184"/>
  <c r="P222" i="184"/>
  <c r="O244" i="184"/>
  <c r="K245" i="184"/>
  <c r="N245" i="184"/>
  <c r="J245" i="184"/>
  <c r="M245" i="184"/>
  <c r="L245" i="184"/>
  <c r="I245" i="184"/>
  <c r="H245" i="184"/>
  <c r="N279" i="184"/>
  <c r="J279" i="184"/>
  <c r="M279" i="184"/>
  <c r="I279" i="184"/>
  <c r="L279" i="184"/>
  <c r="P279" i="184"/>
  <c r="K279" i="184"/>
  <c r="H279" i="184"/>
  <c r="N295" i="184"/>
  <c r="J295" i="184"/>
  <c r="M295" i="184"/>
  <c r="I295" i="184"/>
  <c r="L295" i="184"/>
  <c r="P295" i="184"/>
  <c r="K295" i="184"/>
  <c r="H295" i="184"/>
  <c r="L93" i="184"/>
  <c r="I89" i="184"/>
  <c r="P89" i="184" s="1"/>
  <c r="E89" i="184"/>
  <c r="H89" i="184"/>
  <c r="D89" i="184"/>
  <c r="F106" i="184"/>
  <c r="J106" i="184"/>
  <c r="I104" i="184"/>
  <c r="E104" i="184"/>
  <c r="H104" i="184"/>
  <c r="D104" i="184"/>
  <c r="H126" i="184"/>
  <c r="D126" i="184"/>
  <c r="G135" i="184"/>
  <c r="L135" i="184"/>
  <c r="P132" i="184"/>
  <c r="H132" i="184"/>
  <c r="D132" i="184"/>
  <c r="F135" i="184"/>
  <c r="M162" i="184"/>
  <c r="C153" i="184"/>
  <c r="C162" i="184" s="1"/>
  <c r="N160" i="184"/>
  <c r="H157" i="184"/>
  <c r="D157" i="184"/>
  <c r="I193" i="184"/>
  <c r="E193" i="184"/>
  <c r="H193" i="184"/>
  <c r="F197" i="184"/>
  <c r="O195" i="184"/>
  <c r="M204" i="184"/>
  <c r="M206" i="184" s="1"/>
  <c r="N204" i="184"/>
  <c r="O220" i="184"/>
  <c r="O54" i="184"/>
  <c r="M84" i="184"/>
  <c r="M93" i="184" s="1"/>
  <c r="H81" i="184"/>
  <c r="D81" i="184"/>
  <c r="E82" i="184"/>
  <c r="F91" i="184"/>
  <c r="J91" i="184"/>
  <c r="J93" i="184" s="1"/>
  <c r="C106" i="184"/>
  <c r="G106" i="184"/>
  <c r="G115" i="184" s="1"/>
  <c r="K106" i="184"/>
  <c r="K115" i="184" s="1"/>
  <c r="I108" i="184"/>
  <c r="E108" i="184"/>
  <c r="P108" i="184"/>
  <c r="H108" i="184"/>
  <c r="D108" i="184"/>
  <c r="D113" i="184" s="1"/>
  <c r="O109" i="184"/>
  <c r="M128" i="184"/>
  <c r="I125" i="184"/>
  <c r="C128" i="184"/>
  <c r="C135" i="184"/>
  <c r="I131" i="184"/>
  <c r="J153" i="184"/>
  <c r="J162" i="184" s="1"/>
  <c r="O148" i="184"/>
  <c r="H149" i="184"/>
  <c r="D149" i="184"/>
  <c r="O151" i="184"/>
  <c r="I156" i="184"/>
  <c r="C175" i="184"/>
  <c r="I182" i="184"/>
  <c r="E182" i="184"/>
  <c r="F184" i="184"/>
  <c r="H182" i="184"/>
  <c r="C182" i="184"/>
  <c r="O199" i="184"/>
  <c r="G204" i="184"/>
  <c r="G206" i="184" s="1"/>
  <c r="L222" i="184"/>
  <c r="L231" i="184" s="1"/>
  <c r="O218" i="184"/>
  <c r="N218" i="184"/>
  <c r="M229" i="184"/>
  <c r="M231" i="184" s="1"/>
  <c r="N250" i="184"/>
  <c r="J250" i="184"/>
  <c r="M250" i="184"/>
  <c r="I250" i="184"/>
  <c r="L250" i="184"/>
  <c r="K250" i="184"/>
  <c r="O250" i="184" s="1"/>
  <c r="H250" i="184"/>
  <c r="F175" i="184"/>
  <c r="K229" i="184"/>
  <c r="H227" i="184"/>
  <c r="D227" i="184"/>
  <c r="F229" i="184"/>
  <c r="N246" i="184"/>
  <c r="J246" i="184"/>
  <c r="O246" i="184" s="1"/>
  <c r="M246" i="184"/>
  <c r="I246" i="184"/>
  <c r="H246" i="184"/>
  <c r="P246" i="184"/>
  <c r="N291" i="184"/>
  <c r="J291" i="184"/>
  <c r="M291" i="184"/>
  <c r="I291" i="184"/>
  <c r="L291" i="184"/>
  <c r="H291" i="184"/>
  <c r="N86" i="184"/>
  <c r="N88" i="184"/>
  <c r="N101" i="184"/>
  <c r="N103" i="184"/>
  <c r="N109" i="184"/>
  <c r="E123" i="184"/>
  <c r="I123" i="184"/>
  <c r="E125" i="184"/>
  <c r="O130" i="184"/>
  <c r="P130" i="184" s="1"/>
  <c r="E131" i="184"/>
  <c r="E133" i="184"/>
  <c r="E148" i="184"/>
  <c r="I148" i="184"/>
  <c r="E150" i="184"/>
  <c r="O155" i="184"/>
  <c r="E156" i="184"/>
  <c r="E158" i="184"/>
  <c r="O170" i="184"/>
  <c r="P170" i="184" s="1"/>
  <c r="E171" i="184"/>
  <c r="E173" i="184"/>
  <c r="E177" i="184"/>
  <c r="I177" i="184"/>
  <c r="E179" i="184"/>
  <c r="N192" i="184"/>
  <c r="E195" i="184"/>
  <c r="C197" i="184"/>
  <c r="C206" i="184" s="1"/>
  <c r="E199" i="184"/>
  <c r="I199" i="184"/>
  <c r="I218" i="184"/>
  <c r="E218" i="184"/>
  <c r="N220" i="184"/>
  <c r="G229" i="184"/>
  <c r="K246" i="184"/>
  <c r="K253" i="184"/>
  <c r="N253" i="184"/>
  <c r="J253" i="184"/>
  <c r="H253" i="184"/>
  <c r="P253" i="184"/>
  <c r="N260" i="184"/>
  <c r="J260" i="184"/>
  <c r="M260" i="184"/>
  <c r="I260" i="184"/>
  <c r="L260" i="184"/>
  <c r="K260" i="184"/>
  <c r="O260" i="184" s="1"/>
  <c r="H260" i="184"/>
  <c r="N287" i="184"/>
  <c r="J287" i="184"/>
  <c r="M287" i="184"/>
  <c r="I287" i="184"/>
  <c r="L287" i="184"/>
  <c r="H287" i="184"/>
  <c r="O288" i="184"/>
  <c r="K291" i="184"/>
  <c r="O86" i="184"/>
  <c r="P86" i="184" s="1"/>
  <c r="O101" i="184"/>
  <c r="D170" i="184"/>
  <c r="H170" i="184"/>
  <c r="D172" i="184"/>
  <c r="H172" i="184"/>
  <c r="D178" i="184"/>
  <c r="D182" i="184" s="1"/>
  <c r="H178" i="184"/>
  <c r="D180" i="184"/>
  <c r="H180" i="184"/>
  <c r="C222" i="184"/>
  <c r="G222" i="184"/>
  <c r="I222" i="184" s="1"/>
  <c r="K222" i="184"/>
  <c r="K231" i="184" s="1"/>
  <c r="I220" i="184"/>
  <c r="E220" i="184"/>
  <c r="I224" i="184"/>
  <c r="L246" i="184"/>
  <c r="K249" i="184"/>
  <c r="N249" i="184"/>
  <c r="J249" i="184"/>
  <c r="O249" i="184" s="1"/>
  <c r="H249" i="184"/>
  <c r="P249" i="184"/>
  <c r="I253" i="184"/>
  <c r="N254" i="184"/>
  <c r="J254" i="184"/>
  <c r="M254" i="184"/>
  <c r="I254" i="184"/>
  <c r="H254" i="184"/>
  <c r="P254" i="184"/>
  <c r="K259" i="184"/>
  <c r="N259" i="184"/>
  <c r="J259" i="184"/>
  <c r="M259" i="184"/>
  <c r="L259" i="184"/>
  <c r="H259" i="184"/>
  <c r="N283" i="184"/>
  <c r="J283" i="184"/>
  <c r="O283" i="184" s="1"/>
  <c r="M283" i="184"/>
  <c r="I283" i="184"/>
  <c r="L283" i="184"/>
  <c r="H283" i="184"/>
  <c r="K287" i="184"/>
  <c r="O287" i="184" s="1"/>
  <c r="P291" i="184"/>
  <c r="N299" i="184"/>
  <c r="J299" i="184"/>
  <c r="M299" i="184"/>
  <c r="I299" i="184"/>
  <c r="L299" i="184"/>
  <c r="H299" i="184"/>
  <c r="H247" i="184"/>
  <c r="L247" i="184"/>
  <c r="O247" i="184" s="1"/>
  <c r="P247" i="184"/>
  <c r="H251" i="184"/>
  <c r="L251" i="184"/>
  <c r="P251" i="184"/>
  <c r="K255" i="184"/>
  <c r="N255" i="184"/>
  <c r="J255" i="184"/>
  <c r="O255" i="184" s="1"/>
  <c r="H255" i="184"/>
  <c r="P255" i="184"/>
  <c r="K263" i="184"/>
  <c r="N263" i="184"/>
  <c r="J263" i="184"/>
  <c r="H263" i="184"/>
  <c r="P263" i="184"/>
  <c r="N268" i="184"/>
  <c r="I268" i="184"/>
  <c r="O217" i="184"/>
  <c r="H244" i="184"/>
  <c r="L244" i="184"/>
  <c r="I247" i="184"/>
  <c r="H248" i="184"/>
  <c r="L248" i="184"/>
  <c r="O248" i="184" s="1"/>
  <c r="I251" i="184"/>
  <c r="H252" i="184"/>
  <c r="L252" i="184"/>
  <c r="O252" i="184" s="1"/>
  <c r="I255" i="184"/>
  <c r="N256" i="184"/>
  <c r="J256" i="184"/>
  <c r="M256" i="184"/>
  <c r="I256" i="184"/>
  <c r="H256" i="184"/>
  <c r="P256" i="184"/>
  <c r="I263" i="184"/>
  <c r="N264" i="184"/>
  <c r="J264" i="184"/>
  <c r="M264" i="184"/>
  <c r="I264" i="184"/>
  <c r="H264" i="184"/>
  <c r="P264" i="184"/>
  <c r="K278" i="184"/>
  <c r="O278" i="184" s="1"/>
  <c r="N278" i="184"/>
  <c r="J278" i="184"/>
  <c r="H278" i="184"/>
  <c r="P278" i="184"/>
  <c r="K282" i="184"/>
  <c r="N282" i="184"/>
  <c r="J282" i="184"/>
  <c r="O282" i="184" s="1"/>
  <c r="H282" i="184"/>
  <c r="P282" i="184"/>
  <c r="K286" i="184"/>
  <c r="O286" i="184" s="1"/>
  <c r="N286" i="184"/>
  <c r="J286" i="184"/>
  <c r="H286" i="184"/>
  <c r="P286" i="184"/>
  <c r="K290" i="184"/>
  <c r="N290" i="184"/>
  <c r="J290" i="184"/>
  <c r="H290" i="184"/>
  <c r="P290" i="184"/>
  <c r="K294" i="184"/>
  <c r="N294" i="184"/>
  <c r="J294" i="184"/>
  <c r="H294" i="184"/>
  <c r="P294" i="184"/>
  <c r="K298" i="184"/>
  <c r="N298" i="184"/>
  <c r="J298" i="184"/>
  <c r="H298" i="184"/>
  <c r="P298" i="184"/>
  <c r="H257" i="184"/>
  <c r="L257" i="184"/>
  <c r="O257" i="184" s="1"/>
  <c r="P257" i="184"/>
  <c r="K258" i="184"/>
  <c r="H261" i="184"/>
  <c r="L261" i="184"/>
  <c r="O261" i="184" s="1"/>
  <c r="P261" i="184"/>
  <c r="K262" i="184"/>
  <c r="O262" i="184"/>
  <c r="H265" i="184"/>
  <c r="L265" i="184"/>
  <c r="O265" i="184" s="1"/>
  <c r="K266" i="184"/>
  <c r="H280" i="184"/>
  <c r="L280" i="184"/>
  <c r="O280" i="184" s="1"/>
  <c r="K281" i="184"/>
  <c r="H284" i="184"/>
  <c r="L284" i="184"/>
  <c r="K285" i="184"/>
  <c r="H288" i="184"/>
  <c r="L288" i="184"/>
  <c r="K289" i="184"/>
  <c r="H292" i="184"/>
  <c r="L292" i="184"/>
  <c r="O292" i="184" s="1"/>
  <c r="K293" i="184"/>
  <c r="H296" i="184"/>
  <c r="L296" i="184"/>
  <c r="O296" i="184" s="1"/>
  <c r="K297" i="184"/>
  <c r="O297" i="184" s="1"/>
  <c r="H300" i="184"/>
  <c r="L300" i="184"/>
  <c r="P300" i="184"/>
  <c r="I257" i="184"/>
  <c r="H258" i="184"/>
  <c r="L258" i="184"/>
  <c r="O258" i="184" s="1"/>
  <c r="I261" i="184"/>
  <c r="H262" i="184"/>
  <c r="L262" i="184"/>
  <c r="H266" i="184"/>
  <c r="L266" i="184"/>
  <c r="H281" i="184"/>
  <c r="L281" i="184"/>
  <c r="O281" i="184" s="1"/>
  <c r="H285" i="184"/>
  <c r="L285" i="184"/>
  <c r="H289" i="184"/>
  <c r="L289" i="184"/>
  <c r="O289" i="184" s="1"/>
  <c r="H293" i="184"/>
  <c r="L293" i="184"/>
  <c r="H297" i="184"/>
  <c r="L297" i="184"/>
  <c r="I300" i="184"/>
  <c r="H302" i="184"/>
  <c r="O290" i="184" l="1"/>
  <c r="O291" i="184"/>
  <c r="O204" i="184"/>
  <c r="O295" i="184"/>
  <c r="O279" i="184"/>
  <c r="D46" i="184"/>
  <c r="M184" i="184"/>
  <c r="J184" i="184"/>
  <c r="H22" i="184"/>
  <c r="O293" i="184"/>
  <c r="J115" i="184"/>
  <c r="K268" i="184"/>
  <c r="D175" i="184"/>
  <c r="O229" i="184"/>
  <c r="D128" i="184"/>
  <c r="J206" i="184"/>
  <c r="J46" i="184"/>
  <c r="D44" i="184"/>
  <c r="O300" i="184"/>
  <c r="D115" i="184"/>
  <c r="O294" i="184"/>
  <c r="O298" i="184"/>
  <c r="O251" i="184"/>
  <c r="O254" i="184"/>
  <c r="M137" i="184"/>
  <c r="D160" i="184"/>
  <c r="D162" i="184" s="1"/>
  <c r="O266" i="184"/>
  <c r="O253" i="184"/>
  <c r="O42" i="184"/>
  <c r="O285" i="184"/>
  <c r="O263" i="184"/>
  <c r="O299" i="184"/>
  <c r="O259" i="184"/>
  <c r="P177" i="184"/>
  <c r="O245" i="184"/>
  <c r="G137" i="184"/>
  <c r="L206" i="184"/>
  <c r="G184" i="184"/>
  <c r="N162" i="184"/>
  <c r="O162" i="184"/>
  <c r="O93" i="184"/>
  <c r="N93" i="184"/>
  <c r="O206" i="184"/>
  <c r="N206" i="184"/>
  <c r="I227" i="184"/>
  <c r="D184" i="184"/>
  <c r="L302" i="184"/>
  <c r="N182" i="184"/>
  <c r="C184" i="184"/>
  <c r="O182" i="184"/>
  <c r="P182" i="184" s="1"/>
  <c r="N128" i="184"/>
  <c r="N133" i="184" s="1"/>
  <c r="O128" i="184"/>
  <c r="O106" i="184"/>
  <c r="N106" i="184"/>
  <c r="I206" i="184"/>
  <c r="D84" i="184"/>
  <c r="O256" i="184"/>
  <c r="N111" i="184"/>
  <c r="P197" i="184"/>
  <c r="H197" i="184"/>
  <c r="I197" i="184"/>
  <c r="E197" i="184"/>
  <c r="F137" i="184"/>
  <c r="H135" i="184"/>
  <c r="I135" i="184"/>
  <c r="I137" i="184" s="1"/>
  <c r="E135" i="184"/>
  <c r="J268" i="184"/>
  <c r="H204" i="184"/>
  <c r="D135" i="184"/>
  <c r="I128" i="184"/>
  <c r="E128" i="184"/>
  <c r="P128" i="184"/>
  <c r="H128" i="184"/>
  <c r="E153" i="184"/>
  <c r="N46" i="184"/>
  <c r="O46" i="184"/>
  <c r="I66" i="184"/>
  <c r="P66" i="184" s="1"/>
  <c r="E66" i="184"/>
  <c r="F68" i="184"/>
  <c r="H66" i="184"/>
  <c r="N42" i="184"/>
  <c r="D15" i="184"/>
  <c r="D24" i="184" s="1"/>
  <c r="N68" i="184"/>
  <c r="O68" i="184"/>
  <c r="C24" i="184"/>
  <c r="E24" i="184" s="1"/>
  <c r="I46" i="184"/>
  <c r="E46" i="184"/>
  <c r="H46" i="184"/>
  <c r="P46" i="184"/>
  <c r="M24" i="184"/>
  <c r="K302" i="184"/>
  <c r="C115" i="184"/>
  <c r="H115" i="184"/>
  <c r="I115" i="184"/>
  <c r="J302" i="184"/>
  <c r="O264" i="184"/>
  <c r="L268" i="184"/>
  <c r="O197" i="184"/>
  <c r="O202" i="184" s="1"/>
  <c r="N197" i="184"/>
  <c r="N202" i="184" s="1"/>
  <c r="F231" i="184"/>
  <c r="P229" i="184"/>
  <c r="I229" i="184"/>
  <c r="E229" i="184"/>
  <c r="H175" i="184"/>
  <c r="I175" i="184"/>
  <c r="E175" i="184"/>
  <c r="H222" i="184"/>
  <c r="E91" i="184"/>
  <c r="F93" i="184"/>
  <c r="I91" i="184"/>
  <c r="P91" i="184" s="1"/>
  <c r="H91" i="184"/>
  <c r="N153" i="184"/>
  <c r="N158" i="184" s="1"/>
  <c r="O153" i="184"/>
  <c r="P153" i="184" s="1"/>
  <c r="I106" i="184"/>
  <c r="P106" i="184" s="1"/>
  <c r="H106" i="184"/>
  <c r="E106" i="184"/>
  <c r="F206" i="184"/>
  <c r="D91" i="184"/>
  <c r="I84" i="184"/>
  <c r="P84" i="184" s="1"/>
  <c r="E84" i="184"/>
  <c r="H84" i="184"/>
  <c r="L137" i="184"/>
  <c r="I59" i="184"/>
  <c r="P59" i="184" s="1"/>
  <c r="E59" i="184"/>
  <c r="H59" i="184"/>
  <c r="N22" i="184"/>
  <c r="G24" i="184"/>
  <c r="I24" i="184" s="1"/>
  <c r="I15" i="184"/>
  <c r="O222" i="184"/>
  <c r="O227" i="184" s="1"/>
  <c r="C231" i="184"/>
  <c r="N222" i="184"/>
  <c r="N227" i="184" s="1"/>
  <c r="G231" i="184"/>
  <c r="H184" i="184"/>
  <c r="E184" i="184"/>
  <c r="I184" i="184"/>
  <c r="O175" i="184"/>
  <c r="N175" i="184"/>
  <c r="N180" i="184" s="1"/>
  <c r="O135" i="184"/>
  <c r="C137" i="184"/>
  <c r="N135" i="184"/>
  <c r="E222" i="184"/>
  <c r="O84" i="184"/>
  <c r="N84" i="184"/>
  <c r="N89" i="184" s="1"/>
  <c r="D59" i="184"/>
  <c r="F162" i="184"/>
  <c r="P160" i="184"/>
  <c r="H160" i="184"/>
  <c r="I160" i="184"/>
  <c r="I162" i="184" s="1"/>
  <c r="E160" i="184"/>
  <c r="D66" i="184"/>
  <c r="O91" i="184"/>
  <c r="H24" i="184"/>
  <c r="D137" i="184" l="1"/>
  <c r="P175" i="184"/>
  <c r="O302" i="184"/>
  <c r="N137" i="184"/>
  <c r="O137" i="184"/>
  <c r="I93" i="184"/>
  <c r="P93" i="184" s="1"/>
  <c r="E93" i="184"/>
  <c r="H93" i="184"/>
  <c r="O115" i="184"/>
  <c r="P115" i="184" s="1"/>
  <c r="N115" i="184"/>
  <c r="E162" i="184"/>
  <c r="P162" i="184"/>
  <c r="H162" i="184"/>
  <c r="E115" i="184"/>
  <c r="I68" i="184"/>
  <c r="P68" i="184" s="1"/>
  <c r="E68" i="184"/>
  <c r="H68" i="184"/>
  <c r="O268" i="184"/>
  <c r="P135" i="184"/>
  <c r="D93" i="184"/>
  <c r="O184" i="184"/>
  <c r="N184" i="184"/>
  <c r="D68" i="184"/>
  <c r="O231" i="184"/>
  <c r="N231" i="184"/>
  <c r="H206" i="184"/>
  <c r="E206" i="184"/>
  <c r="E231" i="184"/>
  <c r="I231" i="184"/>
  <c r="P231" i="184"/>
  <c r="N24" i="184"/>
  <c r="O24" i="184"/>
  <c r="P24" i="184" s="1"/>
  <c r="E137" i="184"/>
  <c r="P137" i="184"/>
  <c r="H137" i="184"/>
</calcChain>
</file>

<file path=xl/sharedStrings.xml><?xml version="1.0" encoding="utf-8"?>
<sst xmlns="http://schemas.openxmlformats.org/spreadsheetml/2006/main" count="3355" uniqueCount="168">
  <si>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</si>
  <si>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</si>
  <si>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</si>
  <si>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</si>
  <si>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</si>
  <si>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</si>
  <si>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</si>
  <si>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</si>
  <si>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</si>
  <si>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</si>
  <si>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</si>
  <si>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</si>
  <si>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</si>
  <si>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</si>
  <si>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</si>
  <si>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</si>
  <si>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</si>
  <si>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</si>
  <si>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</si>
  <si>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</si>
  <si>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</si>
  <si>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</si>
  <si>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</si>
  <si>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</si>
  <si>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</si>
  <si>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</si>
  <si>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</si>
  <si>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</si>
  <si>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</si>
  <si>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</si>
  <si>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</si>
  <si>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</si>
  <si>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</si>
  <si>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</si>
  <si>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</si>
  <si>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</si>
  <si>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</si>
  <si>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</si>
  <si>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</si>
  <si>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</si>
  <si>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</si>
  <si>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</si>
  <si>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</si>
  <si>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</si>
  <si>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</si>
  <si>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</si>
  <si>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</si>
  <si>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</si>
  <si>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</si>
  <si>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</si>
  <si>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</si>
  <si>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</si>
  <si>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</si>
  <si>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</si>
  <si>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</si>
  <si>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</si>
  <si>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</si>
  <si>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</si>
  <si>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</si>
  <si>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</si>
  <si>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</si>
  <si>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</si>
  <si>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</si>
  <si>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</si>
  <si>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</si>
  <si>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</si>
  <si>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</si>
  <si>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</si>
  <si>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</si>
  <si>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</si>
  <si>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</si>
  <si>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</si>
  <si>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</si>
  <si>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</si>
  <si>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</si>
  <si>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</si>
  <si>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</si>
  <si>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</si>
  <si>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</si>
  <si>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</si>
  <si>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</si>
  <si>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</si>
  <si>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</si>
  <si>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</si>
  <si>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</si>
  <si>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</si>
  <si>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</si>
  <si>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</si>
  <si>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</si>
  <si>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</si>
  <si>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</si>
  <si>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</si>
  <si>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</si>
  <si>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</si>
  <si>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</si>
  <si>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</si>
  <si>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</si>
  <si>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</si>
  <si>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</si>
  <si>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</si>
  <si>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</si>
  <si>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</si>
  <si>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</si>
  <si>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</si>
  <si>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</si>
  <si>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</si>
  <si>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</si>
  <si>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</si>
  <si>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</si>
  <si>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</si>
  <si>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</si>
  <si>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</si>
  <si>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</si>
  <si>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</si>
  <si>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</si>
  <si>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</si>
  <si>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</si>
  <si>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</si>
  <si>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</si>
  <si>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</si>
  <si>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</si>
  <si>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</si>
  <si>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</si>
  <si>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</si>
  <si>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</si>
  <si>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</si>
  <si>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</si>
  <si>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</si>
  <si>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</si>
  <si>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</si>
  <si>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</si>
  <si>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</si>
  <si>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</si>
  <si>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</si>
  <si>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</si>
  <si>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</si>
  <si>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</si>
  <si>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</si>
  <si>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</si>
  <si>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</si>
  <si>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</si>
  <si>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</si>
  <si>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</si>
  <si>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</si>
  <si>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</si>
  <si>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</si>
  <si>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</si>
  <si>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</si>
  <si>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</si>
  <si>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</si>
  <si>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</si>
  <si>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</si>
  <si>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</si>
  <si>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</si>
  <si>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</si>
  <si>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</si>
  <si>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</si>
  <si>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</si>
  <si>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</si>
  <si>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</si>
  <si>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</si>
  <si>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</si>
  <si>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</si>
  <si>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</si>
  <si>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</si>
  <si>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</si>
  <si>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This weeks report includes swap numbers 825-881</t>
  </si>
  <si>
    <t>Number of Weeks to end of year is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</si>
</sst>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3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18" fillId="2" borderId="0" xfId="0" applyFont="1" applyFill="1"/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1\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1\Pelreps\Pelrep_20_1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Alloc%202021\Combined%20EWSNI%20Alloc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Clyde Firth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P6">
            <v>0.57999999999999996</v>
          </cell>
          <cell r="R6">
            <v>0.4532499985918404</v>
          </cell>
          <cell r="S6">
            <v>0.15975</v>
          </cell>
          <cell r="W6">
            <v>1.1929999985918405</v>
          </cell>
          <cell r="AI6" t="str">
            <v>Aberdeen</v>
          </cell>
          <cell r="AR6">
            <v>5.1499999999999995</v>
          </cell>
          <cell r="AW6">
            <v>5.1499999999999995</v>
          </cell>
        </row>
        <row r="7">
          <cell r="I7" t="str">
            <v>Cornish</v>
          </cell>
          <cell r="L7">
            <v>2.6501815981417889</v>
          </cell>
          <cell r="M7">
            <v>10.048381954841309</v>
          </cell>
          <cell r="N7">
            <v>4.4044999999999996</v>
          </cell>
          <cell r="P7">
            <v>8.1820000038146983</v>
          </cell>
          <cell r="R7">
            <v>2.1864999661445625</v>
          </cell>
          <cell r="T7">
            <v>1.1800000190734865</v>
          </cell>
          <cell r="W7">
            <v>28.651563542015843</v>
          </cell>
          <cell r="AI7" t="str">
            <v>England, NI</v>
          </cell>
          <cell r="AJ7">
            <v>2.3167999937683326</v>
          </cell>
          <cell r="AL7">
            <v>1079.7976115862725</v>
          </cell>
          <cell r="AM7">
            <v>2994.867282599163</v>
          </cell>
          <cell r="AN7">
            <v>225.34520200377685</v>
          </cell>
          <cell r="AP7">
            <v>19.727999980807308</v>
          </cell>
          <cell r="AQ7">
            <v>180.3</v>
          </cell>
          <cell r="AR7">
            <v>9.9460699920579803</v>
          </cell>
          <cell r="AS7">
            <v>510.35199999999998</v>
          </cell>
          <cell r="AT7">
            <v>1.7800000190734866</v>
          </cell>
          <cell r="AW7">
            <v>5024.4329661749198</v>
          </cell>
        </row>
        <row r="8">
          <cell r="I8" t="str">
            <v>FPO</v>
          </cell>
          <cell r="J8">
            <v>0.06</v>
          </cell>
          <cell r="M8">
            <v>0.31715000024437906</v>
          </cell>
          <cell r="W8">
            <v>0.37715000024437906</v>
          </cell>
          <cell r="AI8" t="str">
            <v>France</v>
          </cell>
          <cell r="AJ8">
            <v>1440.6119999609575</v>
          </cell>
          <cell r="AL8">
            <v>9.8620000190734896</v>
          </cell>
          <cell r="AM8">
            <v>122.77499998641014</v>
          </cell>
          <cell r="AR8">
            <v>4.0600000000000005</v>
          </cell>
          <cell r="AW8">
            <v>1577.3089999664412</v>
          </cell>
        </row>
        <row r="9">
          <cell r="I9" t="str">
            <v>NESFO</v>
          </cell>
          <cell r="M9">
            <v>1.1599999999999999</v>
          </cell>
          <cell r="P9">
            <v>1.76</v>
          </cell>
          <cell r="R9">
            <v>1.7</v>
          </cell>
          <cell r="S9">
            <v>0.12</v>
          </cell>
          <cell r="T9">
            <v>0.32</v>
          </cell>
          <cell r="W9">
            <v>5.0600000000000005</v>
          </cell>
          <cell r="AI9" t="str">
            <v>Fraserburgh</v>
          </cell>
          <cell r="AP9">
            <v>325.24</v>
          </cell>
          <cell r="AR9">
            <v>1.1599999999999999</v>
          </cell>
          <cell r="AS9">
            <v>2.6799999999999997</v>
          </cell>
          <cell r="AT9">
            <v>2.33</v>
          </cell>
          <cell r="AW9">
            <v>331.41</v>
          </cell>
        </row>
        <row r="10">
          <cell r="I10" t="str">
            <v>NIFPO</v>
          </cell>
          <cell r="L10">
            <v>0.35</v>
          </cell>
          <cell r="M10">
            <v>1369.4000000076294</v>
          </cell>
          <cell r="P10">
            <v>10.855999976992608</v>
          </cell>
          <cell r="R10">
            <v>0.97900000095367434</v>
          </cell>
          <cell r="T10">
            <v>0.60000000000000009</v>
          </cell>
          <cell r="W10">
            <v>1382.1849999855754</v>
          </cell>
          <cell r="AI10" t="str">
            <v>Kinlochbervie</v>
          </cell>
          <cell r="AL10">
            <v>7.8599999999999994</v>
          </cell>
          <cell r="AM10">
            <v>3.74</v>
          </cell>
          <cell r="AW10">
            <v>11.6</v>
          </cell>
        </row>
        <row r="11">
          <cell r="I11" t="str">
            <v>SFO</v>
          </cell>
          <cell r="K11">
            <v>0.63</v>
          </cell>
          <cell r="L11">
            <v>15.190000000000001</v>
          </cell>
          <cell r="M11">
            <v>26174.860000000004</v>
          </cell>
          <cell r="P11">
            <v>12.69</v>
          </cell>
          <cell r="R11">
            <v>3.9569999999999999</v>
          </cell>
          <cell r="S11">
            <v>18731.61</v>
          </cell>
          <cell r="T11">
            <v>1639.79</v>
          </cell>
          <cell r="V11">
            <v>12890.6</v>
          </cell>
          <cell r="W11">
            <v>59469.327000000005</v>
          </cell>
          <cell r="AI11" t="str">
            <v>Mallaig</v>
          </cell>
          <cell r="AM11">
            <v>0.81</v>
          </cell>
          <cell r="AW11">
            <v>0.81</v>
          </cell>
        </row>
        <row r="12">
          <cell r="I12" t="str">
            <v>Shetland</v>
          </cell>
          <cell r="K12">
            <v>690.9</v>
          </cell>
          <cell r="L12">
            <v>11.27</v>
          </cell>
          <cell r="M12">
            <v>8735.68</v>
          </cell>
          <cell r="P12">
            <v>19.900000000000002</v>
          </cell>
          <cell r="S12">
            <v>10543.81</v>
          </cell>
          <cell r="T12">
            <v>13317.550000000001</v>
          </cell>
          <cell r="V12">
            <v>9759.32</v>
          </cell>
          <cell r="W12">
            <v>43078.43</v>
          </cell>
          <cell r="AI12" t="str">
            <v>Peterhead</v>
          </cell>
          <cell r="AJ12">
            <v>0.06</v>
          </cell>
          <cell r="AK12">
            <v>97.93</v>
          </cell>
          <cell r="AL12">
            <v>439.02</v>
          </cell>
          <cell r="AM12">
            <v>28554.660000000003</v>
          </cell>
          <cell r="AP12">
            <v>108.96000000000001</v>
          </cell>
          <cell r="AR12">
            <v>26.949999999999992</v>
          </cell>
          <cell r="AS12">
            <v>21821.450000000004</v>
          </cell>
          <cell r="AT12">
            <v>3698.11</v>
          </cell>
          <cell r="AV12">
            <v>21348.949999999997</v>
          </cell>
          <cell r="AW12">
            <v>76096.09</v>
          </cell>
        </row>
        <row r="13">
          <cell r="I13" t="str">
            <v>South West</v>
          </cell>
          <cell r="J13">
            <v>0.30009999994188541</v>
          </cell>
          <cell r="L13">
            <v>0.20329999899864198</v>
          </cell>
          <cell r="M13">
            <v>2.6500510213896615</v>
          </cell>
          <cell r="W13">
            <v>3.1534510203301886</v>
          </cell>
          <cell r="AI13" t="str">
            <v>Shetland</v>
          </cell>
          <cell r="AM13">
            <v>5085.79</v>
          </cell>
          <cell r="AP13">
            <v>458.76</v>
          </cell>
          <cell r="AS13">
            <v>10044.400000000001</v>
          </cell>
          <cell r="AT13">
            <v>2177.5699999999997</v>
          </cell>
          <cell r="AW13">
            <v>17766.52</v>
          </cell>
        </row>
        <row r="14">
          <cell r="I14" t="str">
            <v>(blank)</v>
          </cell>
          <cell r="AI14" t="str">
            <v>Ullapool</v>
          </cell>
          <cell r="AL14">
            <v>3.56</v>
          </cell>
          <cell r="AM14">
            <v>3.21</v>
          </cell>
          <cell r="AP14">
            <v>5.6</v>
          </cell>
          <cell r="AW14">
            <v>12.37</v>
          </cell>
        </row>
        <row r="15">
          <cell r="I15" t="str">
            <v>ANIFPO</v>
          </cell>
          <cell r="L15">
            <v>1342.5859999999998</v>
          </cell>
          <cell r="M15">
            <v>6799.2010000039345</v>
          </cell>
          <cell r="Q15">
            <v>180.3</v>
          </cell>
          <cell r="R15">
            <v>0.01</v>
          </cell>
          <cell r="S15">
            <v>5485.0690000000004</v>
          </cell>
          <cell r="T15">
            <v>2789.4029999999998</v>
          </cell>
          <cell r="W15">
            <v>16596.569000003932</v>
          </cell>
          <cell r="AI15" t="str">
            <v>(blank)</v>
          </cell>
        </row>
        <row r="16">
          <cell r="I16" t="str">
            <v>Aberdeen</v>
          </cell>
          <cell r="L16">
            <v>0.28000000000000003</v>
          </cell>
          <cell r="P16">
            <v>12.700000000000001</v>
          </cell>
          <cell r="R16">
            <v>5.82</v>
          </cell>
          <cell r="S16">
            <v>7.0000000000000007E-2</v>
          </cell>
          <cell r="T16">
            <v>2.29</v>
          </cell>
          <cell r="W16">
            <v>21.16</v>
          </cell>
          <cell r="AI16" t="str">
            <v>Ayr</v>
          </cell>
          <cell r="AM16">
            <v>1.37</v>
          </cell>
          <cell r="AW16">
            <v>1.37</v>
          </cell>
        </row>
        <row r="17">
          <cell r="I17" t="str">
            <v>West Scot.</v>
          </cell>
          <cell r="T17">
            <v>0.02</v>
          </cell>
          <cell r="W17">
            <v>0.02</v>
          </cell>
          <cell r="AI17" t="str">
            <v>Netherlands</v>
          </cell>
          <cell r="AJ17">
            <v>57.670853458285336</v>
          </cell>
          <cell r="AK17">
            <v>4.5430000076293942</v>
          </cell>
          <cell r="AM17">
            <v>11513.01827230295</v>
          </cell>
          <cell r="AP17">
            <v>215.74050032138831</v>
          </cell>
          <cell r="AR17">
            <v>204.64700028295817</v>
          </cell>
          <cell r="AS17">
            <v>9011.5410087715427</v>
          </cell>
          <cell r="AT17">
            <v>251.75700170898438</v>
          </cell>
          <cell r="AU17">
            <v>9.8252998046875</v>
          </cell>
          <cell r="AV17">
            <v>7202.1500341720584</v>
          </cell>
          <cell r="AW17">
            <v>28470.892970830486</v>
          </cell>
        </row>
        <row r="18">
          <cell r="I18" t="str">
            <v>Fife</v>
          </cell>
          <cell r="J18">
            <v>9.5040000133514422</v>
          </cell>
          <cell r="M18">
            <v>56.038999880790755</v>
          </cell>
          <cell r="P18">
            <v>1.3900000000000001</v>
          </cell>
          <cell r="R18">
            <v>15.901000007629396</v>
          </cell>
          <cell r="T18">
            <v>0.04</v>
          </cell>
          <cell r="W18">
            <v>82.873999901771597</v>
          </cell>
          <cell r="AI18" t="str">
            <v>Campbeltown</v>
          </cell>
          <cell r="AM18">
            <v>0.03</v>
          </cell>
          <cell r="AW18">
            <v>0.03</v>
          </cell>
        </row>
        <row r="19">
          <cell r="I19" t="str">
            <v>Orkney</v>
          </cell>
          <cell r="T19">
            <v>0.15</v>
          </cell>
          <cell r="W19">
            <v>0.15</v>
          </cell>
          <cell r="AI19" t="str">
            <v>Stornoway</v>
          </cell>
          <cell r="AM19">
            <v>6.31</v>
          </cell>
          <cell r="AW19">
            <v>6.31</v>
          </cell>
        </row>
        <row r="20">
          <cell r="I20" t="str">
            <v>North Sea</v>
          </cell>
          <cell r="J20">
            <v>14.034000005722039</v>
          </cell>
          <cell r="M20">
            <v>19.031000035285945</v>
          </cell>
          <cell r="R20">
            <v>3.3839999732971178</v>
          </cell>
          <cell r="S20">
            <v>5.8999999999999997E-2</v>
          </cell>
          <cell r="W20">
            <v>36.508000014305097</v>
          </cell>
          <cell r="AI20" t="str">
            <v>Eyemouth</v>
          </cell>
          <cell r="AR20">
            <v>13.939999999999994</v>
          </cell>
          <cell r="AW20">
            <v>13.939999999999994</v>
          </cell>
        </row>
        <row r="21">
          <cell r="I21" t="str">
            <v>Lunar</v>
          </cell>
          <cell r="L21">
            <v>1.22</v>
          </cell>
          <cell r="M21">
            <v>11276.07</v>
          </cell>
          <cell r="P21">
            <v>29.6</v>
          </cell>
          <cell r="R21">
            <v>0.21</v>
          </cell>
          <cell r="S21">
            <v>6382.0399999999991</v>
          </cell>
          <cell r="T21">
            <v>1453.98</v>
          </cell>
          <cell r="V21">
            <v>24885.629999999997</v>
          </cell>
          <cell r="W21">
            <v>44028.75</v>
          </cell>
          <cell r="AI21" t="str">
            <v>Oban</v>
          </cell>
          <cell r="AM21">
            <v>0.26</v>
          </cell>
          <cell r="AW21">
            <v>0.26</v>
          </cell>
        </row>
        <row r="22">
          <cell r="I22" t="str">
            <v>EEFPO</v>
          </cell>
          <cell r="P22">
            <v>0.79</v>
          </cell>
          <cell r="R22">
            <v>0.03</v>
          </cell>
          <cell r="S22">
            <v>0.25</v>
          </cell>
          <cell r="T22">
            <v>0.53</v>
          </cell>
          <cell r="W22">
            <v>1.6</v>
          </cell>
          <cell r="AI22" t="str">
            <v>Portree</v>
          </cell>
          <cell r="AM22">
            <v>0.08</v>
          </cell>
          <cell r="AW22">
            <v>0.08</v>
          </cell>
        </row>
        <row r="23">
          <cell r="I23" t="str">
            <v>Lowestoft</v>
          </cell>
          <cell r="J23">
            <v>57.731059020876884</v>
          </cell>
          <cell r="L23">
            <v>7.1043000068664544</v>
          </cell>
          <cell r="M23">
            <v>43.616000060081497</v>
          </cell>
          <cell r="R23">
            <v>70.212000187173558</v>
          </cell>
          <cell r="W23">
            <v>178.66335927499841</v>
          </cell>
          <cell r="AI23" t="str">
            <v>Buckie</v>
          </cell>
          <cell r="AP23">
            <v>15.03</v>
          </cell>
          <cell r="AS23">
            <v>0.25</v>
          </cell>
          <cell r="AT23">
            <v>1.6500000000000004</v>
          </cell>
          <cell r="AW23">
            <v>16.93</v>
          </cell>
        </row>
        <row r="24">
          <cell r="I24" t="str">
            <v>Klondyke</v>
          </cell>
          <cell r="K24">
            <v>70.73</v>
          </cell>
          <cell r="L24">
            <v>434.93999999999994</v>
          </cell>
          <cell r="M24">
            <v>9588.380000000001</v>
          </cell>
          <cell r="S24">
            <v>6570.21</v>
          </cell>
          <cell r="T24">
            <v>678.37</v>
          </cell>
          <cell r="V24">
            <v>10544.32</v>
          </cell>
          <cell r="W24">
            <v>27886.95</v>
          </cell>
          <cell r="AI24" t="str">
            <v>Lochinver</v>
          </cell>
          <cell r="AM24">
            <v>1.7000000000000002</v>
          </cell>
          <cell r="AW24">
            <v>1.7000000000000002</v>
          </cell>
        </row>
        <row r="25">
          <cell r="I25" t="str">
            <v>Interfish</v>
          </cell>
          <cell r="K25">
            <v>27.2</v>
          </cell>
          <cell r="M25">
            <v>7349.240800003603</v>
          </cell>
          <cell r="S25">
            <v>7754.0200000000013</v>
          </cell>
          <cell r="T25">
            <v>2243.5299999999997</v>
          </cell>
          <cell r="V25">
            <v>6821.0199999999995</v>
          </cell>
          <cell r="W25">
            <v>24195.010800003605</v>
          </cell>
          <cell r="AI25" t="str">
            <v>Orkney</v>
          </cell>
          <cell r="AP25">
            <v>14.180000000000001</v>
          </cell>
          <cell r="AW25">
            <v>14.180000000000001</v>
          </cell>
        </row>
        <row r="26">
          <cell r="I26" t="str">
            <v>North Atlantic FPO</v>
          </cell>
          <cell r="J26">
            <v>1418.1258943720452</v>
          </cell>
          <cell r="K26">
            <v>4.5430000076293942</v>
          </cell>
          <cell r="L26">
            <v>3.5120000000000049</v>
          </cell>
          <cell r="M26">
            <v>12019.304997544374</v>
          </cell>
          <cell r="P26">
            <v>215.74050032138831</v>
          </cell>
          <cell r="R26">
            <v>121.059000141561</v>
          </cell>
          <cell r="S26">
            <v>9011.4820087715416</v>
          </cell>
          <cell r="T26">
            <v>251.75700170898438</v>
          </cell>
          <cell r="U26">
            <v>9.8252998046875</v>
          </cell>
          <cell r="V26">
            <v>7202.1500341720584</v>
          </cell>
          <cell r="W26">
            <v>30257.499736844271</v>
          </cell>
          <cell r="AI26" t="str">
            <v>Belgium</v>
          </cell>
          <cell r="AR26">
            <v>0.30199999999999999</v>
          </cell>
          <cell r="AW26">
            <v>0.30199999999999999</v>
          </cell>
        </row>
        <row r="27">
          <cell r="I27" t="str">
            <v>Under 10m - England</v>
          </cell>
          <cell r="J27">
            <v>0.84460000107437327</v>
          </cell>
          <cell r="L27">
            <v>1.7198300013393164</v>
          </cell>
          <cell r="M27">
            <v>48.179907106563341</v>
          </cell>
          <cell r="N27">
            <v>220.84650200396743</v>
          </cell>
          <cell r="R27">
            <v>4.8133199996650129</v>
          </cell>
          <cell r="S27">
            <v>3.3722499999999993</v>
          </cell>
          <cell r="W27">
            <v>279.77640911260949</v>
          </cell>
          <cell r="AI27" t="str">
            <v>Anstruther</v>
          </cell>
          <cell r="AR27">
            <v>20.240000000000002</v>
          </cell>
          <cell r="AW27">
            <v>20.240000000000002</v>
          </cell>
        </row>
        <row r="28">
          <cell r="I28" t="str">
            <v>Under 10m - Wales</v>
          </cell>
          <cell r="M28">
            <v>0.58765999993681939</v>
          </cell>
          <cell r="N28">
            <v>9.4199999809265134E-2</v>
          </cell>
          <cell r="W28">
            <v>0.68185999974608458</v>
          </cell>
          <cell r="AI28" t="str">
            <v>Scrabster</v>
          </cell>
          <cell r="AK28">
            <v>0.12</v>
          </cell>
          <cell r="AL28">
            <v>1.19</v>
          </cell>
          <cell r="AM28">
            <v>0.54</v>
          </cell>
          <cell r="AP28">
            <v>2.3499999999999996</v>
          </cell>
          <cell r="AS28">
            <v>7.0000000000000007E-2</v>
          </cell>
          <cell r="AT28">
            <v>1.1400000000000001</v>
          </cell>
          <cell r="AW28">
            <v>5.41</v>
          </cell>
        </row>
        <row r="29">
          <cell r="I29" t="str">
            <v>Under 10m - Scotland</v>
          </cell>
          <cell r="J29">
            <v>0.06</v>
          </cell>
          <cell r="M29">
            <v>12.509999999999998</v>
          </cell>
          <cell r="P29">
            <v>863.82999999999913</v>
          </cell>
          <cell r="R29">
            <v>55.679999999999986</v>
          </cell>
          <cell r="W29">
            <v>932.07999999999913</v>
          </cell>
          <cell r="AI29" t="str">
            <v xml:space="preserve">Denmark </v>
          </cell>
          <cell r="AV29">
            <v>15277.92</v>
          </cell>
          <cell r="AW29">
            <v>15277.92</v>
          </cell>
        </row>
        <row r="30">
          <cell r="I30" t="str">
            <v>Under 10m - N.Ireland</v>
          </cell>
          <cell r="M30">
            <v>0.126</v>
          </cell>
          <cell r="W30">
            <v>0.126</v>
          </cell>
          <cell r="AI30" t="str">
            <v xml:space="preserve">Norway </v>
          </cell>
          <cell r="AK30">
            <v>691.41</v>
          </cell>
          <cell r="AL30">
            <v>252.566</v>
          </cell>
          <cell r="AM30">
            <v>32031.411999999997</v>
          </cell>
          <cell r="AP30">
            <v>12.61</v>
          </cell>
          <cell r="AS30">
            <v>23091.529000000002</v>
          </cell>
          <cell r="AT30">
            <v>16245.273000000001</v>
          </cell>
          <cell r="AW30">
            <v>72324.800000000003</v>
          </cell>
        </row>
        <row r="31">
          <cell r="I31" t="str">
            <v>Non Sector - Scotland</v>
          </cell>
          <cell r="P31">
            <v>0.18</v>
          </cell>
          <cell r="T31">
            <v>0.1</v>
          </cell>
          <cell r="W31">
            <v>0.28000000000000003</v>
          </cell>
          <cell r="AI31" t="str">
            <v xml:space="preserve">Eire </v>
          </cell>
          <cell r="AL31">
            <v>27.17</v>
          </cell>
          <cell r="AM31">
            <v>3185.902</v>
          </cell>
          <cell r="AV31">
            <v>28274.02</v>
          </cell>
          <cell r="AW31">
            <v>31487.092000000001</v>
          </cell>
        </row>
        <row r="32">
          <cell r="I32" t="str">
            <v>Western PO</v>
          </cell>
          <cell r="M32">
            <v>7.2607269845902933E-2</v>
          </cell>
          <cell r="W32">
            <v>7.2607269845902933E-2</v>
          </cell>
          <cell r="AI32" t="str">
            <v>Grand Total</v>
          </cell>
          <cell r="AJ32">
            <v>1500.6596534130113</v>
          </cell>
          <cell r="AK32">
            <v>794.00300000762934</v>
          </cell>
          <cell r="AL32">
            <v>1821.0256116053461</v>
          </cell>
          <cell r="AM32">
            <v>83506.474554888526</v>
          </cell>
          <cell r="AN32">
            <v>225.34520200377685</v>
          </cell>
          <cell r="AP32">
            <v>1178.1985003021955</v>
          </cell>
          <cell r="AQ32">
            <v>180.3</v>
          </cell>
          <cell r="AR32">
            <v>286.39507027501617</v>
          </cell>
          <cell r="AS32">
            <v>64482.27200877155</v>
          </cell>
          <cell r="AT32">
            <v>22379.610001728059</v>
          </cell>
          <cell r="AU32">
            <v>9.8252998046875</v>
          </cell>
          <cell r="AV32">
            <v>72103.040034172052</v>
          </cell>
          <cell r="AW32">
            <v>248467.14893697185</v>
          </cell>
        </row>
        <row r="33">
          <cell r="I33" t="str">
            <v>Grand Total</v>
          </cell>
          <cell r="J33">
            <v>1500.6596534130119</v>
          </cell>
          <cell r="K33">
            <v>794.00300000762945</v>
          </cell>
          <cell r="L33">
            <v>1821.0256116053458</v>
          </cell>
          <cell r="M33">
            <v>83506.474554888511</v>
          </cell>
          <cell r="N33">
            <v>225.34520200377671</v>
          </cell>
          <cell r="P33">
            <v>1178.1985003021948</v>
          </cell>
          <cell r="Q33">
            <v>180.3</v>
          </cell>
          <cell r="R33">
            <v>286.39507027501617</v>
          </cell>
          <cell r="S33">
            <v>64482.27200877155</v>
          </cell>
          <cell r="T33">
            <v>22379.610001728059</v>
          </cell>
          <cell r="U33">
            <v>9.8252998046875</v>
          </cell>
          <cell r="V33">
            <v>72103.040034172052</v>
          </cell>
          <cell r="W33">
            <v>248467.14893697188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>
        <row r="3">
          <cell r="C3">
            <v>21</v>
          </cell>
          <cell r="D3">
            <v>23</v>
          </cell>
          <cell r="E3">
            <v>20</v>
          </cell>
          <cell r="F3">
            <v>88</v>
          </cell>
          <cell r="G3">
            <v>19</v>
          </cell>
          <cell r="H3">
            <v>90</v>
          </cell>
          <cell r="I3">
            <v>91</v>
          </cell>
          <cell r="J3">
            <v>911</v>
          </cell>
          <cell r="K3">
            <v>912</v>
          </cell>
          <cell r="L3">
            <v>913</v>
          </cell>
          <cell r="M3">
            <v>24</v>
          </cell>
          <cell r="N3">
            <v>71</v>
          </cell>
          <cell r="O3">
            <v>72</v>
          </cell>
          <cell r="P3">
            <v>69</v>
          </cell>
          <cell r="Q3">
            <v>103</v>
          </cell>
          <cell r="R3">
            <v>57</v>
          </cell>
          <cell r="S3">
            <v>73</v>
          </cell>
          <cell r="T3">
            <v>150</v>
          </cell>
          <cell r="U3">
            <v>990</v>
          </cell>
          <cell r="V3">
            <v>104</v>
          </cell>
          <cell r="W3">
            <v>53</v>
          </cell>
        </row>
        <row r="4">
          <cell r="C4" t="str">
            <v>North Sea Herring</v>
          </cell>
          <cell r="D4" t="str">
            <v>West Coast Herring</v>
          </cell>
          <cell r="E4" t="str">
            <v>West Coast Mackerel</v>
          </cell>
          <cell r="F4" t="str">
            <v>Shet. Box Mackerel</v>
          </cell>
          <cell r="G4" t="str">
            <v>North Sea Mackerel</v>
          </cell>
          <cell r="H4" t="str">
            <v>N.Sea Mackerel IIIa Ivbc</v>
          </cell>
          <cell r="I4" t="str">
            <v>Atlanto Scandian Herring</v>
          </cell>
          <cell r="J4" t="str">
            <v>AS Norway</v>
          </cell>
          <cell r="K4" t="str">
            <v>AS Norway EEZ</v>
          </cell>
          <cell r="L4" t="str">
            <v>AS Faroe</v>
          </cell>
          <cell r="M4" t="str">
            <v>Clyde Firth Herring</v>
          </cell>
          <cell r="N4" t="str">
            <v>North Sea Horse Mackerel</v>
          </cell>
          <cell r="O4" t="str">
            <v>West Coast Horse Mackerel</v>
          </cell>
          <cell r="P4" t="str">
            <v>North Sea Blue Whiting</v>
          </cell>
          <cell r="Q4" t="str">
            <v>North Sea Sand Eels</v>
          </cell>
          <cell r="R4" t="str">
            <v>Norwegian Sand Eels</v>
          </cell>
          <cell r="S4" t="str">
            <v>Norway Pout</v>
          </cell>
          <cell r="T4" t="str">
            <v>Blue Whiting I-VIII, XII, XIV</v>
          </cell>
          <cell r="U4" t="str">
            <v>Shetland Sandeels</v>
          </cell>
          <cell r="V4" t="str">
            <v>Blue Whiting VIII</v>
          </cell>
          <cell r="W4" t="str">
            <v>Far Blue Whiting</v>
          </cell>
          <cell r="X4" t="str">
            <v>NS Sandeels (Area1)</v>
          </cell>
          <cell r="Y4" t="str">
            <v>NS Sandeels (Area2)</v>
          </cell>
          <cell r="Z4" t="str">
            <v>NS Sandeels (Area3)</v>
          </cell>
          <cell r="AA4" t="str">
            <v>NS Sandeels (Area4)</v>
          </cell>
          <cell r="AB4" t="str">
            <v>NS Sandeels (Area5)</v>
          </cell>
          <cell r="AC4" t="str">
            <v>NS Sandeels (Area6)</v>
          </cell>
          <cell r="AD4" t="str">
            <v xml:space="preserve">WS Mac Of Which IIa Nor </v>
          </cell>
        </row>
        <row r="5">
          <cell r="B5" t="str">
            <v>SFO</v>
          </cell>
          <cell r="C5" t="str">
            <v>Open</v>
          </cell>
          <cell r="D5" t="str">
            <v>Open</v>
          </cell>
          <cell r="E5" t="str">
            <v>Open</v>
          </cell>
          <cell r="F5" t="str">
            <v>Open</v>
          </cell>
          <cell r="G5" t="str">
            <v>Open</v>
          </cell>
          <cell r="H5" t="str">
            <v>Open</v>
          </cell>
          <cell r="I5" t="str">
            <v>Open</v>
          </cell>
          <cell r="J5" t="str">
            <v>Open</v>
          </cell>
          <cell r="K5" t="str">
            <v>Open</v>
          </cell>
          <cell r="L5" t="str">
            <v>Open</v>
          </cell>
          <cell r="M5" t="str">
            <v>Open</v>
          </cell>
          <cell r="N5" t="str">
            <v>Open</v>
          </cell>
          <cell r="O5" t="str">
            <v>Open</v>
          </cell>
          <cell r="P5" t="str">
            <v>Open</v>
          </cell>
          <cell r="Q5" t="str">
            <v>Open</v>
          </cell>
          <cell r="R5">
            <v>40909</v>
          </cell>
          <cell r="S5">
            <v>40909</v>
          </cell>
          <cell r="T5" t="str">
            <v>Open</v>
          </cell>
          <cell r="U5" t="str">
            <v>Open</v>
          </cell>
          <cell r="V5" t="str">
            <v>Open</v>
          </cell>
          <cell r="W5" t="str">
            <v>Open</v>
          </cell>
          <cell r="X5" t="str">
            <v>Open</v>
          </cell>
          <cell r="Y5" t="str">
            <v>Open</v>
          </cell>
          <cell r="Z5" t="str">
            <v>Open</v>
          </cell>
          <cell r="AA5" t="str">
            <v>Open</v>
          </cell>
          <cell r="AB5" t="str">
            <v>Open</v>
          </cell>
          <cell r="AC5" t="str">
            <v>Open</v>
          </cell>
          <cell r="AD5" t="str">
            <v>Open</v>
          </cell>
        </row>
        <row r="6">
          <cell r="B6" t="str">
            <v>Aberdeen</v>
          </cell>
          <cell r="C6" t="str">
            <v>Open</v>
          </cell>
          <cell r="D6" t="str">
            <v>Open</v>
          </cell>
          <cell r="E6">
            <v>40909</v>
          </cell>
          <cell r="F6">
            <v>40909</v>
          </cell>
          <cell r="G6" t="str">
            <v>Open</v>
          </cell>
          <cell r="H6" t="str">
            <v>Open</v>
          </cell>
          <cell r="I6" t="str">
            <v>Open</v>
          </cell>
          <cell r="J6" t="str">
            <v>Open</v>
          </cell>
          <cell r="K6" t="str">
            <v>Open</v>
          </cell>
          <cell r="L6" t="str">
            <v>Open</v>
          </cell>
          <cell r="M6" t="str">
            <v>Open</v>
          </cell>
          <cell r="N6">
            <v>40909</v>
          </cell>
          <cell r="O6">
            <v>40909</v>
          </cell>
          <cell r="P6" t="str">
            <v>Open</v>
          </cell>
          <cell r="Q6">
            <v>40909</v>
          </cell>
          <cell r="R6">
            <v>40909</v>
          </cell>
          <cell r="S6">
            <v>40909</v>
          </cell>
          <cell r="T6">
            <v>40909</v>
          </cell>
          <cell r="U6" t="str">
            <v>Open</v>
          </cell>
          <cell r="V6" t="str">
            <v>Open</v>
          </cell>
          <cell r="W6" t="str">
            <v>Open</v>
          </cell>
          <cell r="X6" t="str">
            <v>Open</v>
          </cell>
          <cell r="Y6" t="str">
            <v>Open</v>
          </cell>
          <cell r="Z6" t="str">
            <v>Open</v>
          </cell>
          <cell r="AA6" t="str">
            <v>Open</v>
          </cell>
          <cell r="AB6" t="str">
            <v>Open</v>
          </cell>
          <cell r="AC6" t="str">
            <v>Open</v>
          </cell>
          <cell r="AD6" t="str">
            <v>Open</v>
          </cell>
        </row>
        <row r="7">
          <cell r="B7" t="str">
            <v>NESFO</v>
          </cell>
          <cell r="C7">
            <v>40909</v>
          </cell>
          <cell r="D7" t="str">
            <v>Open</v>
          </cell>
          <cell r="E7">
            <v>40909</v>
          </cell>
          <cell r="F7">
            <v>40909</v>
          </cell>
          <cell r="G7" t="str">
            <v>Open</v>
          </cell>
          <cell r="H7" t="str">
            <v>Open</v>
          </cell>
          <cell r="I7" t="str">
            <v>Open</v>
          </cell>
          <cell r="J7" t="str">
            <v>Open</v>
          </cell>
          <cell r="K7" t="str">
            <v>Open</v>
          </cell>
          <cell r="L7" t="str">
            <v>Open</v>
          </cell>
          <cell r="M7" t="str">
            <v>Open</v>
          </cell>
          <cell r="N7">
            <v>40909</v>
          </cell>
          <cell r="O7">
            <v>40909</v>
          </cell>
          <cell r="P7" t="str">
            <v>Open</v>
          </cell>
          <cell r="Q7">
            <v>40909</v>
          </cell>
          <cell r="R7">
            <v>40909</v>
          </cell>
          <cell r="S7">
            <v>40909</v>
          </cell>
          <cell r="T7">
            <v>40909</v>
          </cell>
          <cell r="U7" t="str">
            <v>Open</v>
          </cell>
          <cell r="V7" t="str">
            <v>Open</v>
          </cell>
          <cell r="W7" t="str">
            <v>Open</v>
          </cell>
          <cell r="X7" t="str">
            <v>Open</v>
          </cell>
          <cell r="Y7" t="str">
            <v>Open</v>
          </cell>
          <cell r="Z7" t="str">
            <v>Open</v>
          </cell>
          <cell r="AA7" t="str">
            <v>Open</v>
          </cell>
          <cell r="AB7" t="str">
            <v>Open</v>
          </cell>
          <cell r="AC7" t="str">
            <v>Open</v>
          </cell>
          <cell r="AD7" t="str">
            <v>Open</v>
          </cell>
        </row>
        <row r="8">
          <cell r="B8" t="str">
            <v>Shetland</v>
          </cell>
          <cell r="C8" t="str">
            <v>Open</v>
          </cell>
          <cell r="D8" t="str">
            <v>Open</v>
          </cell>
          <cell r="E8" t="str">
            <v>Open</v>
          </cell>
          <cell r="F8" t="str">
            <v>Open</v>
          </cell>
          <cell r="G8" t="str">
            <v>Open</v>
          </cell>
          <cell r="H8" t="str">
            <v>Open</v>
          </cell>
          <cell r="I8" t="str">
            <v>Open</v>
          </cell>
          <cell r="J8" t="str">
            <v>Open</v>
          </cell>
          <cell r="K8" t="str">
            <v>Open</v>
          </cell>
          <cell r="L8" t="str">
            <v>Open</v>
          </cell>
          <cell r="M8" t="str">
            <v>Open</v>
          </cell>
          <cell r="N8" t="str">
            <v>Open</v>
          </cell>
          <cell r="O8" t="str">
            <v>Open</v>
          </cell>
          <cell r="P8" t="str">
            <v>Open</v>
          </cell>
          <cell r="Q8">
            <v>40909</v>
          </cell>
          <cell r="R8">
            <v>40909</v>
          </cell>
          <cell r="S8">
            <v>40909</v>
          </cell>
          <cell r="T8" t="str">
            <v>Open</v>
          </cell>
          <cell r="U8" t="str">
            <v>Open</v>
          </cell>
          <cell r="V8" t="str">
            <v>Open</v>
          </cell>
          <cell r="W8" t="str">
            <v>Open</v>
          </cell>
          <cell r="X8" t="str">
            <v>Open</v>
          </cell>
          <cell r="Y8" t="str">
            <v>Open</v>
          </cell>
          <cell r="Z8" t="str">
            <v>Open</v>
          </cell>
          <cell r="AA8" t="str">
            <v>Open</v>
          </cell>
          <cell r="AB8" t="str">
            <v>Open</v>
          </cell>
          <cell r="AC8" t="str">
            <v>Open</v>
          </cell>
          <cell r="AD8" t="str">
            <v>Open</v>
          </cell>
        </row>
        <row r="9">
          <cell r="B9" t="str">
            <v>Fife</v>
          </cell>
          <cell r="C9">
            <v>40909</v>
          </cell>
          <cell r="D9" t="str">
            <v>Open</v>
          </cell>
          <cell r="E9" t="str">
            <v>Open</v>
          </cell>
          <cell r="F9">
            <v>40909</v>
          </cell>
          <cell r="G9">
            <v>40909</v>
          </cell>
          <cell r="H9">
            <v>40909</v>
          </cell>
          <cell r="I9" t="str">
            <v>Open</v>
          </cell>
          <cell r="J9" t="str">
            <v>Open</v>
          </cell>
          <cell r="K9" t="str">
            <v>Open</v>
          </cell>
          <cell r="L9" t="str">
            <v>Open</v>
          </cell>
          <cell r="M9" t="str">
            <v>Open</v>
          </cell>
          <cell r="N9">
            <v>40909</v>
          </cell>
          <cell r="O9" t="str">
            <v>Open</v>
          </cell>
          <cell r="P9" t="str">
            <v>Open</v>
          </cell>
          <cell r="Q9">
            <v>40909</v>
          </cell>
          <cell r="R9">
            <v>40909</v>
          </cell>
          <cell r="S9">
            <v>40909</v>
          </cell>
          <cell r="T9">
            <v>40909</v>
          </cell>
          <cell r="U9" t="str">
            <v>Open</v>
          </cell>
          <cell r="V9" t="str">
            <v>Open</v>
          </cell>
          <cell r="W9" t="str">
            <v>Open</v>
          </cell>
          <cell r="X9" t="str">
            <v>Open</v>
          </cell>
          <cell r="Y9" t="str">
            <v>Open</v>
          </cell>
          <cell r="Z9" t="str">
            <v>Open</v>
          </cell>
          <cell r="AA9" t="str">
            <v>Open</v>
          </cell>
          <cell r="AB9" t="str">
            <v>Open</v>
          </cell>
          <cell r="AC9" t="str">
            <v>Open</v>
          </cell>
          <cell r="AD9" t="str">
            <v>Open</v>
          </cell>
        </row>
        <row r="10">
          <cell r="B10" t="str">
            <v>West Scotland</v>
          </cell>
          <cell r="C10">
            <v>40909</v>
          </cell>
          <cell r="D10" t="str">
            <v>Open</v>
          </cell>
          <cell r="E10" t="str">
            <v>Open</v>
          </cell>
          <cell r="F10">
            <v>40909</v>
          </cell>
          <cell r="G10">
            <v>40909</v>
          </cell>
          <cell r="H10">
            <v>40909</v>
          </cell>
          <cell r="I10" t="str">
            <v>Open</v>
          </cell>
          <cell r="J10" t="str">
            <v>Open</v>
          </cell>
          <cell r="K10" t="str">
            <v>Open</v>
          </cell>
          <cell r="L10" t="str">
            <v>Open</v>
          </cell>
          <cell r="M10" t="str">
            <v>Open</v>
          </cell>
          <cell r="N10">
            <v>40909</v>
          </cell>
          <cell r="O10">
            <v>40909</v>
          </cell>
          <cell r="P10" t="str">
            <v>Open</v>
          </cell>
          <cell r="Q10">
            <v>40909</v>
          </cell>
          <cell r="R10">
            <v>40909</v>
          </cell>
          <cell r="S10">
            <v>40909</v>
          </cell>
          <cell r="T10">
            <v>40909</v>
          </cell>
          <cell r="U10" t="str">
            <v>Open</v>
          </cell>
          <cell r="V10" t="str">
            <v>Open</v>
          </cell>
          <cell r="W10" t="str">
            <v>Open</v>
          </cell>
          <cell r="X10" t="str">
            <v>Open</v>
          </cell>
          <cell r="Y10" t="str">
            <v>Open</v>
          </cell>
          <cell r="Z10" t="str">
            <v>Open</v>
          </cell>
          <cell r="AA10" t="str">
            <v>Open</v>
          </cell>
          <cell r="AB10" t="str">
            <v>Open</v>
          </cell>
          <cell r="AC10" t="str">
            <v>Open</v>
          </cell>
          <cell r="AD10" t="str">
            <v>Open</v>
          </cell>
        </row>
        <row r="11">
          <cell r="B11" t="str">
            <v>Orkney</v>
          </cell>
          <cell r="C11">
            <v>40909</v>
          </cell>
          <cell r="D11">
            <v>40909</v>
          </cell>
          <cell r="E11">
            <v>40909</v>
          </cell>
          <cell r="F11">
            <v>40909</v>
          </cell>
          <cell r="G11">
            <v>40909</v>
          </cell>
          <cell r="H11">
            <v>40909</v>
          </cell>
          <cell r="I11" t="str">
            <v>Open</v>
          </cell>
          <cell r="J11" t="str">
            <v>Open</v>
          </cell>
          <cell r="K11" t="str">
            <v>Open</v>
          </cell>
          <cell r="L11" t="str">
            <v>Open</v>
          </cell>
          <cell r="M11" t="str">
            <v>Open</v>
          </cell>
          <cell r="N11">
            <v>40909</v>
          </cell>
          <cell r="O11">
            <v>40909</v>
          </cell>
          <cell r="P11" t="str">
            <v>Open</v>
          </cell>
          <cell r="Q11">
            <v>40909</v>
          </cell>
          <cell r="R11">
            <v>40909</v>
          </cell>
          <cell r="S11">
            <v>40909</v>
          </cell>
          <cell r="T11">
            <v>40909</v>
          </cell>
          <cell r="U11" t="str">
            <v>Open</v>
          </cell>
          <cell r="V11" t="str">
            <v>Open</v>
          </cell>
          <cell r="W11" t="str">
            <v>Open</v>
          </cell>
          <cell r="X11" t="str">
            <v>Open</v>
          </cell>
          <cell r="Y11" t="str">
            <v>Open</v>
          </cell>
          <cell r="Z11" t="str">
            <v>Open</v>
          </cell>
          <cell r="AA11" t="str">
            <v>Open</v>
          </cell>
          <cell r="AB11" t="str">
            <v>Open</v>
          </cell>
          <cell r="AC11" t="str">
            <v>Open</v>
          </cell>
          <cell r="AD11" t="str">
            <v>Open</v>
          </cell>
        </row>
        <row r="12">
          <cell r="B12" t="str">
            <v>Northern</v>
          </cell>
          <cell r="C12">
            <v>40909</v>
          </cell>
          <cell r="D12">
            <v>40909</v>
          </cell>
          <cell r="E12" t="str">
            <v>Open</v>
          </cell>
          <cell r="F12">
            <v>40909</v>
          </cell>
          <cell r="G12">
            <v>40909</v>
          </cell>
          <cell r="H12">
            <v>40909</v>
          </cell>
          <cell r="I12" t="str">
            <v>Open</v>
          </cell>
          <cell r="J12" t="str">
            <v>Open</v>
          </cell>
          <cell r="K12" t="str">
            <v>Open</v>
          </cell>
          <cell r="L12" t="str">
            <v>Open</v>
          </cell>
          <cell r="M12" t="str">
            <v>Open</v>
          </cell>
          <cell r="N12">
            <v>40909</v>
          </cell>
          <cell r="O12">
            <v>40909</v>
          </cell>
          <cell r="P12" t="str">
            <v>Open</v>
          </cell>
          <cell r="Q12">
            <v>40909</v>
          </cell>
          <cell r="R12">
            <v>40909</v>
          </cell>
          <cell r="S12">
            <v>40909</v>
          </cell>
          <cell r="T12">
            <v>40909</v>
          </cell>
          <cell r="U12" t="str">
            <v>Open</v>
          </cell>
          <cell r="V12" t="str">
            <v>Open</v>
          </cell>
          <cell r="W12" t="str">
            <v>Open</v>
          </cell>
          <cell r="X12" t="str">
            <v>Open</v>
          </cell>
          <cell r="Y12" t="str">
            <v>Open</v>
          </cell>
          <cell r="Z12" t="str">
            <v>Open</v>
          </cell>
          <cell r="AA12" t="str">
            <v>Open</v>
          </cell>
          <cell r="AB12" t="str">
            <v>Open</v>
          </cell>
          <cell r="AC12" t="str">
            <v>Open</v>
          </cell>
          <cell r="AD12" t="str">
            <v>Open</v>
          </cell>
        </row>
        <row r="13">
          <cell r="B13" t="str">
            <v>Klondyke</v>
          </cell>
          <cell r="C13" t="str">
            <v>Open</v>
          </cell>
          <cell r="D13" t="str">
            <v>Open</v>
          </cell>
          <cell r="E13" t="str">
            <v>Open</v>
          </cell>
          <cell r="F13" t="str">
            <v>Open</v>
          </cell>
          <cell r="G13" t="str">
            <v>Open</v>
          </cell>
          <cell r="H13" t="str">
            <v>Open</v>
          </cell>
          <cell r="I13" t="str">
            <v>Open</v>
          </cell>
          <cell r="J13" t="str">
            <v>Open</v>
          </cell>
          <cell r="K13" t="str">
            <v>Open</v>
          </cell>
          <cell r="L13" t="str">
            <v>Open</v>
          </cell>
          <cell r="M13" t="str">
            <v>Open</v>
          </cell>
          <cell r="N13" t="str">
            <v>Open</v>
          </cell>
          <cell r="O13" t="str">
            <v>Open</v>
          </cell>
          <cell r="P13" t="str">
            <v>Open</v>
          </cell>
          <cell r="Q13" t="str">
            <v>Open</v>
          </cell>
          <cell r="R13">
            <v>40909</v>
          </cell>
          <cell r="S13">
            <v>40909</v>
          </cell>
          <cell r="T13" t="str">
            <v>Open</v>
          </cell>
          <cell r="U13" t="str">
            <v>Open</v>
          </cell>
          <cell r="V13" t="str">
            <v>Open</v>
          </cell>
          <cell r="W13" t="str">
            <v>Open</v>
          </cell>
          <cell r="X13" t="str">
            <v>Open</v>
          </cell>
          <cell r="Y13" t="str">
            <v>Open</v>
          </cell>
          <cell r="Z13" t="str">
            <v>Open</v>
          </cell>
          <cell r="AA13" t="str">
            <v>Open</v>
          </cell>
          <cell r="AB13" t="str">
            <v>Open</v>
          </cell>
          <cell r="AC13" t="str">
            <v>Open</v>
          </cell>
          <cell r="AD13" t="str">
            <v>Open</v>
          </cell>
        </row>
        <row r="14">
          <cell r="B14" t="str">
            <v>Lunar</v>
          </cell>
          <cell r="C14" t="str">
            <v>Open</v>
          </cell>
          <cell r="D14" t="str">
            <v>Open</v>
          </cell>
          <cell r="E14" t="str">
            <v>Open</v>
          </cell>
          <cell r="F14" t="str">
            <v>Open</v>
          </cell>
          <cell r="G14" t="str">
            <v>Open</v>
          </cell>
          <cell r="H14" t="str">
            <v>Open</v>
          </cell>
          <cell r="I14" t="str">
            <v>Open</v>
          </cell>
          <cell r="J14" t="str">
            <v>Open</v>
          </cell>
          <cell r="K14" t="str">
            <v>Open</v>
          </cell>
          <cell r="L14" t="str">
            <v>Open</v>
          </cell>
          <cell r="M14" t="str">
            <v>Open</v>
          </cell>
          <cell r="N14" t="str">
            <v>Open</v>
          </cell>
          <cell r="O14" t="str">
            <v>Open</v>
          </cell>
          <cell r="P14" t="str">
            <v>Open</v>
          </cell>
          <cell r="Q14" t="str">
            <v>Open</v>
          </cell>
          <cell r="R14">
            <v>40909</v>
          </cell>
          <cell r="S14">
            <v>40909</v>
          </cell>
          <cell r="T14" t="str">
            <v>Open</v>
          </cell>
          <cell r="U14" t="str">
            <v>Open</v>
          </cell>
          <cell r="V14" t="str">
            <v>Open</v>
          </cell>
          <cell r="W14" t="str">
            <v>Open</v>
          </cell>
          <cell r="X14" t="str">
            <v>Open</v>
          </cell>
          <cell r="Y14" t="str">
            <v>Open</v>
          </cell>
          <cell r="Z14" t="str">
            <v>Open</v>
          </cell>
          <cell r="AA14" t="str">
            <v>Open</v>
          </cell>
          <cell r="AB14" t="str">
            <v>Open</v>
          </cell>
          <cell r="AC14" t="str">
            <v>Open</v>
          </cell>
          <cell r="AD14" t="str">
            <v>Open</v>
          </cell>
        </row>
        <row r="15">
          <cell r="B15" t="str">
            <v>Anglo Scot.</v>
          </cell>
          <cell r="C15" t="str">
            <v>Open</v>
          </cell>
          <cell r="D15">
            <v>40909</v>
          </cell>
          <cell r="E15" t="str">
            <v>Open</v>
          </cell>
          <cell r="F15">
            <v>40909</v>
          </cell>
          <cell r="G15" t="str">
            <v>Open</v>
          </cell>
          <cell r="H15" t="str">
            <v>Open</v>
          </cell>
          <cell r="I15" t="str">
            <v>Open</v>
          </cell>
          <cell r="J15" t="str">
            <v>Open</v>
          </cell>
          <cell r="K15" t="str">
            <v>Open</v>
          </cell>
          <cell r="L15" t="str">
            <v>Open</v>
          </cell>
          <cell r="M15" t="str">
            <v>Open</v>
          </cell>
          <cell r="N15" t="str">
            <v>Open</v>
          </cell>
          <cell r="O15" t="str">
            <v>Open</v>
          </cell>
          <cell r="P15" t="str">
            <v>Open</v>
          </cell>
          <cell r="Q15" t="str">
            <v>Open</v>
          </cell>
          <cell r="R15">
            <v>40909</v>
          </cell>
          <cell r="S15">
            <v>40909</v>
          </cell>
          <cell r="T15">
            <v>40909</v>
          </cell>
          <cell r="U15" t="str">
            <v>Open</v>
          </cell>
          <cell r="V15" t="str">
            <v>Open</v>
          </cell>
          <cell r="W15" t="str">
            <v>Open</v>
          </cell>
          <cell r="X15" t="str">
            <v>Open</v>
          </cell>
          <cell r="Y15" t="str">
            <v>Open</v>
          </cell>
          <cell r="Z15" t="str">
            <v>Open</v>
          </cell>
          <cell r="AA15" t="str">
            <v>Open</v>
          </cell>
          <cell r="AB15" t="str">
            <v>Open</v>
          </cell>
          <cell r="AC15" t="str">
            <v>Open</v>
          </cell>
          <cell r="AD15" t="str">
            <v>Open</v>
          </cell>
        </row>
        <row r="16">
          <cell r="B16" t="str">
            <v>EEFPO</v>
          </cell>
          <cell r="C16" t="str">
            <v>Open</v>
          </cell>
          <cell r="D16" t="str">
            <v>Open</v>
          </cell>
          <cell r="E16" t="str">
            <v>Open</v>
          </cell>
          <cell r="F16" t="str">
            <v>Open</v>
          </cell>
          <cell r="G16" t="str">
            <v>Open</v>
          </cell>
          <cell r="H16" t="str">
            <v>Open</v>
          </cell>
          <cell r="I16" t="str">
            <v>Open</v>
          </cell>
          <cell r="J16" t="str">
            <v>Open</v>
          </cell>
          <cell r="K16" t="str">
            <v>Open</v>
          </cell>
          <cell r="L16" t="str">
            <v>Open</v>
          </cell>
          <cell r="M16" t="str">
            <v>Open</v>
          </cell>
          <cell r="N16" t="str">
            <v>Open</v>
          </cell>
          <cell r="O16" t="str">
            <v>Open</v>
          </cell>
          <cell r="P16" t="str">
            <v>Open</v>
          </cell>
          <cell r="Q16" t="str">
            <v>Open</v>
          </cell>
          <cell r="R16">
            <v>40909</v>
          </cell>
          <cell r="S16">
            <v>40909</v>
          </cell>
          <cell r="T16" t="str">
            <v>Open</v>
          </cell>
          <cell r="U16" t="str">
            <v>Open</v>
          </cell>
          <cell r="V16" t="str">
            <v>Open</v>
          </cell>
          <cell r="W16" t="str">
            <v>Open</v>
          </cell>
          <cell r="X16" t="str">
            <v>Open</v>
          </cell>
          <cell r="Y16" t="str">
            <v>Open</v>
          </cell>
          <cell r="Z16" t="str">
            <v>Open</v>
          </cell>
          <cell r="AA16" t="str">
            <v>Open</v>
          </cell>
          <cell r="AB16" t="str">
            <v>Open</v>
          </cell>
          <cell r="AC16" t="str">
            <v>Open</v>
          </cell>
          <cell r="AD16" t="str">
            <v>Open</v>
          </cell>
        </row>
        <row r="17">
          <cell r="B17" t="str">
            <v>Western PO</v>
          </cell>
          <cell r="C17" t="str">
            <v>Open</v>
          </cell>
          <cell r="D17">
            <v>40909</v>
          </cell>
          <cell r="E17">
            <v>40909</v>
          </cell>
          <cell r="F17">
            <v>40909</v>
          </cell>
          <cell r="G17" t="str">
            <v>Open</v>
          </cell>
          <cell r="H17" t="str">
            <v>Open</v>
          </cell>
          <cell r="I17" t="str">
            <v>Open</v>
          </cell>
          <cell r="J17" t="str">
            <v>Open</v>
          </cell>
          <cell r="K17" t="str">
            <v>Open</v>
          </cell>
          <cell r="L17" t="str">
            <v>Open</v>
          </cell>
          <cell r="M17" t="str">
            <v>Open</v>
          </cell>
          <cell r="N17">
            <v>40909</v>
          </cell>
          <cell r="O17" t="str">
            <v>Open</v>
          </cell>
          <cell r="P17" t="str">
            <v>Open</v>
          </cell>
          <cell r="Q17">
            <v>40909</v>
          </cell>
          <cell r="R17">
            <v>40909</v>
          </cell>
          <cell r="S17">
            <v>40909</v>
          </cell>
          <cell r="T17">
            <v>40909</v>
          </cell>
          <cell r="U17" t="str">
            <v>Open</v>
          </cell>
          <cell r="V17" t="str">
            <v>Open</v>
          </cell>
          <cell r="W17" t="str">
            <v>Open</v>
          </cell>
          <cell r="X17" t="str">
            <v>Open</v>
          </cell>
          <cell r="Y17" t="str">
            <v>Open</v>
          </cell>
          <cell r="Z17" t="str">
            <v>Open</v>
          </cell>
          <cell r="AA17" t="str">
            <v>Open</v>
          </cell>
          <cell r="AB17" t="str">
            <v>Open</v>
          </cell>
          <cell r="AC17" t="str">
            <v>Open</v>
          </cell>
          <cell r="AD17" t="str">
            <v>Open</v>
          </cell>
        </row>
        <row r="18">
          <cell r="B18" t="str">
            <v>FPO</v>
          </cell>
          <cell r="C18" t="str">
            <v>Open</v>
          </cell>
          <cell r="D18" t="str">
            <v>Open</v>
          </cell>
          <cell r="E18" t="str">
            <v>Open</v>
          </cell>
          <cell r="F18" t="str">
            <v>Open</v>
          </cell>
          <cell r="G18" t="str">
            <v>Open</v>
          </cell>
          <cell r="H18" t="str">
            <v>Open</v>
          </cell>
          <cell r="I18" t="str">
            <v>Open</v>
          </cell>
          <cell r="J18" t="str">
            <v>Open</v>
          </cell>
          <cell r="K18" t="str">
            <v>Open</v>
          </cell>
          <cell r="L18" t="str">
            <v>Open</v>
          </cell>
          <cell r="M18" t="str">
            <v>Open</v>
          </cell>
          <cell r="N18" t="str">
            <v>Open</v>
          </cell>
          <cell r="O18" t="str">
            <v>Open</v>
          </cell>
          <cell r="P18" t="str">
            <v>Open</v>
          </cell>
          <cell r="Q18">
            <v>40909</v>
          </cell>
          <cell r="R18">
            <v>40909</v>
          </cell>
          <cell r="S18">
            <v>40909</v>
          </cell>
          <cell r="T18">
            <v>40909</v>
          </cell>
          <cell r="U18" t="str">
            <v>Open</v>
          </cell>
          <cell r="V18" t="str">
            <v>Open</v>
          </cell>
          <cell r="W18" t="str">
            <v>Open</v>
          </cell>
          <cell r="X18" t="str">
            <v>Open</v>
          </cell>
          <cell r="Y18" t="str">
            <v>Open</v>
          </cell>
          <cell r="Z18" t="str">
            <v>Open</v>
          </cell>
          <cell r="AA18" t="str">
            <v>Open</v>
          </cell>
          <cell r="AB18" t="str">
            <v>Open</v>
          </cell>
          <cell r="AC18" t="str">
            <v>Open</v>
          </cell>
          <cell r="AD18" t="str">
            <v>Open</v>
          </cell>
        </row>
        <row r="19">
          <cell r="B19" t="str">
            <v>NIFPO</v>
          </cell>
          <cell r="C19" t="str">
            <v>Open</v>
          </cell>
          <cell r="D19" t="str">
            <v>Open</v>
          </cell>
          <cell r="E19" t="str">
            <v>Open</v>
          </cell>
          <cell r="F19" t="str">
            <v>Open</v>
          </cell>
          <cell r="G19" t="str">
            <v>Open</v>
          </cell>
          <cell r="H19" t="str">
            <v>Open</v>
          </cell>
          <cell r="I19" t="str">
            <v>Open</v>
          </cell>
          <cell r="J19" t="str">
            <v>Open</v>
          </cell>
          <cell r="K19" t="str">
            <v>Open</v>
          </cell>
          <cell r="L19" t="str">
            <v>Open</v>
          </cell>
          <cell r="M19" t="str">
            <v>Open</v>
          </cell>
          <cell r="N19" t="str">
            <v>Open</v>
          </cell>
          <cell r="O19" t="str">
            <v>Open</v>
          </cell>
          <cell r="P19" t="str">
            <v>Open</v>
          </cell>
          <cell r="Q19" t="str">
            <v>Open</v>
          </cell>
          <cell r="R19">
            <v>40909</v>
          </cell>
          <cell r="S19">
            <v>40909</v>
          </cell>
          <cell r="T19">
            <v>40909</v>
          </cell>
          <cell r="U19" t="str">
            <v>Open</v>
          </cell>
          <cell r="V19" t="str">
            <v>Open</v>
          </cell>
          <cell r="W19" t="str">
            <v>Open</v>
          </cell>
          <cell r="X19" t="str">
            <v>Open</v>
          </cell>
          <cell r="Y19" t="str">
            <v>Open</v>
          </cell>
          <cell r="Z19" t="str">
            <v>Open</v>
          </cell>
          <cell r="AA19" t="str">
            <v>Open</v>
          </cell>
          <cell r="AB19" t="str">
            <v>Open</v>
          </cell>
          <cell r="AC19" t="str">
            <v>Open</v>
          </cell>
          <cell r="AD19" t="str">
            <v>Open</v>
          </cell>
        </row>
        <row r="20">
          <cell r="B20" t="str">
            <v>ANIFPO</v>
          </cell>
          <cell r="C20" t="str">
            <v>Open</v>
          </cell>
          <cell r="D20" t="str">
            <v>Open</v>
          </cell>
          <cell r="E20" t="str">
            <v>Open</v>
          </cell>
          <cell r="F20" t="str">
            <v>Open</v>
          </cell>
          <cell r="G20" t="str">
            <v>Open</v>
          </cell>
          <cell r="H20" t="str">
            <v>Open</v>
          </cell>
          <cell r="I20" t="str">
            <v>Open</v>
          </cell>
          <cell r="J20" t="str">
            <v>Open</v>
          </cell>
          <cell r="K20" t="str">
            <v>Open</v>
          </cell>
          <cell r="L20" t="str">
            <v>Open</v>
          </cell>
          <cell r="M20" t="str">
            <v>Open</v>
          </cell>
          <cell r="N20" t="str">
            <v>Open</v>
          </cell>
          <cell r="O20" t="str">
            <v>Open</v>
          </cell>
          <cell r="P20" t="str">
            <v>Open</v>
          </cell>
          <cell r="Q20" t="str">
            <v>Open</v>
          </cell>
          <cell r="R20">
            <v>40909</v>
          </cell>
          <cell r="S20">
            <v>40909</v>
          </cell>
          <cell r="T20" t="str">
            <v>Open</v>
          </cell>
          <cell r="U20" t="str">
            <v>Open</v>
          </cell>
          <cell r="V20" t="str">
            <v>Open</v>
          </cell>
          <cell r="W20" t="str">
            <v>Open</v>
          </cell>
          <cell r="X20" t="str">
            <v>Open</v>
          </cell>
          <cell r="Y20" t="str">
            <v>Open</v>
          </cell>
          <cell r="Z20" t="str">
            <v>Open</v>
          </cell>
          <cell r="AA20" t="str">
            <v>Open</v>
          </cell>
          <cell r="AB20" t="str">
            <v>Open</v>
          </cell>
          <cell r="AC20" t="str">
            <v>Open</v>
          </cell>
          <cell r="AD20" t="str">
            <v>Open</v>
          </cell>
        </row>
        <row r="21">
          <cell r="B21" t="str">
            <v>Cornish</v>
          </cell>
          <cell r="C21" t="str">
            <v>Open</v>
          </cell>
          <cell r="D21" t="str">
            <v>Open</v>
          </cell>
          <cell r="E21" t="str">
            <v>Open</v>
          </cell>
          <cell r="F21" t="str">
            <v>Open</v>
          </cell>
          <cell r="G21" t="str">
            <v>Open</v>
          </cell>
          <cell r="H21" t="str">
            <v>Open</v>
          </cell>
          <cell r="I21" t="str">
            <v>Open</v>
          </cell>
          <cell r="J21" t="str">
            <v>Open</v>
          </cell>
          <cell r="K21" t="str">
            <v>Open</v>
          </cell>
          <cell r="L21" t="str">
            <v>Open</v>
          </cell>
          <cell r="M21" t="str">
            <v>Open</v>
          </cell>
          <cell r="N21" t="str">
            <v>Open</v>
          </cell>
          <cell r="O21" t="str">
            <v>Open</v>
          </cell>
          <cell r="P21" t="str">
            <v>Open</v>
          </cell>
          <cell r="Q21" t="str">
            <v>Open</v>
          </cell>
          <cell r="R21">
            <v>40909</v>
          </cell>
          <cell r="S21">
            <v>40909</v>
          </cell>
          <cell r="T21" t="str">
            <v>Open</v>
          </cell>
          <cell r="U21" t="str">
            <v>Open</v>
          </cell>
          <cell r="V21" t="str">
            <v>Open</v>
          </cell>
          <cell r="W21" t="str">
            <v>Open</v>
          </cell>
          <cell r="X21" t="str">
            <v>Open</v>
          </cell>
          <cell r="Y21" t="str">
            <v>Open</v>
          </cell>
          <cell r="Z21" t="str">
            <v>Open</v>
          </cell>
          <cell r="AA21" t="str">
            <v>Open</v>
          </cell>
          <cell r="AB21" t="str">
            <v>Open</v>
          </cell>
          <cell r="AC21" t="str">
            <v>Open</v>
          </cell>
          <cell r="AD21" t="str">
            <v>Open</v>
          </cell>
        </row>
        <row r="22">
          <cell r="B22" t="str">
            <v>South West</v>
          </cell>
          <cell r="C22" t="str">
            <v>Open</v>
          </cell>
          <cell r="D22" t="str">
            <v>Open</v>
          </cell>
          <cell r="E22" t="str">
            <v>Open</v>
          </cell>
          <cell r="F22" t="str">
            <v>Open</v>
          </cell>
          <cell r="G22" t="str">
            <v>Open</v>
          </cell>
          <cell r="H22" t="str">
            <v>Open</v>
          </cell>
          <cell r="I22" t="str">
            <v>Open</v>
          </cell>
          <cell r="J22" t="str">
            <v>Open</v>
          </cell>
          <cell r="K22" t="str">
            <v>Open</v>
          </cell>
          <cell r="L22" t="str">
            <v>Open</v>
          </cell>
          <cell r="M22" t="str">
            <v>Open</v>
          </cell>
          <cell r="N22" t="str">
            <v>Open</v>
          </cell>
          <cell r="O22" t="str">
            <v>Open</v>
          </cell>
          <cell r="P22" t="str">
            <v>Open</v>
          </cell>
          <cell r="Q22">
            <v>40909</v>
          </cell>
          <cell r="R22">
            <v>40909</v>
          </cell>
          <cell r="S22">
            <v>40909</v>
          </cell>
          <cell r="T22" t="str">
            <v>Open</v>
          </cell>
          <cell r="U22" t="str">
            <v>Open</v>
          </cell>
          <cell r="V22" t="str">
            <v>Open</v>
          </cell>
          <cell r="W22" t="str">
            <v>Open</v>
          </cell>
          <cell r="X22" t="str">
            <v>Open</v>
          </cell>
          <cell r="Y22" t="str">
            <v>Open</v>
          </cell>
          <cell r="Z22" t="str">
            <v>Open</v>
          </cell>
          <cell r="AA22" t="str">
            <v>Open</v>
          </cell>
          <cell r="AB22" t="str">
            <v>Open</v>
          </cell>
          <cell r="AC22" t="str">
            <v>Open</v>
          </cell>
          <cell r="AD22" t="str">
            <v>Open</v>
          </cell>
        </row>
        <row r="23">
          <cell r="B23" t="str">
            <v>North Sea</v>
          </cell>
          <cell r="C23" t="str">
            <v>Open</v>
          </cell>
          <cell r="D23" t="str">
            <v>Open</v>
          </cell>
          <cell r="E23" t="str">
            <v>Open</v>
          </cell>
          <cell r="F23" t="str">
            <v>Open</v>
          </cell>
          <cell r="G23" t="str">
            <v>Open</v>
          </cell>
          <cell r="H23" t="str">
            <v>Open</v>
          </cell>
          <cell r="I23" t="str">
            <v>Open</v>
          </cell>
          <cell r="J23" t="str">
            <v>Open</v>
          </cell>
          <cell r="K23" t="str">
            <v>Open</v>
          </cell>
          <cell r="L23" t="str">
            <v>Open</v>
          </cell>
          <cell r="M23" t="str">
            <v>Open</v>
          </cell>
          <cell r="N23" t="str">
            <v>Open</v>
          </cell>
          <cell r="O23" t="str">
            <v>Open</v>
          </cell>
          <cell r="P23" t="str">
            <v>Open</v>
          </cell>
          <cell r="Q23">
            <v>40909</v>
          </cell>
          <cell r="R23">
            <v>40909</v>
          </cell>
          <cell r="S23">
            <v>40909</v>
          </cell>
          <cell r="T23" t="str">
            <v>Open</v>
          </cell>
          <cell r="U23" t="str">
            <v>Open</v>
          </cell>
          <cell r="V23" t="str">
            <v>Open</v>
          </cell>
          <cell r="W23" t="str">
            <v>Open</v>
          </cell>
          <cell r="X23" t="str">
            <v>Open</v>
          </cell>
          <cell r="Y23" t="str">
            <v>Open</v>
          </cell>
          <cell r="Z23" t="str">
            <v>Open</v>
          </cell>
          <cell r="AA23" t="str">
            <v>Open</v>
          </cell>
          <cell r="AB23" t="str">
            <v>Open</v>
          </cell>
          <cell r="AC23" t="str">
            <v>Open</v>
          </cell>
          <cell r="AD23" t="str">
            <v>Open</v>
          </cell>
        </row>
        <row r="24">
          <cell r="B24" t="str">
            <v>Lowestoft</v>
          </cell>
          <cell r="C24" t="str">
            <v>Open</v>
          </cell>
          <cell r="D24" t="str">
            <v>Open</v>
          </cell>
          <cell r="E24" t="str">
            <v>Open</v>
          </cell>
          <cell r="F24" t="str">
            <v>Open</v>
          </cell>
          <cell r="G24" t="str">
            <v>Open</v>
          </cell>
          <cell r="H24" t="str">
            <v>Open</v>
          </cell>
          <cell r="I24" t="str">
            <v>Open</v>
          </cell>
          <cell r="J24" t="str">
            <v>Open</v>
          </cell>
          <cell r="K24" t="str">
            <v>Open</v>
          </cell>
          <cell r="L24" t="str">
            <v>Open</v>
          </cell>
          <cell r="M24" t="str">
            <v>Open</v>
          </cell>
          <cell r="N24" t="str">
            <v>Open</v>
          </cell>
          <cell r="O24" t="str">
            <v>Open</v>
          </cell>
          <cell r="P24" t="str">
            <v>Open</v>
          </cell>
          <cell r="Q24">
            <v>40909</v>
          </cell>
          <cell r="R24">
            <v>40909</v>
          </cell>
          <cell r="S24">
            <v>40909</v>
          </cell>
          <cell r="T24" t="str">
            <v>Open</v>
          </cell>
          <cell r="U24" t="str">
            <v>Open</v>
          </cell>
          <cell r="V24" t="str">
            <v>Open</v>
          </cell>
          <cell r="W24" t="str">
            <v>Open</v>
          </cell>
          <cell r="X24" t="str">
            <v>Open</v>
          </cell>
          <cell r="Y24" t="str">
            <v>Open</v>
          </cell>
          <cell r="Z24" t="str">
            <v>Open</v>
          </cell>
          <cell r="AA24" t="str">
            <v>Open</v>
          </cell>
          <cell r="AB24" t="str">
            <v>Open</v>
          </cell>
          <cell r="AC24" t="str">
            <v>Open</v>
          </cell>
          <cell r="AD24" t="str">
            <v>Open</v>
          </cell>
        </row>
        <row r="25">
          <cell r="B25" t="str">
            <v>Wales WC</v>
          </cell>
          <cell r="C25">
            <v>40909</v>
          </cell>
          <cell r="D25">
            <v>40909</v>
          </cell>
          <cell r="E25" t="str">
            <v>Open</v>
          </cell>
          <cell r="F25">
            <v>40909</v>
          </cell>
          <cell r="G25">
            <v>40909</v>
          </cell>
          <cell r="H25">
            <v>40909</v>
          </cell>
          <cell r="I25" t="str">
            <v>Open</v>
          </cell>
          <cell r="J25" t="str">
            <v>Open</v>
          </cell>
          <cell r="K25" t="str">
            <v>Open</v>
          </cell>
          <cell r="L25" t="str">
            <v>Open</v>
          </cell>
          <cell r="M25" t="str">
            <v>Open</v>
          </cell>
          <cell r="N25">
            <v>40909</v>
          </cell>
          <cell r="O25" t="str">
            <v>Open</v>
          </cell>
          <cell r="P25" t="str">
            <v>Open</v>
          </cell>
          <cell r="Q25">
            <v>40909</v>
          </cell>
          <cell r="R25">
            <v>40909</v>
          </cell>
          <cell r="S25">
            <v>40909</v>
          </cell>
          <cell r="T25">
            <v>40909</v>
          </cell>
          <cell r="U25" t="str">
            <v>Open</v>
          </cell>
          <cell r="V25" t="str">
            <v>Open</v>
          </cell>
          <cell r="W25" t="str">
            <v>Open</v>
          </cell>
          <cell r="X25" t="str">
            <v>Open</v>
          </cell>
          <cell r="Y25" t="str">
            <v>Open</v>
          </cell>
          <cell r="Z25" t="str">
            <v>Open</v>
          </cell>
          <cell r="AA25" t="str">
            <v>Open</v>
          </cell>
          <cell r="AB25" t="str">
            <v>Open</v>
          </cell>
          <cell r="AC25" t="str">
            <v>Open</v>
          </cell>
          <cell r="AD25" t="str">
            <v>Open</v>
          </cell>
        </row>
        <row r="26">
          <cell r="B26" t="str">
            <v>Interfish</v>
          </cell>
          <cell r="C26" t="str">
            <v>Open</v>
          </cell>
          <cell r="D26" t="str">
            <v>Open</v>
          </cell>
          <cell r="E26" t="str">
            <v>Open</v>
          </cell>
          <cell r="F26" t="str">
            <v>Open</v>
          </cell>
          <cell r="G26" t="str">
            <v>Open</v>
          </cell>
          <cell r="H26" t="str">
            <v>Open</v>
          </cell>
          <cell r="I26" t="str">
            <v>Open</v>
          </cell>
          <cell r="J26" t="str">
            <v>Open</v>
          </cell>
          <cell r="K26" t="str">
            <v>Open</v>
          </cell>
          <cell r="L26" t="str">
            <v>Open</v>
          </cell>
          <cell r="M26" t="str">
            <v>Open</v>
          </cell>
          <cell r="N26" t="str">
            <v>Open</v>
          </cell>
          <cell r="O26" t="str">
            <v>Open</v>
          </cell>
          <cell r="P26" t="str">
            <v>Open</v>
          </cell>
          <cell r="Q26" t="str">
            <v>Open</v>
          </cell>
          <cell r="R26">
            <v>40909</v>
          </cell>
          <cell r="S26">
            <v>40909</v>
          </cell>
          <cell r="T26" t="str">
            <v>Open</v>
          </cell>
          <cell r="U26" t="str">
            <v>Open</v>
          </cell>
          <cell r="V26" t="str">
            <v>Open</v>
          </cell>
          <cell r="W26" t="str">
            <v>Open</v>
          </cell>
          <cell r="X26" t="str">
            <v>Open</v>
          </cell>
          <cell r="Y26" t="str">
            <v>Open</v>
          </cell>
          <cell r="Z26" t="str">
            <v>Open</v>
          </cell>
          <cell r="AA26" t="str">
            <v>Open</v>
          </cell>
          <cell r="AB26" t="str">
            <v>Open</v>
          </cell>
          <cell r="AC26" t="str">
            <v>Open</v>
          </cell>
          <cell r="AD26" t="str">
            <v>Open</v>
          </cell>
        </row>
        <row r="27">
          <cell r="B27" t="str">
            <v>North Atlantic FPO</v>
          </cell>
          <cell r="C27" t="str">
            <v>Open</v>
          </cell>
          <cell r="D27" t="str">
            <v>Open</v>
          </cell>
          <cell r="E27" t="str">
            <v>Open</v>
          </cell>
          <cell r="F27" t="str">
            <v>Open</v>
          </cell>
          <cell r="G27" t="str">
            <v>Open</v>
          </cell>
          <cell r="H27" t="str">
            <v>Open</v>
          </cell>
          <cell r="I27" t="str">
            <v>Open</v>
          </cell>
          <cell r="J27" t="str">
            <v>Open</v>
          </cell>
          <cell r="K27" t="str">
            <v>Open</v>
          </cell>
          <cell r="L27" t="str">
            <v>Open</v>
          </cell>
          <cell r="M27" t="str">
            <v>Open</v>
          </cell>
          <cell r="N27" t="str">
            <v>Open</v>
          </cell>
          <cell r="O27" t="str">
            <v>Open</v>
          </cell>
          <cell r="P27" t="str">
            <v>Open</v>
          </cell>
          <cell r="Q27">
            <v>40909</v>
          </cell>
          <cell r="R27">
            <v>40909</v>
          </cell>
          <cell r="S27">
            <v>40909</v>
          </cell>
          <cell r="T27">
            <v>40909</v>
          </cell>
          <cell r="U27" t="str">
            <v>Open</v>
          </cell>
          <cell r="V27" t="str">
            <v>Open</v>
          </cell>
          <cell r="W27" t="str">
            <v>Open</v>
          </cell>
          <cell r="X27" t="str">
            <v>Open</v>
          </cell>
          <cell r="Y27" t="str">
            <v>Open</v>
          </cell>
          <cell r="Z27" t="str">
            <v>Open</v>
          </cell>
          <cell r="AA27" t="str">
            <v>Open</v>
          </cell>
          <cell r="AB27" t="str">
            <v>Open</v>
          </cell>
          <cell r="AC27" t="str">
            <v>Open</v>
          </cell>
          <cell r="AD27" t="str">
            <v>Open</v>
          </cell>
        </row>
        <row r="28">
          <cell r="B28" t="str">
            <v>Non Sector</v>
          </cell>
          <cell r="C28">
            <v>40909</v>
          </cell>
          <cell r="D28" t="str">
            <v>Open</v>
          </cell>
          <cell r="E28" t="str">
            <v>Open</v>
          </cell>
          <cell r="F28">
            <v>40909</v>
          </cell>
          <cell r="G28">
            <v>40909</v>
          </cell>
          <cell r="H28">
            <v>40909</v>
          </cell>
          <cell r="I28" t="str">
            <v>Open</v>
          </cell>
          <cell r="J28" t="str">
            <v>Open</v>
          </cell>
          <cell r="K28" t="str">
            <v>Open</v>
          </cell>
          <cell r="L28" t="str">
            <v>Open</v>
          </cell>
          <cell r="M28" t="str">
            <v>Open</v>
          </cell>
          <cell r="N28">
            <v>40909</v>
          </cell>
          <cell r="O28" t="str">
            <v>Open</v>
          </cell>
          <cell r="P28" t="str">
            <v>Open</v>
          </cell>
          <cell r="Q28">
            <v>40909</v>
          </cell>
          <cell r="R28">
            <v>40909</v>
          </cell>
          <cell r="S28">
            <v>40909</v>
          </cell>
          <cell r="T28">
            <v>40909</v>
          </cell>
          <cell r="U28" t="str">
            <v>Open</v>
          </cell>
          <cell r="V28" t="str">
            <v>Open</v>
          </cell>
          <cell r="W28" t="str">
            <v>Open</v>
          </cell>
          <cell r="X28" t="str">
            <v>Open</v>
          </cell>
          <cell r="Y28" t="str">
            <v>Open</v>
          </cell>
          <cell r="Z28" t="str">
            <v>Open</v>
          </cell>
          <cell r="AA28" t="str">
            <v>Open</v>
          </cell>
          <cell r="AB28" t="str">
            <v>Open</v>
          </cell>
          <cell r="AC28" t="str">
            <v>Open</v>
          </cell>
          <cell r="AD28" t="str">
            <v>Open</v>
          </cell>
        </row>
        <row r="29">
          <cell r="B29" t="str">
            <v>Non Sector - England</v>
          </cell>
          <cell r="C29">
            <v>40909</v>
          </cell>
          <cell r="D29" t="str">
            <v>Open</v>
          </cell>
          <cell r="E29" t="str">
            <v>Open</v>
          </cell>
          <cell r="F29">
            <v>40909</v>
          </cell>
          <cell r="G29">
            <v>40909</v>
          </cell>
          <cell r="H29">
            <v>40909</v>
          </cell>
          <cell r="I29" t="str">
            <v>Open</v>
          </cell>
          <cell r="J29" t="str">
            <v>Open</v>
          </cell>
          <cell r="K29" t="str">
            <v>Open</v>
          </cell>
          <cell r="L29" t="str">
            <v>Open</v>
          </cell>
          <cell r="M29" t="str">
            <v>Open</v>
          </cell>
          <cell r="N29">
            <v>40909</v>
          </cell>
          <cell r="O29" t="str">
            <v>Open</v>
          </cell>
          <cell r="P29" t="str">
            <v>Open</v>
          </cell>
          <cell r="Q29">
            <v>40909</v>
          </cell>
          <cell r="R29">
            <v>40909</v>
          </cell>
          <cell r="S29">
            <v>40909</v>
          </cell>
          <cell r="T29">
            <v>40909</v>
          </cell>
          <cell r="U29" t="str">
            <v>Open</v>
          </cell>
          <cell r="V29" t="str">
            <v>Open</v>
          </cell>
          <cell r="W29" t="str">
            <v>Open</v>
          </cell>
          <cell r="X29" t="str">
            <v>Open</v>
          </cell>
          <cell r="Y29" t="str">
            <v>Open</v>
          </cell>
          <cell r="Z29" t="str">
            <v>Open</v>
          </cell>
          <cell r="AA29" t="str">
            <v>Open</v>
          </cell>
          <cell r="AB29" t="str">
            <v>Open</v>
          </cell>
          <cell r="AC29" t="str">
            <v>Open</v>
          </cell>
          <cell r="AD29" t="str">
            <v>Open</v>
          </cell>
        </row>
        <row r="30">
          <cell r="B30" t="str">
            <v>Non Sector - Wales</v>
          </cell>
          <cell r="C30">
            <v>40909</v>
          </cell>
          <cell r="D30" t="str">
            <v>Open</v>
          </cell>
          <cell r="E30" t="str">
            <v>Open</v>
          </cell>
          <cell r="F30">
            <v>40909</v>
          </cell>
          <cell r="G30">
            <v>40909</v>
          </cell>
          <cell r="H30">
            <v>40909</v>
          </cell>
          <cell r="I30" t="str">
            <v>Open</v>
          </cell>
          <cell r="J30" t="str">
            <v>Open</v>
          </cell>
          <cell r="K30" t="str">
            <v>Open</v>
          </cell>
          <cell r="L30" t="str">
            <v>Open</v>
          </cell>
          <cell r="M30" t="str">
            <v>Open</v>
          </cell>
          <cell r="N30">
            <v>40909</v>
          </cell>
          <cell r="O30" t="str">
            <v>Open</v>
          </cell>
          <cell r="P30" t="str">
            <v>Open</v>
          </cell>
          <cell r="Q30">
            <v>40909</v>
          </cell>
          <cell r="R30">
            <v>40909</v>
          </cell>
          <cell r="S30">
            <v>40909</v>
          </cell>
          <cell r="T30">
            <v>40909</v>
          </cell>
          <cell r="U30" t="str">
            <v>Open</v>
          </cell>
          <cell r="V30" t="str">
            <v>Open</v>
          </cell>
          <cell r="W30" t="str">
            <v>Open</v>
          </cell>
          <cell r="X30" t="str">
            <v>Open</v>
          </cell>
          <cell r="Y30" t="str">
            <v>Open</v>
          </cell>
          <cell r="Z30" t="str">
            <v>Open</v>
          </cell>
          <cell r="AA30" t="str">
            <v>Open</v>
          </cell>
          <cell r="AB30" t="str">
            <v>Open</v>
          </cell>
          <cell r="AC30" t="str">
            <v>Open</v>
          </cell>
          <cell r="AD30" t="str">
            <v>Open</v>
          </cell>
        </row>
        <row r="31">
          <cell r="B31" t="str">
            <v>Non Sector - Scotland</v>
          </cell>
          <cell r="C31">
            <v>40909</v>
          </cell>
          <cell r="D31" t="str">
            <v>Open</v>
          </cell>
          <cell r="E31">
            <v>41275</v>
          </cell>
          <cell r="F31">
            <v>40909</v>
          </cell>
          <cell r="G31">
            <v>40909</v>
          </cell>
          <cell r="H31">
            <v>40909</v>
          </cell>
          <cell r="I31" t="str">
            <v>Open</v>
          </cell>
          <cell r="J31" t="str">
            <v>Open</v>
          </cell>
          <cell r="K31" t="str">
            <v>Open</v>
          </cell>
          <cell r="L31" t="str">
            <v>Open</v>
          </cell>
          <cell r="M31" t="str">
            <v>Open</v>
          </cell>
          <cell r="N31">
            <v>40909</v>
          </cell>
          <cell r="O31" t="str">
            <v>Open</v>
          </cell>
          <cell r="P31" t="str">
            <v>Open</v>
          </cell>
          <cell r="Q31">
            <v>40909</v>
          </cell>
          <cell r="R31">
            <v>40909</v>
          </cell>
          <cell r="S31">
            <v>40909</v>
          </cell>
          <cell r="T31">
            <v>40909</v>
          </cell>
          <cell r="U31" t="str">
            <v>Open</v>
          </cell>
          <cell r="V31" t="str">
            <v>Open</v>
          </cell>
          <cell r="W31" t="str">
            <v>Open</v>
          </cell>
          <cell r="X31" t="str">
            <v>Open</v>
          </cell>
          <cell r="Y31" t="str">
            <v>Open</v>
          </cell>
          <cell r="Z31" t="str">
            <v>Open</v>
          </cell>
          <cell r="AA31" t="str">
            <v>Open</v>
          </cell>
          <cell r="AB31" t="str">
            <v>Open</v>
          </cell>
          <cell r="AC31" t="str">
            <v>Open</v>
          </cell>
          <cell r="AD31" t="str">
            <v>Open</v>
          </cell>
        </row>
        <row r="32">
          <cell r="B32" t="str">
            <v>Non Sector - N.Ireland</v>
          </cell>
          <cell r="C32">
            <v>40909</v>
          </cell>
          <cell r="D32" t="str">
            <v>Open</v>
          </cell>
          <cell r="E32" t="str">
            <v>Open</v>
          </cell>
          <cell r="F32">
            <v>40909</v>
          </cell>
          <cell r="G32">
            <v>40909</v>
          </cell>
          <cell r="H32">
            <v>40909</v>
          </cell>
          <cell r="I32" t="str">
            <v>Open</v>
          </cell>
          <cell r="J32" t="str">
            <v>Open</v>
          </cell>
          <cell r="K32" t="str">
            <v>Open</v>
          </cell>
          <cell r="L32" t="str">
            <v>Open</v>
          </cell>
          <cell r="M32" t="str">
            <v>Open</v>
          </cell>
          <cell r="N32">
            <v>40909</v>
          </cell>
          <cell r="O32" t="str">
            <v>Open</v>
          </cell>
          <cell r="P32" t="str">
            <v>Open</v>
          </cell>
          <cell r="Q32">
            <v>40909</v>
          </cell>
          <cell r="R32">
            <v>40909</v>
          </cell>
          <cell r="S32">
            <v>40909</v>
          </cell>
          <cell r="T32">
            <v>40909</v>
          </cell>
          <cell r="U32" t="str">
            <v>Open</v>
          </cell>
          <cell r="V32" t="str">
            <v>Open</v>
          </cell>
          <cell r="W32" t="str">
            <v>Open</v>
          </cell>
          <cell r="X32" t="str">
            <v>Open</v>
          </cell>
          <cell r="Y32" t="str">
            <v>Open</v>
          </cell>
          <cell r="Z32" t="str">
            <v>Open</v>
          </cell>
          <cell r="AA32" t="str">
            <v>Open</v>
          </cell>
          <cell r="AB32" t="str">
            <v>Open</v>
          </cell>
          <cell r="AC32" t="str">
            <v>Open</v>
          </cell>
          <cell r="AD32" t="str">
            <v>Open</v>
          </cell>
        </row>
        <row r="33">
          <cell r="B33" t="str">
            <v>Isle of Man</v>
          </cell>
          <cell r="C33">
            <v>40909</v>
          </cell>
          <cell r="D33">
            <v>40909</v>
          </cell>
          <cell r="E33" t="str">
            <v>Open</v>
          </cell>
          <cell r="F33">
            <v>40909</v>
          </cell>
          <cell r="G33">
            <v>40909</v>
          </cell>
          <cell r="H33">
            <v>40909</v>
          </cell>
          <cell r="I33" t="str">
            <v>Open</v>
          </cell>
          <cell r="J33" t="str">
            <v>Open</v>
          </cell>
          <cell r="K33" t="str">
            <v>Open</v>
          </cell>
          <cell r="L33" t="str">
            <v>Open</v>
          </cell>
          <cell r="M33" t="str">
            <v>Open</v>
          </cell>
          <cell r="N33">
            <v>40909</v>
          </cell>
          <cell r="O33" t="str">
            <v>Open</v>
          </cell>
          <cell r="P33" t="str">
            <v>Open</v>
          </cell>
          <cell r="Q33">
            <v>40909</v>
          </cell>
          <cell r="R33">
            <v>40909</v>
          </cell>
          <cell r="S33">
            <v>40909</v>
          </cell>
          <cell r="T33">
            <v>40909</v>
          </cell>
          <cell r="U33" t="str">
            <v>Open</v>
          </cell>
          <cell r="V33" t="str">
            <v>Open</v>
          </cell>
          <cell r="W33" t="str">
            <v>Open</v>
          </cell>
          <cell r="X33" t="str">
            <v>Open</v>
          </cell>
          <cell r="Y33" t="str">
            <v>Open</v>
          </cell>
          <cell r="Z33" t="str">
            <v>Open</v>
          </cell>
          <cell r="AA33" t="str">
            <v>Open</v>
          </cell>
          <cell r="AB33" t="str">
            <v>Open</v>
          </cell>
          <cell r="AC33" t="str">
            <v>Open</v>
          </cell>
          <cell r="AD33" t="str">
            <v>Open</v>
          </cell>
        </row>
        <row r="34">
          <cell r="B34" t="str">
            <v>Under 10m</v>
          </cell>
          <cell r="C34">
            <v>40909</v>
          </cell>
          <cell r="D34">
            <v>40909</v>
          </cell>
          <cell r="E34" t="str">
            <v>Open</v>
          </cell>
          <cell r="F34" t="str">
            <v>Open</v>
          </cell>
          <cell r="G34" t="str">
            <v>Open</v>
          </cell>
          <cell r="H34" t="str">
            <v>Open</v>
          </cell>
          <cell r="I34" t="str">
            <v>Open</v>
          </cell>
          <cell r="J34" t="str">
            <v>Open</v>
          </cell>
          <cell r="K34" t="str">
            <v>Open</v>
          </cell>
          <cell r="L34" t="str">
            <v>Open</v>
          </cell>
          <cell r="M34" t="str">
            <v>Open</v>
          </cell>
          <cell r="N34">
            <v>40909</v>
          </cell>
          <cell r="O34" t="str">
            <v>Open</v>
          </cell>
          <cell r="P34" t="str">
            <v>Open</v>
          </cell>
          <cell r="Q34">
            <v>40909</v>
          </cell>
          <cell r="R34">
            <v>40909</v>
          </cell>
          <cell r="S34">
            <v>40909</v>
          </cell>
          <cell r="T34">
            <v>40909</v>
          </cell>
          <cell r="U34" t="str">
            <v>Open</v>
          </cell>
          <cell r="V34" t="str">
            <v>Open</v>
          </cell>
          <cell r="W34" t="str">
            <v>Open</v>
          </cell>
          <cell r="X34" t="str">
            <v>Open</v>
          </cell>
          <cell r="Y34" t="str">
            <v>Open</v>
          </cell>
          <cell r="Z34" t="str">
            <v>Open</v>
          </cell>
          <cell r="AA34" t="str">
            <v>Open</v>
          </cell>
          <cell r="AB34" t="str">
            <v>Open</v>
          </cell>
          <cell r="AC34" t="str">
            <v>Open</v>
          </cell>
          <cell r="AD34" t="str">
            <v>Open</v>
          </cell>
        </row>
        <row r="35">
          <cell r="B35" t="str">
            <v>Under 10m - England</v>
          </cell>
          <cell r="C35">
            <v>40909</v>
          </cell>
          <cell r="D35">
            <v>40909</v>
          </cell>
          <cell r="E35" t="str">
            <v>Open</v>
          </cell>
          <cell r="F35" t="str">
            <v>Open</v>
          </cell>
          <cell r="G35" t="str">
            <v>Open</v>
          </cell>
          <cell r="H35" t="str">
            <v>Open</v>
          </cell>
          <cell r="I35" t="str">
            <v>Open</v>
          </cell>
          <cell r="J35" t="str">
            <v>Open</v>
          </cell>
          <cell r="K35" t="str">
            <v>Open</v>
          </cell>
          <cell r="L35" t="str">
            <v>Open</v>
          </cell>
          <cell r="M35" t="str">
            <v>Open</v>
          </cell>
          <cell r="N35">
            <v>40909</v>
          </cell>
          <cell r="O35" t="str">
            <v>Open</v>
          </cell>
          <cell r="P35" t="str">
            <v>Open</v>
          </cell>
          <cell r="Q35">
            <v>40909</v>
          </cell>
          <cell r="R35">
            <v>40909</v>
          </cell>
          <cell r="S35">
            <v>40909</v>
          </cell>
          <cell r="T35">
            <v>40909</v>
          </cell>
          <cell r="U35" t="str">
            <v>Open</v>
          </cell>
          <cell r="V35" t="str">
            <v>Open</v>
          </cell>
          <cell r="W35" t="str">
            <v>Open</v>
          </cell>
          <cell r="X35" t="str">
            <v>Open</v>
          </cell>
          <cell r="Y35" t="str">
            <v>Open</v>
          </cell>
          <cell r="Z35" t="str">
            <v>Open</v>
          </cell>
          <cell r="AA35" t="str">
            <v>Open</v>
          </cell>
          <cell r="AB35" t="str">
            <v>Open</v>
          </cell>
          <cell r="AC35" t="str">
            <v>Open</v>
          </cell>
          <cell r="AD35" t="str">
            <v>Open</v>
          </cell>
        </row>
        <row r="36">
          <cell r="B36" t="str">
            <v>Under 10m - Wales</v>
          </cell>
          <cell r="C36">
            <v>40909</v>
          </cell>
          <cell r="D36">
            <v>40909</v>
          </cell>
          <cell r="E36" t="str">
            <v>Open</v>
          </cell>
          <cell r="F36" t="str">
            <v>Open</v>
          </cell>
          <cell r="G36" t="str">
            <v>Open</v>
          </cell>
          <cell r="H36" t="str">
            <v>Open</v>
          </cell>
          <cell r="I36" t="str">
            <v>Open</v>
          </cell>
          <cell r="J36" t="str">
            <v>Open</v>
          </cell>
          <cell r="K36" t="str">
            <v>Open</v>
          </cell>
          <cell r="L36" t="str">
            <v>Open</v>
          </cell>
          <cell r="M36" t="str">
            <v>Open</v>
          </cell>
          <cell r="N36">
            <v>40909</v>
          </cell>
          <cell r="O36" t="str">
            <v>Open</v>
          </cell>
          <cell r="P36" t="str">
            <v>Open</v>
          </cell>
          <cell r="Q36">
            <v>40909</v>
          </cell>
          <cell r="R36">
            <v>40909</v>
          </cell>
          <cell r="S36">
            <v>40909</v>
          </cell>
          <cell r="T36">
            <v>40909</v>
          </cell>
          <cell r="U36" t="str">
            <v>Open</v>
          </cell>
          <cell r="V36" t="str">
            <v>Open</v>
          </cell>
          <cell r="W36" t="str">
            <v>Open</v>
          </cell>
          <cell r="X36" t="str">
            <v>Open</v>
          </cell>
          <cell r="Y36" t="str">
            <v>Open</v>
          </cell>
          <cell r="Z36" t="str">
            <v>Open</v>
          </cell>
          <cell r="AA36" t="str">
            <v>Open</v>
          </cell>
          <cell r="AB36" t="str">
            <v>Open</v>
          </cell>
          <cell r="AC36" t="str">
            <v>Open</v>
          </cell>
          <cell r="AD36" t="str">
            <v>Open</v>
          </cell>
        </row>
        <row r="37">
          <cell r="B37" t="str">
            <v>Under 10m - Scotland</v>
          </cell>
          <cell r="C37">
            <v>40909</v>
          </cell>
          <cell r="D37">
            <v>40909</v>
          </cell>
          <cell r="E37" t="str">
            <v>Open</v>
          </cell>
          <cell r="F37" t="str">
            <v>Open</v>
          </cell>
          <cell r="G37" t="str">
            <v>Open</v>
          </cell>
          <cell r="H37" t="str">
            <v>Open</v>
          </cell>
          <cell r="I37" t="str">
            <v>Open</v>
          </cell>
          <cell r="J37" t="str">
            <v>Open</v>
          </cell>
          <cell r="K37" t="str">
            <v>Open</v>
          </cell>
          <cell r="L37" t="str">
            <v>Open</v>
          </cell>
          <cell r="M37" t="str">
            <v>Open</v>
          </cell>
          <cell r="N37">
            <v>40909</v>
          </cell>
          <cell r="O37" t="str">
            <v>Open</v>
          </cell>
          <cell r="P37" t="str">
            <v>Open</v>
          </cell>
          <cell r="Q37">
            <v>40909</v>
          </cell>
          <cell r="R37">
            <v>40909</v>
          </cell>
          <cell r="S37">
            <v>40909</v>
          </cell>
          <cell r="T37">
            <v>40909</v>
          </cell>
          <cell r="U37" t="str">
            <v>Open</v>
          </cell>
          <cell r="V37" t="str">
            <v>Open</v>
          </cell>
          <cell r="W37" t="str">
            <v>Open</v>
          </cell>
          <cell r="X37" t="str">
            <v>Open</v>
          </cell>
          <cell r="Y37" t="str">
            <v>Open</v>
          </cell>
          <cell r="Z37" t="str">
            <v>Open</v>
          </cell>
          <cell r="AA37" t="str">
            <v>Open</v>
          </cell>
          <cell r="AB37" t="str">
            <v>Open</v>
          </cell>
          <cell r="AC37" t="str">
            <v>Open</v>
          </cell>
          <cell r="AD37" t="str">
            <v>Open</v>
          </cell>
        </row>
        <row r="38">
          <cell r="B38" t="str">
            <v>Under 10m - N.Ireland</v>
          </cell>
          <cell r="C38">
            <v>40909</v>
          </cell>
          <cell r="D38">
            <v>40909</v>
          </cell>
          <cell r="E38" t="str">
            <v>Open</v>
          </cell>
          <cell r="F38" t="str">
            <v>Open</v>
          </cell>
          <cell r="G38" t="str">
            <v>Open</v>
          </cell>
          <cell r="H38" t="str">
            <v>Open</v>
          </cell>
          <cell r="I38" t="str">
            <v>Open</v>
          </cell>
          <cell r="J38" t="str">
            <v>Open</v>
          </cell>
          <cell r="K38" t="str">
            <v>Open</v>
          </cell>
          <cell r="L38" t="str">
            <v>Open</v>
          </cell>
          <cell r="M38" t="str">
            <v>Open</v>
          </cell>
          <cell r="N38">
            <v>40909</v>
          </cell>
          <cell r="O38" t="str">
            <v>Open</v>
          </cell>
          <cell r="P38" t="str">
            <v>Open</v>
          </cell>
          <cell r="Q38">
            <v>40909</v>
          </cell>
          <cell r="R38">
            <v>40909</v>
          </cell>
          <cell r="S38">
            <v>40909</v>
          </cell>
          <cell r="T38">
            <v>40909</v>
          </cell>
          <cell r="U38" t="str">
            <v>Open</v>
          </cell>
          <cell r="V38" t="str">
            <v>Open</v>
          </cell>
          <cell r="W38" t="str">
            <v>Open</v>
          </cell>
          <cell r="X38" t="str">
            <v>Open</v>
          </cell>
          <cell r="Y38" t="str">
            <v>Open</v>
          </cell>
          <cell r="Z38" t="str">
            <v>Open</v>
          </cell>
          <cell r="AA38" t="str">
            <v>Open</v>
          </cell>
          <cell r="AB38" t="str">
            <v>Open</v>
          </cell>
          <cell r="AC38" t="str">
            <v>Open</v>
          </cell>
          <cell r="AD38" t="str">
            <v>Open</v>
          </cell>
        </row>
        <row r="39">
          <cell r="B39" t="str">
            <v>Handliners(VIIe-h)</v>
          </cell>
          <cell r="C39">
            <v>40909</v>
          </cell>
          <cell r="D39" t="str">
            <v>Open</v>
          </cell>
          <cell r="E39" t="str">
            <v>Open</v>
          </cell>
          <cell r="F39">
            <v>40909</v>
          </cell>
          <cell r="G39" t="str">
            <v>Open</v>
          </cell>
          <cell r="H39" t="str">
            <v>Open</v>
          </cell>
          <cell r="I39" t="str">
            <v>Open</v>
          </cell>
          <cell r="J39" t="str">
            <v>Open</v>
          </cell>
          <cell r="K39" t="str">
            <v>Open</v>
          </cell>
          <cell r="L39" t="str">
            <v>Open</v>
          </cell>
          <cell r="M39" t="str">
            <v>Open</v>
          </cell>
          <cell r="N39">
            <v>40909</v>
          </cell>
          <cell r="O39">
            <v>40909</v>
          </cell>
          <cell r="P39" t="str">
            <v>Open</v>
          </cell>
          <cell r="Q39">
            <v>40909</v>
          </cell>
          <cell r="R39">
            <v>40909</v>
          </cell>
          <cell r="S39">
            <v>40909</v>
          </cell>
          <cell r="T39">
            <v>40909</v>
          </cell>
          <cell r="U39" t="str">
            <v>Open</v>
          </cell>
          <cell r="V39" t="str">
            <v>Open</v>
          </cell>
          <cell r="W39" t="str">
            <v>Open</v>
          </cell>
          <cell r="X39" t="str">
            <v>Open</v>
          </cell>
          <cell r="Y39" t="str">
            <v>Open</v>
          </cell>
          <cell r="Z39" t="str">
            <v>Open</v>
          </cell>
          <cell r="AA39" t="str">
            <v>Open</v>
          </cell>
          <cell r="AB39" t="str">
            <v>Open</v>
          </cell>
          <cell r="AC39" t="str">
            <v>Open</v>
          </cell>
          <cell r="AD39" t="str">
            <v>Open</v>
          </cell>
        </row>
        <row r="41">
          <cell r="B41" t="str">
            <v>TOTAL</v>
          </cell>
          <cell r="C41" t="str">
            <v>Open</v>
          </cell>
          <cell r="D41" t="str">
            <v>Open</v>
          </cell>
          <cell r="E41" t="str">
            <v>Open</v>
          </cell>
          <cell r="F41" t="str">
            <v>Open</v>
          </cell>
          <cell r="G41" t="str">
            <v>Open</v>
          </cell>
          <cell r="H41" t="str">
            <v>Open</v>
          </cell>
          <cell r="I41" t="str">
            <v>Open</v>
          </cell>
          <cell r="J41" t="str">
            <v>Open</v>
          </cell>
          <cell r="K41" t="str">
            <v>Open</v>
          </cell>
          <cell r="L41" t="str">
            <v>Open</v>
          </cell>
          <cell r="M41" t="str">
            <v>Open</v>
          </cell>
          <cell r="N41" t="str">
            <v>Open</v>
          </cell>
          <cell r="O41" t="str">
            <v>Open</v>
          </cell>
          <cell r="P41" t="str">
            <v>Open</v>
          </cell>
          <cell r="Q41">
            <v>40909</v>
          </cell>
          <cell r="R41">
            <v>40909</v>
          </cell>
          <cell r="S41">
            <v>40909</v>
          </cell>
          <cell r="T41" t="str">
            <v>Open</v>
          </cell>
          <cell r="U41" t="str">
            <v>Open</v>
          </cell>
          <cell r="V41" t="str">
            <v>Open</v>
          </cell>
          <cell r="W41" t="str">
            <v>Open</v>
          </cell>
          <cell r="X41" t="str">
            <v>Open</v>
          </cell>
          <cell r="Y41" t="str">
            <v>Open</v>
          </cell>
          <cell r="Z41" t="str">
            <v>Open</v>
          </cell>
          <cell r="AA41" t="str">
            <v>Open</v>
          </cell>
          <cell r="AB41" t="str">
            <v>Open</v>
          </cell>
          <cell r="AC41" t="str">
            <v>Open</v>
          </cell>
          <cell r="AD41" t="str">
            <v>Open</v>
          </cell>
        </row>
      </sheetData>
      <sheetData sheetId="3">
        <row r="3"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</row>
        <row r="4">
          <cell r="B4" t="str">
            <v>North Sea Herring</v>
          </cell>
          <cell r="C4" t="str">
            <v>West Coast Herring</v>
          </cell>
          <cell r="D4" t="str">
            <v>West Coast Mackerel</v>
          </cell>
          <cell r="E4" t="str">
            <v>West Coast Mackerel HL</v>
          </cell>
          <cell r="F4" t="str">
            <v>Shet. Box Mackerel</v>
          </cell>
          <cell r="G4" t="str">
            <v>North Sea Mackerel</v>
          </cell>
          <cell r="H4" t="str">
            <v>N.Sea Mackerel IIIa IVbc</v>
          </cell>
          <cell r="I4" t="str">
            <v>Atlanto Scandian Herring</v>
          </cell>
          <cell r="J4" t="str">
            <v xml:space="preserve">Norway  </v>
          </cell>
          <cell r="K4" t="str">
            <v>Nor EEZ</v>
          </cell>
          <cell r="L4" t="str">
            <v>Faroes</v>
          </cell>
          <cell r="M4" t="str">
            <v>Clyde Firth Herring</v>
          </cell>
          <cell r="N4" t="str">
            <v>North Sea Horse Mackerel</v>
          </cell>
          <cell r="O4" t="str">
            <v>West Coast Horse Mackerel</v>
          </cell>
          <cell r="P4" t="str">
            <v>North Sea Blue Whiting</v>
          </cell>
          <cell r="Q4" t="str">
            <v>North Sea Sand Eels</v>
          </cell>
          <cell r="R4" t="str">
            <v>Norwegian Sand Eels</v>
          </cell>
          <cell r="S4" t="str">
            <v>Norway Pout</v>
          </cell>
          <cell r="T4" t="str">
            <v>Blue Whiting I-VIII, XII, XIV</v>
          </cell>
          <cell r="U4" t="str">
            <v>Shetland Sandeels</v>
          </cell>
          <cell r="V4" t="str">
            <v>Blue Whiting VIII</v>
          </cell>
          <cell r="W4" t="str">
            <v>Greenland Capelin</v>
          </cell>
          <cell r="X4" t="str">
            <v>Bl Whi Vb Faroes</v>
          </cell>
        </row>
        <row r="5">
          <cell r="A5" t="str">
            <v>SFO</v>
          </cell>
          <cell r="B5">
            <v>18731.63</v>
          </cell>
          <cell r="C5">
            <v>0.63</v>
          </cell>
          <cell r="D5">
            <v>26174.860000000004</v>
          </cell>
          <cell r="E5">
            <v>0</v>
          </cell>
          <cell r="F5">
            <v>1640.0500000000002</v>
          </cell>
          <cell r="G5">
            <v>12.69</v>
          </cell>
          <cell r="H5">
            <v>3.9569999999999999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15.190000000000001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12890.6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Aberdeen</v>
          </cell>
          <cell r="B6">
            <v>7.0000000000000007E-2</v>
          </cell>
          <cell r="C6">
            <v>0</v>
          </cell>
          <cell r="D6">
            <v>0</v>
          </cell>
          <cell r="E6">
            <v>0</v>
          </cell>
          <cell r="F6">
            <v>2.41</v>
          </cell>
          <cell r="G6">
            <v>12.700000000000001</v>
          </cell>
          <cell r="H6">
            <v>5.82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0.28000000000000003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 t="str">
            <v>NESFO</v>
          </cell>
          <cell r="B7">
            <v>0.12</v>
          </cell>
          <cell r="C7">
            <v>0</v>
          </cell>
          <cell r="D7">
            <v>1.1599999999999999</v>
          </cell>
          <cell r="E7">
            <v>0</v>
          </cell>
          <cell r="F7">
            <v>0.67999999999999994</v>
          </cell>
          <cell r="G7">
            <v>1.76</v>
          </cell>
          <cell r="H7">
            <v>1.7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>Shetland</v>
          </cell>
          <cell r="B8">
            <v>10543.81</v>
          </cell>
          <cell r="C8">
            <v>690.9</v>
          </cell>
          <cell r="D8">
            <v>8735.68</v>
          </cell>
          <cell r="E8">
            <v>0</v>
          </cell>
          <cell r="F8">
            <v>13317.550000000001</v>
          </cell>
          <cell r="G8">
            <v>19.900000000000002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11.27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9759.32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Fife</v>
          </cell>
          <cell r="B9">
            <v>0</v>
          </cell>
          <cell r="C9">
            <v>0</v>
          </cell>
          <cell r="D9">
            <v>57.839999880790749</v>
          </cell>
          <cell r="E9">
            <v>0</v>
          </cell>
          <cell r="F9">
            <v>0.04</v>
          </cell>
          <cell r="G9">
            <v>1.3900000000000001</v>
          </cell>
          <cell r="H9">
            <v>17.2480000076294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9.5040000133514422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West Scotland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0.02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>Orkney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0.15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 t="str">
            <v>Northern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0.03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 t="str">
            <v>Klondyke</v>
          </cell>
          <cell r="B13">
            <v>6570.21</v>
          </cell>
          <cell r="C13">
            <v>70.73</v>
          </cell>
          <cell r="D13">
            <v>9588.380000000001</v>
          </cell>
          <cell r="E13">
            <v>0</v>
          </cell>
          <cell r="F13">
            <v>678.37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434.93999999999994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10544.32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Lunar</v>
          </cell>
          <cell r="B14">
            <v>6398.9</v>
          </cell>
          <cell r="C14">
            <v>0</v>
          </cell>
          <cell r="D14">
            <v>11276.07</v>
          </cell>
          <cell r="E14">
            <v>0</v>
          </cell>
          <cell r="F14">
            <v>3305.9399999999996</v>
          </cell>
          <cell r="G14">
            <v>29.6</v>
          </cell>
          <cell r="H14">
            <v>0.21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1.22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24885.629999999997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Anglo Scot.</v>
          </cell>
          <cell r="B15">
            <v>0.15975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0.57999999999999996</v>
          </cell>
          <cell r="H15">
            <v>0.50049999859184036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EEFPO</v>
          </cell>
          <cell r="B16">
            <v>0.25</v>
          </cell>
          <cell r="C16">
            <v>0</v>
          </cell>
          <cell r="D16">
            <v>0</v>
          </cell>
          <cell r="E16">
            <v>0</v>
          </cell>
          <cell r="F16">
            <v>0.53</v>
          </cell>
          <cell r="G16">
            <v>0.79</v>
          </cell>
          <cell r="H16">
            <v>0.03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Western PO</v>
          </cell>
          <cell r="B17">
            <v>0</v>
          </cell>
          <cell r="C17">
            <v>0</v>
          </cell>
          <cell r="D17">
            <v>7.2607269845902933E-2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FPO</v>
          </cell>
          <cell r="B18">
            <v>0</v>
          </cell>
          <cell r="C18">
            <v>0</v>
          </cell>
          <cell r="D18">
            <v>0.31825000026822092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0.06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 t="str">
            <v>NIFPO</v>
          </cell>
          <cell r="B19">
            <v>31.335000000000001</v>
          </cell>
          <cell r="C19">
            <v>0</v>
          </cell>
          <cell r="D19">
            <v>1370.7860000076294</v>
          </cell>
          <cell r="E19">
            <v>0</v>
          </cell>
          <cell r="F19">
            <v>329.69300000000004</v>
          </cell>
          <cell r="G19">
            <v>10.855999976992608</v>
          </cell>
          <cell r="H19">
            <v>0.97900000095367434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0.35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>ANIFPO</v>
          </cell>
          <cell r="B20">
            <v>5601.8879999999999</v>
          </cell>
          <cell r="C20">
            <v>0</v>
          </cell>
          <cell r="D20">
            <v>6799.2010000039345</v>
          </cell>
          <cell r="E20">
            <v>0</v>
          </cell>
          <cell r="F20">
            <v>4158.7880000000005</v>
          </cell>
          <cell r="G20">
            <v>0</v>
          </cell>
          <cell r="H20">
            <v>0.01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180.3</v>
          </cell>
          <cell r="N20">
            <v>0</v>
          </cell>
          <cell r="O20">
            <v>1342.5859999999998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Cornish</v>
          </cell>
          <cell r="B21">
            <v>0</v>
          </cell>
          <cell r="C21">
            <v>0</v>
          </cell>
          <cell r="D21">
            <v>11.033241930477317</v>
          </cell>
          <cell r="E21">
            <v>4.4044999999999996</v>
          </cell>
          <cell r="F21">
            <v>1.1800000190734865</v>
          </cell>
          <cell r="G21">
            <v>8.1820000038146983</v>
          </cell>
          <cell r="H21">
            <v>2.1864999661445625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2.9660815974250432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 t="str">
            <v>South West</v>
          </cell>
          <cell r="B22">
            <v>0</v>
          </cell>
          <cell r="C22">
            <v>0</v>
          </cell>
          <cell r="D22">
            <v>2.7025510209128245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0.30259999994188541</v>
          </cell>
          <cell r="O22">
            <v>0.20329999899864198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>North Sea</v>
          </cell>
          <cell r="B23">
            <v>5.8999999999999997E-2</v>
          </cell>
          <cell r="C23">
            <v>0</v>
          </cell>
          <cell r="D23">
            <v>19.031000035285945</v>
          </cell>
          <cell r="E23">
            <v>0</v>
          </cell>
          <cell r="F23">
            <v>0</v>
          </cell>
          <cell r="G23">
            <v>0</v>
          </cell>
          <cell r="H23">
            <v>4.4439999732971174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14.294000005722038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>Lowestoft</v>
          </cell>
          <cell r="B24">
            <v>0</v>
          </cell>
          <cell r="C24">
            <v>0</v>
          </cell>
          <cell r="D24">
            <v>43.616000060081497</v>
          </cell>
          <cell r="E24">
            <v>0</v>
          </cell>
          <cell r="F24">
            <v>0</v>
          </cell>
          <cell r="G24">
            <v>0</v>
          </cell>
          <cell r="H24">
            <v>72.606000187173564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57.99705902087689</v>
          </cell>
          <cell r="O24">
            <v>7.1043000068664544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 t="str">
            <v>Wales WC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Interfish</v>
          </cell>
          <cell r="B26">
            <v>7754.0200000000013</v>
          </cell>
          <cell r="C26">
            <v>27.2</v>
          </cell>
          <cell r="D26">
            <v>7349.4158000036032</v>
          </cell>
          <cell r="E26">
            <v>0</v>
          </cell>
          <cell r="F26">
            <v>2243.5299999999997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6821.0199999999995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North Atlantic FPO</v>
          </cell>
          <cell r="B27">
            <v>9011.4820087715416</v>
          </cell>
          <cell r="C27">
            <v>4.5430000076293942</v>
          </cell>
          <cell r="D27">
            <v>12144.334996567812</v>
          </cell>
          <cell r="E27">
            <v>0</v>
          </cell>
          <cell r="F27">
            <v>251.75700170898438</v>
          </cell>
          <cell r="G27">
            <v>215.74050032138831</v>
          </cell>
          <cell r="H27">
            <v>154.71700062984229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3875.1758943758582</v>
          </cell>
          <cell r="O27">
            <v>3.5120000000000049</v>
          </cell>
          <cell r="P27">
            <v>0</v>
          </cell>
          <cell r="Q27">
            <v>0</v>
          </cell>
          <cell r="R27">
            <v>0</v>
          </cell>
          <cell r="S27">
            <v>9.8252998046875</v>
          </cell>
          <cell r="T27">
            <v>7202.1500341720584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>Non Sector - England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Non Sector - Wales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>Non Sector - Scotland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0.1</v>
          </cell>
          <cell r="G30">
            <v>0.18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A31" t="str">
            <v>Non Sector - N.Ireland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>Isle of Man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 t="str">
            <v>Under 10m - England</v>
          </cell>
          <cell r="B33">
            <v>3.3722499999999993</v>
          </cell>
          <cell r="C33">
            <v>0</v>
          </cell>
          <cell r="D33">
            <v>51.196377097859838</v>
          </cell>
          <cell r="E33">
            <v>237.29265201821934</v>
          </cell>
          <cell r="F33">
            <v>0</v>
          </cell>
          <cell r="G33">
            <v>0</v>
          </cell>
          <cell r="H33">
            <v>4.9785700007527964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0.86950000108033354</v>
          </cell>
          <cell r="O33">
            <v>1.7793300024121996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Under 10m - Wales</v>
          </cell>
          <cell r="B34">
            <v>0</v>
          </cell>
          <cell r="C34">
            <v>0</v>
          </cell>
          <cell r="D34">
            <v>0.58765999993681939</v>
          </cell>
          <cell r="E34">
            <v>9.4199999809265134E-2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Under 10m - Scotland</v>
          </cell>
          <cell r="B35">
            <v>0.1</v>
          </cell>
          <cell r="C35">
            <v>0</v>
          </cell>
          <cell r="D35">
            <v>12.829999999999998</v>
          </cell>
          <cell r="E35">
            <v>0</v>
          </cell>
          <cell r="F35">
            <v>0</v>
          </cell>
          <cell r="G35">
            <v>930.47999999999922</v>
          </cell>
          <cell r="H35">
            <v>58.279999999999987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0.06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Under 10m - N.Ireland</v>
          </cell>
          <cell r="B36">
            <v>0</v>
          </cell>
          <cell r="C36">
            <v>0</v>
          </cell>
          <cell r="D36">
            <v>0.126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Handliners(VIIe-h)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A39" t="str">
            <v>Total</v>
          </cell>
          <cell r="B39">
            <v>64647.406008771541</v>
          </cell>
          <cell r="C39">
            <v>794.00300000762945</v>
          </cell>
          <cell r="D39">
            <v>83639.241483878432</v>
          </cell>
          <cell r="E39">
            <v>241.79135201802862</v>
          </cell>
          <cell r="F39">
            <v>25930.818001728061</v>
          </cell>
          <cell r="G39">
            <v>1244.8485003021949</v>
          </cell>
          <cell r="H39">
            <v>327.66657076438526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180.3</v>
          </cell>
          <cell r="N39">
            <v>3958.2630534168306</v>
          </cell>
          <cell r="O39">
            <v>1821.401011605702</v>
          </cell>
          <cell r="P39">
            <v>0</v>
          </cell>
          <cell r="Q39">
            <v>0</v>
          </cell>
          <cell r="R39">
            <v>0</v>
          </cell>
          <cell r="S39">
            <v>9.8252998046875</v>
          </cell>
          <cell r="T39">
            <v>72103.040034172052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2">
          <cell r="A42">
            <v>44482</v>
          </cell>
        </row>
        <row r="44">
          <cell r="B44" t="str">
            <v>North Sea Herring</v>
          </cell>
          <cell r="C44" t="str">
            <v>West Coast Herring</v>
          </cell>
          <cell r="D44" t="str">
            <v>West Coast Mackerel</v>
          </cell>
          <cell r="E44" t="str">
            <v>West Coast Mackerel HL</v>
          </cell>
          <cell r="F44" t="str">
            <v>Shet. Box Mackerel</v>
          </cell>
          <cell r="G44" t="str">
            <v>North Sea Mackerel</v>
          </cell>
          <cell r="H44" t="str">
            <v>N.Sea Mackerel IIIa IVbc</v>
          </cell>
          <cell r="I44" t="str">
            <v>Atlanto Scandian Herring</v>
          </cell>
          <cell r="J44" t="str">
            <v xml:space="preserve">Norway  </v>
          </cell>
          <cell r="K44" t="str">
            <v>Nor EEZ</v>
          </cell>
          <cell r="L44" t="str">
            <v>Faroes</v>
          </cell>
          <cell r="M44" t="str">
            <v>Clyde Firth Herring</v>
          </cell>
          <cell r="N44" t="str">
            <v>North Sea Horse Mackerel</v>
          </cell>
          <cell r="O44" t="str">
            <v>West Coast Horse Mackerel</v>
          </cell>
          <cell r="P44" t="str">
            <v>North Sea Blue Whiting</v>
          </cell>
          <cell r="Q44" t="str">
            <v>North Sea Sand Eels</v>
          </cell>
          <cell r="R44" t="str">
            <v>Norwegian Sand Eels</v>
          </cell>
          <cell r="S44" t="str">
            <v>Norway Pout</v>
          </cell>
          <cell r="T44" t="str">
            <v>Blue Whiting I-VIII, XII, XIV</v>
          </cell>
          <cell r="U44" t="str">
            <v>Shetland Sandeels</v>
          </cell>
          <cell r="V44" t="str">
            <v>Blue Whiting VIII</v>
          </cell>
          <cell r="W44" t="str">
            <v>Greenland Capelin</v>
          </cell>
          <cell r="X44" t="str">
            <v>Bl Whi Vb Faroes</v>
          </cell>
        </row>
        <row r="45">
          <cell r="A45" t="str">
            <v>SFO</v>
          </cell>
          <cell r="B45">
            <v>18731.61</v>
          </cell>
          <cell r="C45">
            <v>0.63</v>
          </cell>
          <cell r="D45">
            <v>26174.860000000004</v>
          </cell>
          <cell r="E45">
            <v>0</v>
          </cell>
          <cell r="F45">
            <v>1639.79</v>
          </cell>
          <cell r="G45">
            <v>12.69</v>
          </cell>
          <cell r="H45">
            <v>3.9569999999999999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15.190000000000001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12890.6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A46" t="str">
            <v>Aberdeen</v>
          </cell>
          <cell r="B46">
            <v>7.0000000000000007E-2</v>
          </cell>
          <cell r="C46">
            <v>0</v>
          </cell>
          <cell r="D46">
            <v>0</v>
          </cell>
          <cell r="E46">
            <v>0</v>
          </cell>
          <cell r="F46">
            <v>2.29</v>
          </cell>
          <cell r="G46">
            <v>12.700000000000001</v>
          </cell>
          <cell r="H46">
            <v>5.82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0.28000000000000003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>NESFO</v>
          </cell>
          <cell r="B47">
            <v>0.12</v>
          </cell>
          <cell r="C47">
            <v>0</v>
          </cell>
          <cell r="D47">
            <v>1.1599999999999999</v>
          </cell>
          <cell r="E47">
            <v>0</v>
          </cell>
          <cell r="F47">
            <v>0.32</v>
          </cell>
          <cell r="G47">
            <v>1.76</v>
          </cell>
          <cell r="H47">
            <v>1.7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A48" t="str">
            <v>Shetland</v>
          </cell>
          <cell r="B48">
            <v>10543.81</v>
          </cell>
          <cell r="C48">
            <v>690.9</v>
          </cell>
          <cell r="D48">
            <v>8735.68</v>
          </cell>
          <cell r="E48">
            <v>0</v>
          </cell>
          <cell r="F48">
            <v>13317.550000000001</v>
          </cell>
          <cell r="G48">
            <v>19.900000000000002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11.27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9759.32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 t="str">
            <v>Fife</v>
          </cell>
          <cell r="B49">
            <v>0</v>
          </cell>
          <cell r="C49">
            <v>0</v>
          </cell>
          <cell r="D49">
            <v>56.038999880790755</v>
          </cell>
          <cell r="E49">
            <v>0</v>
          </cell>
          <cell r="F49">
            <v>0.04</v>
          </cell>
          <cell r="G49">
            <v>1.3900000000000001</v>
          </cell>
          <cell r="H49">
            <v>15.901000007629396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9.5040000133514422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>West Scotland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0.02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Orkney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0.15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 t="str">
            <v>Northern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>Klondyke</v>
          </cell>
          <cell r="B53">
            <v>6570.21</v>
          </cell>
          <cell r="C53">
            <v>70.73</v>
          </cell>
          <cell r="D53">
            <v>9588.380000000001</v>
          </cell>
          <cell r="E53">
            <v>0</v>
          </cell>
          <cell r="F53">
            <v>678.37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434.93999999999994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10544.32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Lunar</v>
          </cell>
          <cell r="B54">
            <v>6382.0399999999991</v>
          </cell>
          <cell r="C54">
            <v>0</v>
          </cell>
          <cell r="D54">
            <v>11276.07</v>
          </cell>
          <cell r="E54">
            <v>0</v>
          </cell>
          <cell r="F54">
            <v>1453.98</v>
          </cell>
          <cell r="G54">
            <v>29.6</v>
          </cell>
          <cell r="H54">
            <v>0.21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1.22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24885.629999999997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Anglo Scot.</v>
          </cell>
          <cell r="B55">
            <v>0.15975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0.57999999999999996</v>
          </cell>
          <cell r="H55">
            <v>0.4532499985918404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EEFPO</v>
          </cell>
          <cell r="B56">
            <v>0.25</v>
          </cell>
          <cell r="C56">
            <v>0</v>
          </cell>
          <cell r="D56">
            <v>0</v>
          </cell>
          <cell r="E56">
            <v>0</v>
          </cell>
          <cell r="F56">
            <v>0.53</v>
          </cell>
          <cell r="G56">
            <v>0.79</v>
          </cell>
          <cell r="H56">
            <v>0.03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A57" t="str">
            <v>Western PO</v>
          </cell>
          <cell r="B57">
            <v>0</v>
          </cell>
          <cell r="C57">
            <v>0</v>
          </cell>
          <cell r="D57">
            <v>7.2607269845902933E-2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FPO</v>
          </cell>
          <cell r="B58">
            <v>0</v>
          </cell>
          <cell r="C58">
            <v>0</v>
          </cell>
          <cell r="D58">
            <v>0.31715000024437906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0.06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NIFPO</v>
          </cell>
          <cell r="B59">
            <v>0</v>
          </cell>
          <cell r="C59">
            <v>0</v>
          </cell>
          <cell r="D59">
            <v>1369.4000000076294</v>
          </cell>
          <cell r="E59">
            <v>0</v>
          </cell>
          <cell r="F59">
            <v>0.60000000000000009</v>
          </cell>
          <cell r="G59">
            <v>10.855999976992608</v>
          </cell>
          <cell r="H59">
            <v>0.97900000095367434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0.35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A60" t="str">
            <v>ANIFPO</v>
          </cell>
          <cell r="B60">
            <v>5485.0690000000004</v>
          </cell>
          <cell r="C60">
            <v>0</v>
          </cell>
          <cell r="D60">
            <v>6799.2010000039345</v>
          </cell>
          <cell r="E60">
            <v>0</v>
          </cell>
          <cell r="F60">
            <v>2789.4029999999998</v>
          </cell>
          <cell r="G60">
            <v>0</v>
          </cell>
          <cell r="H60">
            <v>0.01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180.3</v>
          </cell>
          <cell r="N60">
            <v>0</v>
          </cell>
          <cell r="O60">
            <v>1342.5859999999998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A61" t="str">
            <v>Cornish</v>
          </cell>
          <cell r="B61">
            <v>0</v>
          </cell>
          <cell r="C61">
            <v>0</v>
          </cell>
          <cell r="D61">
            <v>10.048381954841309</v>
          </cell>
          <cell r="E61">
            <v>4.4044999999999996</v>
          </cell>
          <cell r="F61">
            <v>1.1800000190734865</v>
          </cell>
          <cell r="G61">
            <v>8.1820000038146983</v>
          </cell>
          <cell r="H61">
            <v>2.1864999661445625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2.6501815981417889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>South West</v>
          </cell>
          <cell r="B62">
            <v>0</v>
          </cell>
          <cell r="C62">
            <v>0</v>
          </cell>
          <cell r="D62">
            <v>2.6500510213896615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0.30009999994188541</v>
          </cell>
          <cell r="O62">
            <v>0.20329999899864198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A63" t="str">
            <v>North Sea</v>
          </cell>
          <cell r="B63">
            <v>5.8999999999999997E-2</v>
          </cell>
          <cell r="C63">
            <v>0</v>
          </cell>
          <cell r="D63">
            <v>19.031000035285945</v>
          </cell>
          <cell r="E63">
            <v>0</v>
          </cell>
          <cell r="F63">
            <v>0</v>
          </cell>
          <cell r="G63">
            <v>0</v>
          </cell>
          <cell r="H63">
            <v>3.3839999732971178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14.034000005722039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A64" t="str">
            <v>Lowestoft</v>
          </cell>
          <cell r="B64">
            <v>0</v>
          </cell>
          <cell r="C64">
            <v>0</v>
          </cell>
          <cell r="D64">
            <v>43.616000060081497</v>
          </cell>
          <cell r="E64">
            <v>0</v>
          </cell>
          <cell r="F64">
            <v>0</v>
          </cell>
          <cell r="G64">
            <v>0</v>
          </cell>
          <cell r="H64">
            <v>70.212000187173558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57.731059020876884</v>
          </cell>
          <cell r="O64">
            <v>7.1043000068664544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>Wales WC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A66" t="str">
            <v>Interfish</v>
          </cell>
          <cell r="B66">
            <v>7754.0200000000013</v>
          </cell>
          <cell r="C66">
            <v>27.2</v>
          </cell>
          <cell r="D66">
            <v>7349.240800003603</v>
          </cell>
          <cell r="E66">
            <v>0</v>
          </cell>
          <cell r="F66">
            <v>2243.5299999999997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6821.0199999999995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 t="str">
            <v>North Atlantic FPO</v>
          </cell>
          <cell r="B67">
            <v>9011.4820087715416</v>
          </cell>
          <cell r="C67">
            <v>4.5430000076293942</v>
          </cell>
          <cell r="D67">
            <v>12019.304997544374</v>
          </cell>
          <cell r="E67">
            <v>0</v>
          </cell>
          <cell r="F67">
            <v>251.75700170898438</v>
          </cell>
          <cell r="G67">
            <v>215.74050032138831</v>
          </cell>
          <cell r="H67">
            <v>121.059000141561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1418.1258943720452</v>
          </cell>
          <cell r="O67">
            <v>3.5120000000000049</v>
          </cell>
          <cell r="P67">
            <v>0</v>
          </cell>
          <cell r="Q67">
            <v>0</v>
          </cell>
          <cell r="R67">
            <v>0</v>
          </cell>
          <cell r="S67">
            <v>9.8252998046875</v>
          </cell>
          <cell r="T67">
            <v>7202.1500341720584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Non Sector - England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 t="str">
            <v>Non Sector - Wales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 t="str">
            <v>Non Sector - Scotland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0.1</v>
          </cell>
          <cell r="G70">
            <v>0.18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Non Sector - N.Ireland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 t="str">
            <v>Isle of Man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A73" t="str">
            <v>Under 10m - England</v>
          </cell>
          <cell r="B73">
            <v>3.3722499999999993</v>
          </cell>
          <cell r="C73">
            <v>0</v>
          </cell>
          <cell r="D73">
            <v>48.179907106563341</v>
          </cell>
          <cell r="E73">
            <v>220.84650200396743</v>
          </cell>
          <cell r="F73">
            <v>0</v>
          </cell>
          <cell r="G73">
            <v>0</v>
          </cell>
          <cell r="H73">
            <v>4.8133199996650129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0.84460000107437327</v>
          </cell>
          <cell r="O73">
            <v>1.7198300013393164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>Under 10m - Wales</v>
          </cell>
          <cell r="B74">
            <v>0</v>
          </cell>
          <cell r="C74">
            <v>0</v>
          </cell>
          <cell r="D74">
            <v>0.58765999993681939</v>
          </cell>
          <cell r="E74">
            <v>9.4199999809265134E-2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A75" t="str">
            <v>Under 10m - Scotland</v>
          </cell>
          <cell r="B75">
            <v>0</v>
          </cell>
          <cell r="C75">
            <v>0</v>
          </cell>
          <cell r="D75">
            <v>12.509999999999998</v>
          </cell>
          <cell r="E75">
            <v>0</v>
          </cell>
          <cell r="F75">
            <v>0</v>
          </cell>
          <cell r="G75">
            <v>863.82999999999913</v>
          </cell>
          <cell r="H75">
            <v>55.679999999999986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0.06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 t="str">
            <v>Under 10m - N.Ireland</v>
          </cell>
          <cell r="B76">
            <v>0</v>
          </cell>
          <cell r="C76">
            <v>0</v>
          </cell>
          <cell r="D76">
            <v>0.126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>Handliners(VIIe-h)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9">
          <cell r="A79" t="str">
            <v>Total</v>
          </cell>
          <cell r="B79">
            <v>64482.27200877155</v>
          </cell>
          <cell r="C79">
            <v>794.00300000762945</v>
          </cell>
          <cell r="D79">
            <v>83506.474554888511</v>
          </cell>
          <cell r="E79">
            <v>225.34520200377671</v>
          </cell>
          <cell r="F79">
            <v>22379.610001728055</v>
          </cell>
          <cell r="G79">
            <v>1178.1985003021948</v>
          </cell>
          <cell r="H79">
            <v>286.39507027501617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180.3</v>
          </cell>
          <cell r="N79">
            <v>1500.6596534130119</v>
          </cell>
          <cell r="O79">
            <v>1821.0256116053458</v>
          </cell>
          <cell r="P79">
            <v>0</v>
          </cell>
          <cell r="Q79">
            <v>0</v>
          </cell>
          <cell r="R79">
            <v>0</v>
          </cell>
          <cell r="S79">
            <v>9.8252998046875</v>
          </cell>
          <cell r="T79">
            <v>72103.040034172052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2">
          <cell r="A82">
            <v>44475</v>
          </cell>
        </row>
        <row r="85">
          <cell r="A85" t="str">
            <v>SFO</v>
          </cell>
          <cell r="B85">
            <v>18731.61</v>
          </cell>
          <cell r="C85">
            <v>0.63</v>
          </cell>
          <cell r="D85">
            <v>26174.220000000005</v>
          </cell>
          <cell r="E85">
            <v>0</v>
          </cell>
          <cell r="F85">
            <v>1639.5</v>
          </cell>
          <cell r="G85">
            <v>12.69</v>
          </cell>
          <cell r="H85">
            <v>3.9569999999999999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15.190000000000001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12890.6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Aberdeen</v>
          </cell>
          <cell r="B86">
            <v>7.0000000000000007E-2</v>
          </cell>
          <cell r="C86">
            <v>0</v>
          </cell>
          <cell r="D86">
            <v>0</v>
          </cell>
          <cell r="E86">
            <v>0</v>
          </cell>
          <cell r="F86">
            <v>1.1200000000000001</v>
          </cell>
          <cell r="G86">
            <v>12.700000000000001</v>
          </cell>
          <cell r="H86">
            <v>4.34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0.28000000000000003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 t="str">
            <v>NESFO</v>
          </cell>
          <cell r="B87">
            <v>0.12</v>
          </cell>
          <cell r="C87">
            <v>0</v>
          </cell>
          <cell r="D87">
            <v>1.1599999999999999</v>
          </cell>
          <cell r="E87">
            <v>0</v>
          </cell>
          <cell r="F87">
            <v>0.32</v>
          </cell>
          <cell r="G87">
            <v>1.5</v>
          </cell>
          <cell r="H87">
            <v>1.7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A88" t="str">
            <v>Shetland</v>
          </cell>
          <cell r="B88">
            <v>10543.81</v>
          </cell>
          <cell r="C88">
            <v>690.9</v>
          </cell>
          <cell r="D88">
            <v>8735.68</v>
          </cell>
          <cell r="E88">
            <v>0</v>
          </cell>
          <cell r="F88">
            <v>13314.93</v>
          </cell>
          <cell r="G88">
            <v>19.900000000000002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11.27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9759.32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>Fife</v>
          </cell>
          <cell r="B89">
            <v>0</v>
          </cell>
          <cell r="C89">
            <v>0</v>
          </cell>
          <cell r="D89">
            <v>54.374999880790753</v>
          </cell>
          <cell r="E89">
            <v>0</v>
          </cell>
          <cell r="F89">
            <v>0.04</v>
          </cell>
          <cell r="G89">
            <v>1.3900000000000001</v>
          </cell>
          <cell r="H89">
            <v>15.421000007629395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9.5040000133514422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 t="str">
            <v>West Scotland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0.02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 t="str">
            <v>Orkney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>Northern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A93" t="str">
            <v>Klondyke</v>
          </cell>
          <cell r="B93">
            <v>6570.21</v>
          </cell>
          <cell r="C93">
            <v>70.73</v>
          </cell>
          <cell r="D93">
            <v>9588.380000000001</v>
          </cell>
          <cell r="E93">
            <v>0</v>
          </cell>
          <cell r="F93">
            <v>678.37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434.93999999999994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10544.32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 t="str">
            <v>Lunar</v>
          </cell>
          <cell r="B94">
            <v>6382.0399999999991</v>
          </cell>
          <cell r="C94">
            <v>0</v>
          </cell>
          <cell r="D94">
            <v>11276.07</v>
          </cell>
          <cell r="E94">
            <v>0</v>
          </cell>
          <cell r="F94">
            <v>1453.98</v>
          </cell>
          <cell r="G94">
            <v>29.6</v>
          </cell>
          <cell r="H94">
            <v>0.21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1.22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24885.629999999997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>Anglo Scot.</v>
          </cell>
          <cell r="B95">
            <v>0.15975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0.57999999999999996</v>
          </cell>
          <cell r="H95">
            <v>0.40724999859184036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A96" t="str">
            <v>EEFPO</v>
          </cell>
          <cell r="B96">
            <v>0.25</v>
          </cell>
          <cell r="C96">
            <v>0</v>
          </cell>
          <cell r="D96">
            <v>0</v>
          </cell>
          <cell r="E96">
            <v>0</v>
          </cell>
          <cell r="F96">
            <v>0.45</v>
          </cell>
          <cell r="G96">
            <v>0.79</v>
          </cell>
          <cell r="H96">
            <v>0.03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A97" t="str">
            <v>Western PO</v>
          </cell>
          <cell r="B97">
            <v>0</v>
          </cell>
          <cell r="C97">
            <v>0</v>
          </cell>
          <cell r="D97">
            <v>7.2607269845902933E-2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>FPO</v>
          </cell>
          <cell r="B98">
            <v>0</v>
          </cell>
          <cell r="C98">
            <v>0</v>
          </cell>
          <cell r="D98">
            <v>0.31715000024437906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0.06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 t="str">
            <v>NIFPO</v>
          </cell>
          <cell r="B99">
            <v>0</v>
          </cell>
          <cell r="C99">
            <v>0</v>
          </cell>
          <cell r="D99">
            <v>1369.3250000076293</v>
          </cell>
          <cell r="E99">
            <v>0</v>
          </cell>
          <cell r="F99">
            <v>0.60000000000000009</v>
          </cell>
          <cell r="G99">
            <v>10.855999976992608</v>
          </cell>
          <cell r="H99">
            <v>0.97900000095367434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0.35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 t="str">
            <v>ANIFPO</v>
          </cell>
          <cell r="B100">
            <v>5485.0690000000004</v>
          </cell>
          <cell r="C100">
            <v>180.3</v>
          </cell>
          <cell r="D100">
            <v>6799.2010000039345</v>
          </cell>
          <cell r="E100">
            <v>0</v>
          </cell>
          <cell r="F100">
            <v>2789.4029999999998</v>
          </cell>
          <cell r="G100">
            <v>0</v>
          </cell>
          <cell r="H100">
            <v>0.01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859.19599999999991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>Cornish</v>
          </cell>
          <cell r="B101">
            <v>0</v>
          </cell>
          <cell r="C101">
            <v>0</v>
          </cell>
          <cell r="D101">
            <v>9.9830819545611647</v>
          </cell>
          <cell r="E101">
            <v>4.4044999999999996</v>
          </cell>
          <cell r="F101">
            <v>1.1800000190734865</v>
          </cell>
          <cell r="G101">
            <v>8.1820000038146983</v>
          </cell>
          <cell r="H101">
            <v>2.1864999661445625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2.6085815988332026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South West</v>
          </cell>
          <cell r="B102">
            <v>0</v>
          </cell>
          <cell r="C102">
            <v>0</v>
          </cell>
          <cell r="D102">
            <v>2.6477510213777404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0.30009999994188541</v>
          </cell>
          <cell r="O102">
            <v>0.20329999899864198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 t="str">
            <v>North Sea</v>
          </cell>
          <cell r="B103">
            <v>0</v>
          </cell>
          <cell r="C103">
            <v>0</v>
          </cell>
          <cell r="D103">
            <v>19.031000035285945</v>
          </cell>
          <cell r="E103">
            <v>0</v>
          </cell>
          <cell r="F103">
            <v>0</v>
          </cell>
          <cell r="G103">
            <v>0</v>
          </cell>
          <cell r="H103">
            <v>2.3789999999999991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13.914000005722039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>Lowestoft</v>
          </cell>
          <cell r="B104">
            <v>0</v>
          </cell>
          <cell r="C104">
            <v>0</v>
          </cell>
          <cell r="D104">
            <v>43.616000060081497</v>
          </cell>
          <cell r="E104">
            <v>0</v>
          </cell>
          <cell r="F104">
            <v>0</v>
          </cell>
          <cell r="G104">
            <v>0</v>
          </cell>
          <cell r="H104">
            <v>67.084000190988235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56.185959028124806</v>
          </cell>
          <cell r="O104">
            <v>7.1043000068664544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 t="str">
            <v>Wales WC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 t="str">
            <v>Interfish</v>
          </cell>
          <cell r="B106">
            <v>7754.0200000000013</v>
          </cell>
          <cell r="C106">
            <v>27.2</v>
          </cell>
          <cell r="D106">
            <v>7346.7568000036035</v>
          </cell>
          <cell r="E106">
            <v>0</v>
          </cell>
          <cell r="F106">
            <v>2243.5299999999997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6821.0199999999995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>North Atlantic FPO</v>
          </cell>
          <cell r="B107">
            <v>9011.4820087715416</v>
          </cell>
          <cell r="C107">
            <v>4.5430000076293942</v>
          </cell>
          <cell r="D107">
            <v>12019.304997544374</v>
          </cell>
          <cell r="E107">
            <v>0</v>
          </cell>
          <cell r="F107">
            <v>251.75700170898438</v>
          </cell>
          <cell r="G107">
            <v>215.74050032138831</v>
          </cell>
          <cell r="H107">
            <v>120.616000141561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1418.0318943720454</v>
          </cell>
          <cell r="O107">
            <v>3.5120000000000049</v>
          </cell>
          <cell r="P107">
            <v>0</v>
          </cell>
          <cell r="Q107">
            <v>0</v>
          </cell>
          <cell r="R107">
            <v>0</v>
          </cell>
          <cell r="S107">
            <v>9.8252998046875</v>
          </cell>
          <cell r="T107">
            <v>7202.1500341720584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 t="str">
            <v>Non Sector - England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A109" t="str">
            <v>Non Sector - Wales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>Non Sector - Scotland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0.1</v>
          </cell>
          <cell r="G110">
            <v>0.18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 t="str">
            <v>Non Sector - N.Ireland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 t="str">
            <v>Isle of Man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>Under 10m - England</v>
          </cell>
          <cell r="B113">
            <v>3.3722499999999993</v>
          </cell>
          <cell r="C113">
            <v>0</v>
          </cell>
          <cell r="D113">
            <v>45.996502104461094</v>
          </cell>
          <cell r="E113">
            <v>210.22890200965816</v>
          </cell>
          <cell r="F113">
            <v>0</v>
          </cell>
          <cell r="G113">
            <v>0</v>
          </cell>
          <cell r="H113">
            <v>4.3998699995577244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0.82615000107139303</v>
          </cell>
          <cell r="O113">
            <v>1.6943300013393159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Under 10m - Wales</v>
          </cell>
          <cell r="B114">
            <v>0</v>
          </cell>
          <cell r="C114">
            <v>0</v>
          </cell>
          <cell r="D114">
            <v>0.56665999993681926</v>
          </cell>
          <cell r="E114">
            <v>9.4199999809265134E-2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 t="str">
            <v>Under 10m - Scotland</v>
          </cell>
          <cell r="B115">
            <v>0</v>
          </cell>
          <cell r="C115">
            <v>0</v>
          </cell>
          <cell r="D115">
            <v>12.389999999999999</v>
          </cell>
          <cell r="E115">
            <v>0</v>
          </cell>
          <cell r="F115">
            <v>0</v>
          </cell>
          <cell r="G115">
            <v>826.63999999999919</v>
          </cell>
          <cell r="H115">
            <v>48.870000000000012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0.06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>Under 10m - N.Ireland</v>
          </cell>
          <cell r="B116">
            <v>0</v>
          </cell>
          <cell r="C116">
            <v>0</v>
          </cell>
          <cell r="D116">
            <v>0.126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Handliners(VIIe-h)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9">
          <cell r="A119" t="str">
            <v>Total</v>
          </cell>
          <cell r="B119">
            <v>64482.213008771549</v>
          </cell>
          <cell r="C119">
            <v>974.30300000762941</v>
          </cell>
          <cell r="D119">
            <v>83499.219549886126</v>
          </cell>
          <cell r="E119">
            <v>214.72760200946743</v>
          </cell>
          <cell r="F119">
            <v>22375.300001728057</v>
          </cell>
          <cell r="G119">
            <v>1140.7485003021948</v>
          </cell>
          <cell r="H119">
            <v>272.58962030542642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1498.882103420257</v>
          </cell>
          <cell r="O119">
            <v>1337.5685116060372</v>
          </cell>
          <cell r="P119">
            <v>0</v>
          </cell>
          <cell r="Q119">
            <v>0</v>
          </cell>
          <cell r="R119">
            <v>0</v>
          </cell>
          <cell r="S119">
            <v>9.8252998046875</v>
          </cell>
          <cell r="T119">
            <v>72103.040034172052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2">
          <cell r="A122">
            <v>44468</v>
          </cell>
        </row>
        <row r="125">
          <cell r="A125" t="str">
            <v>SFO</v>
          </cell>
          <cell r="B125">
            <v>18501.59</v>
          </cell>
          <cell r="C125">
            <v>0.63</v>
          </cell>
          <cell r="D125">
            <v>26172.830000000005</v>
          </cell>
          <cell r="E125">
            <v>0</v>
          </cell>
          <cell r="F125">
            <v>1639.3700000000001</v>
          </cell>
          <cell r="G125">
            <v>12.69</v>
          </cell>
          <cell r="H125">
            <v>3.9569999999999999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14.590000000000002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12890.6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A126" t="str">
            <v>Aberdeen</v>
          </cell>
          <cell r="B126">
            <v>7.0000000000000007E-2</v>
          </cell>
          <cell r="C126">
            <v>0</v>
          </cell>
          <cell r="D126">
            <v>0</v>
          </cell>
          <cell r="E126">
            <v>0</v>
          </cell>
          <cell r="F126">
            <v>1.02</v>
          </cell>
          <cell r="G126">
            <v>12.700000000000001</v>
          </cell>
          <cell r="H126">
            <v>4.34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0.28000000000000003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 t="str">
            <v>NESFO</v>
          </cell>
          <cell r="B127">
            <v>0.12</v>
          </cell>
          <cell r="C127">
            <v>0</v>
          </cell>
          <cell r="D127">
            <v>1.1599999999999999</v>
          </cell>
          <cell r="E127">
            <v>0</v>
          </cell>
          <cell r="F127">
            <v>0.01</v>
          </cell>
          <cell r="G127">
            <v>1.44</v>
          </cell>
          <cell r="H127">
            <v>1.7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>Shetland</v>
          </cell>
          <cell r="B128">
            <v>10543.81</v>
          </cell>
          <cell r="C128">
            <v>690.9</v>
          </cell>
          <cell r="D128">
            <v>8735.68</v>
          </cell>
          <cell r="E128">
            <v>0</v>
          </cell>
          <cell r="F128">
            <v>13314.93</v>
          </cell>
          <cell r="G128">
            <v>19.900000000000002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11.27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9759.32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A129" t="str">
            <v>Fife</v>
          </cell>
          <cell r="B129">
            <v>0</v>
          </cell>
          <cell r="C129">
            <v>0</v>
          </cell>
          <cell r="D129">
            <v>53.104999880790743</v>
          </cell>
          <cell r="E129">
            <v>0</v>
          </cell>
          <cell r="F129">
            <v>0.04</v>
          </cell>
          <cell r="G129">
            <v>1.3900000000000001</v>
          </cell>
          <cell r="H129">
            <v>7.7150000076293956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9.5040000133514422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A130" t="str">
            <v>West Scotland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>Orkney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A132" t="str">
            <v>Northern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A133" t="str">
            <v>Klondyke</v>
          </cell>
          <cell r="B133">
            <v>6570.21</v>
          </cell>
          <cell r="C133">
            <v>70.73</v>
          </cell>
          <cell r="D133">
            <v>9588.380000000001</v>
          </cell>
          <cell r="E133">
            <v>0</v>
          </cell>
          <cell r="F133">
            <v>678.37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434.93999999999994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10544.32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>Lunar</v>
          </cell>
          <cell r="B134">
            <v>6382.0399999999991</v>
          </cell>
          <cell r="C134">
            <v>0</v>
          </cell>
          <cell r="D134">
            <v>11276.07</v>
          </cell>
          <cell r="E134">
            <v>0</v>
          </cell>
          <cell r="F134">
            <v>1453.98</v>
          </cell>
          <cell r="G134">
            <v>29.6</v>
          </cell>
          <cell r="H134">
            <v>0.21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1.22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24885.629999999997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A135" t="str">
            <v>Anglo Scot.</v>
          </cell>
          <cell r="B135">
            <v>0.15975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0.57999999999999996</v>
          </cell>
          <cell r="H135">
            <v>0.39524999859184035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A136" t="str">
            <v>EEFPO</v>
          </cell>
          <cell r="B136">
            <v>0.25</v>
          </cell>
          <cell r="C136">
            <v>0</v>
          </cell>
          <cell r="D136">
            <v>0</v>
          </cell>
          <cell r="E136">
            <v>0</v>
          </cell>
          <cell r="F136">
            <v>0.34</v>
          </cell>
          <cell r="G136">
            <v>0.79</v>
          </cell>
          <cell r="H136">
            <v>0.03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>Western PO</v>
          </cell>
          <cell r="B137">
            <v>0</v>
          </cell>
          <cell r="C137">
            <v>0</v>
          </cell>
          <cell r="D137">
            <v>7.2607269845902933E-2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A138" t="str">
            <v>FPO</v>
          </cell>
          <cell r="B138">
            <v>0</v>
          </cell>
          <cell r="C138">
            <v>0</v>
          </cell>
          <cell r="D138">
            <v>0.31715000024437906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0.06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A139" t="str">
            <v>NIFPO</v>
          </cell>
          <cell r="B139">
            <v>0</v>
          </cell>
          <cell r="C139">
            <v>0</v>
          </cell>
          <cell r="D139">
            <v>1369.3250000076293</v>
          </cell>
          <cell r="E139">
            <v>0</v>
          </cell>
          <cell r="F139">
            <v>0.60000000000000009</v>
          </cell>
          <cell r="G139">
            <v>10.855999976992608</v>
          </cell>
          <cell r="H139">
            <v>0.97900000095367434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0.35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>ANIFPO</v>
          </cell>
          <cell r="B140">
            <v>5485.0690000000004</v>
          </cell>
          <cell r="C140">
            <v>180.3</v>
          </cell>
          <cell r="D140">
            <v>6799.2010000039345</v>
          </cell>
          <cell r="E140">
            <v>0</v>
          </cell>
          <cell r="F140">
            <v>2789.4029999999998</v>
          </cell>
          <cell r="G140">
            <v>0</v>
          </cell>
          <cell r="H140">
            <v>0.01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859.19599999999991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A141" t="str">
            <v>Cornish</v>
          </cell>
          <cell r="B141">
            <v>0</v>
          </cell>
          <cell r="C141">
            <v>0</v>
          </cell>
          <cell r="D141">
            <v>9.9414308382347141</v>
          </cell>
          <cell r="E141">
            <v>4.4044999999999996</v>
          </cell>
          <cell r="F141">
            <v>0.24000000762939441</v>
          </cell>
          <cell r="G141">
            <v>8.1820000038146983</v>
          </cell>
          <cell r="H141">
            <v>2.1864999661445625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2.6074481415152544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A142" t="str">
            <v>South West</v>
          </cell>
          <cell r="B142">
            <v>0</v>
          </cell>
          <cell r="C142">
            <v>0</v>
          </cell>
          <cell r="D142">
            <v>2.6399225934371335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0.28990000013262029</v>
          </cell>
          <cell r="O142">
            <v>0.20329999899864198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>North Sea</v>
          </cell>
          <cell r="B143">
            <v>0</v>
          </cell>
          <cell r="C143">
            <v>0</v>
          </cell>
          <cell r="D143">
            <v>19.031000035285945</v>
          </cell>
          <cell r="E143">
            <v>0</v>
          </cell>
          <cell r="F143">
            <v>0</v>
          </cell>
          <cell r="G143">
            <v>0</v>
          </cell>
          <cell r="H143">
            <v>2.3389999999999991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13.914000005722039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A144" t="str">
            <v>Lowestoft</v>
          </cell>
          <cell r="B144">
            <v>0</v>
          </cell>
          <cell r="C144">
            <v>0</v>
          </cell>
          <cell r="D144">
            <v>43.616000060081497</v>
          </cell>
          <cell r="E144">
            <v>0</v>
          </cell>
          <cell r="F144">
            <v>0</v>
          </cell>
          <cell r="G144">
            <v>0</v>
          </cell>
          <cell r="H144">
            <v>65.027000160470649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55.853959029793735</v>
          </cell>
          <cell r="O144">
            <v>7.1043000068664544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A145" t="str">
            <v>Wales WC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>Interfish</v>
          </cell>
          <cell r="B146">
            <v>6085.13</v>
          </cell>
          <cell r="C146">
            <v>27.2</v>
          </cell>
          <cell r="D146">
            <v>7346.7568000036035</v>
          </cell>
          <cell r="E146">
            <v>0</v>
          </cell>
          <cell r="F146">
            <v>2243.5299999999997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6821.0199999999995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A147" t="str">
            <v>North Atlantic FPO</v>
          </cell>
          <cell r="B147">
            <v>9011.4820087715416</v>
          </cell>
          <cell r="C147">
            <v>4.5430000076293942</v>
          </cell>
          <cell r="D147">
            <v>11985.516997544373</v>
          </cell>
          <cell r="E147">
            <v>0</v>
          </cell>
          <cell r="F147">
            <v>251.75700170898438</v>
          </cell>
          <cell r="G147">
            <v>215.74050032138831</v>
          </cell>
          <cell r="H147">
            <v>102.04700014156101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1417.9098943720453</v>
          </cell>
          <cell r="O147">
            <v>3.5120000000000049</v>
          </cell>
          <cell r="P147">
            <v>0</v>
          </cell>
          <cell r="Q147">
            <v>0</v>
          </cell>
          <cell r="R147">
            <v>0</v>
          </cell>
          <cell r="S147">
            <v>9.8252998046875</v>
          </cell>
          <cell r="T147">
            <v>7202.1500341720584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A148" t="str">
            <v>Non Sector - England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>Non Sector - Wales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A150" t="str">
            <v>Non Sector - Scotland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0.1</v>
          </cell>
          <cell r="G150">
            <v>0.18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A151" t="str">
            <v>Non Sector - N.Ireland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>Isle of Man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A153" t="str">
            <v>Under 10m - England</v>
          </cell>
          <cell r="B153">
            <v>3.2732499999999995</v>
          </cell>
          <cell r="C153">
            <v>0</v>
          </cell>
          <cell r="D153">
            <v>44.323472106412027</v>
          </cell>
          <cell r="E153">
            <v>204.60355200301819</v>
          </cell>
          <cell r="F153">
            <v>0</v>
          </cell>
          <cell r="G153">
            <v>0</v>
          </cell>
          <cell r="H153">
            <v>3.7946199995577246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0.77970000108331394</v>
          </cell>
          <cell r="O153">
            <v>1.6404400011748073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A154" t="str">
            <v>Under 10m - Wales</v>
          </cell>
          <cell r="B154">
            <v>0</v>
          </cell>
          <cell r="C154">
            <v>0</v>
          </cell>
          <cell r="D154">
            <v>0.56665999993681926</v>
          </cell>
          <cell r="E154">
            <v>9.4199999809265134E-2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>Under 10m - Scotland</v>
          </cell>
          <cell r="B155">
            <v>0</v>
          </cell>
          <cell r="C155">
            <v>0</v>
          </cell>
          <cell r="D155">
            <v>10.97</v>
          </cell>
          <cell r="E155">
            <v>0</v>
          </cell>
          <cell r="F155">
            <v>0</v>
          </cell>
          <cell r="G155">
            <v>739.50999999999897</v>
          </cell>
          <cell r="H155">
            <v>45.070000000000007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0.06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A156" t="str">
            <v>Under 10m - N.Ireland</v>
          </cell>
          <cell r="B156">
            <v>0</v>
          </cell>
          <cell r="C156">
            <v>0</v>
          </cell>
          <cell r="D156">
            <v>0.126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A157" t="str">
            <v>Handliners(VIIe-h)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9">
          <cell r="A159" t="str">
            <v>Total</v>
          </cell>
          <cell r="B159">
            <v>62583.204008771536</v>
          </cell>
          <cell r="C159">
            <v>974.30300000762941</v>
          </cell>
          <cell r="D159">
            <v>83459.629040343818</v>
          </cell>
          <cell r="E159">
            <v>209.10225200282747</v>
          </cell>
          <cell r="F159">
            <v>22373.690001716612</v>
          </cell>
          <cell r="G159">
            <v>1053.5585003021947</v>
          </cell>
          <cell r="H159">
            <v>239.80037027490886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1498.3714534221283</v>
          </cell>
          <cell r="O159">
            <v>1336.913488148555</v>
          </cell>
          <cell r="P159">
            <v>0</v>
          </cell>
          <cell r="Q159">
            <v>0</v>
          </cell>
          <cell r="R159">
            <v>0</v>
          </cell>
          <cell r="S159">
            <v>9.8252998046875</v>
          </cell>
          <cell r="T159">
            <v>72103.040034172052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5">
          <cell r="A165" t="str">
            <v>SFO</v>
          </cell>
          <cell r="B165">
            <v>13609.609999999997</v>
          </cell>
          <cell r="C165">
            <v>0.63</v>
          </cell>
          <cell r="D165">
            <v>26172.830000000005</v>
          </cell>
          <cell r="E165">
            <v>0</v>
          </cell>
          <cell r="F165">
            <v>1638.92</v>
          </cell>
          <cell r="G165">
            <v>12.69</v>
          </cell>
          <cell r="H165">
            <v>3.9569999999999999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14.590000000000002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12890.6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A166" t="str">
            <v>Aberdeen</v>
          </cell>
          <cell r="B166">
            <v>7.0000000000000007E-2</v>
          </cell>
          <cell r="C166">
            <v>0</v>
          </cell>
          <cell r="D166">
            <v>0</v>
          </cell>
          <cell r="E166">
            <v>0</v>
          </cell>
          <cell r="F166">
            <v>0.73</v>
          </cell>
          <cell r="G166">
            <v>12.700000000000001</v>
          </cell>
          <cell r="H166">
            <v>4.34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0.28000000000000003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>NESFO</v>
          </cell>
          <cell r="B167">
            <v>0.12</v>
          </cell>
          <cell r="C167">
            <v>0</v>
          </cell>
          <cell r="D167">
            <v>1.1599999999999999</v>
          </cell>
          <cell r="E167">
            <v>0</v>
          </cell>
          <cell r="F167">
            <v>0</v>
          </cell>
          <cell r="G167">
            <v>1.44</v>
          </cell>
          <cell r="H167">
            <v>1.7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A168" t="str">
            <v>Shetland</v>
          </cell>
          <cell r="B168">
            <v>9419.48</v>
          </cell>
          <cell r="C168">
            <v>690.9</v>
          </cell>
          <cell r="D168">
            <v>8735.68</v>
          </cell>
          <cell r="E168">
            <v>0</v>
          </cell>
          <cell r="F168">
            <v>13314.08</v>
          </cell>
          <cell r="G168">
            <v>19.900000000000002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11.27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9759.32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A169" t="str">
            <v>Fife</v>
          </cell>
          <cell r="B169">
            <v>0</v>
          </cell>
          <cell r="C169">
            <v>0</v>
          </cell>
          <cell r="D169">
            <v>52.648999884605445</v>
          </cell>
          <cell r="E169">
            <v>0</v>
          </cell>
          <cell r="F169">
            <v>0.04</v>
          </cell>
          <cell r="G169">
            <v>1.3900000000000001</v>
          </cell>
          <cell r="H169">
            <v>6.2279999999999998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9.4240000133514403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>West Scotland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A171" t="str">
            <v>Orkney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A172" t="str">
            <v>Northern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>Klondyke</v>
          </cell>
          <cell r="B173">
            <v>5968.37</v>
          </cell>
          <cell r="C173">
            <v>0</v>
          </cell>
          <cell r="D173">
            <v>9588.380000000001</v>
          </cell>
          <cell r="E173">
            <v>0</v>
          </cell>
          <cell r="F173">
            <v>678.37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434.93999999999994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10544.32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 t="str">
            <v>Lunar</v>
          </cell>
          <cell r="B174">
            <v>6382.0399999999991</v>
          </cell>
          <cell r="C174">
            <v>0</v>
          </cell>
          <cell r="D174">
            <v>11276.07</v>
          </cell>
          <cell r="E174">
            <v>0</v>
          </cell>
          <cell r="F174">
            <v>1453.98</v>
          </cell>
          <cell r="G174">
            <v>29.6</v>
          </cell>
          <cell r="H174">
            <v>0.21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1.22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24885.629999999997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 t="str">
            <v>Anglo Scot.</v>
          </cell>
          <cell r="B175">
            <v>0.15975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0.57999999999999996</v>
          </cell>
          <cell r="H175">
            <v>0.38624999859184028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>EEFPO</v>
          </cell>
          <cell r="B176">
            <v>0.25</v>
          </cell>
          <cell r="C176">
            <v>0</v>
          </cell>
          <cell r="D176">
            <v>0</v>
          </cell>
          <cell r="E176">
            <v>0</v>
          </cell>
          <cell r="F176">
            <v>0.26</v>
          </cell>
          <cell r="G176">
            <v>0.79</v>
          </cell>
          <cell r="H176">
            <v>0.03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A177" t="str">
            <v>Western PO</v>
          </cell>
          <cell r="B177">
            <v>0</v>
          </cell>
          <cell r="C177">
            <v>0</v>
          </cell>
          <cell r="D177">
            <v>4.4207270227372641E-2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A178" t="str">
            <v>FPO</v>
          </cell>
          <cell r="B178">
            <v>0</v>
          </cell>
          <cell r="C178">
            <v>0</v>
          </cell>
          <cell r="D178">
            <v>0.30629999986290929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0.06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>NIFPO</v>
          </cell>
          <cell r="B179">
            <v>0</v>
          </cell>
          <cell r="C179">
            <v>0</v>
          </cell>
          <cell r="D179">
            <v>1369.0050000038145</v>
          </cell>
          <cell r="E179">
            <v>0</v>
          </cell>
          <cell r="F179">
            <v>0.60000000000000009</v>
          </cell>
          <cell r="G179">
            <v>10.855999976992607</v>
          </cell>
          <cell r="H179">
            <v>0.97900000095367423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0.35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A180" t="str">
            <v>ANIFPO</v>
          </cell>
          <cell r="B180">
            <v>5485.0690000000004</v>
          </cell>
          <cell r="C180">
            <v>0</v>
          </cell>
          <cell r="D180">
            <v>6799.2010000039336</v>
          </cell>
          <cell r="E180">
            <v>0</v>
          </cell>
          <cell r="F180">
            <v>2789.4030000000002</v>
          </cell>
          <cell r="G180">
            <v>0</v>
          </cell>
          <cell r="H180">
            <v>0.01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859.19599999999991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 t="str">
            <v>Cornish</v>
          </cell>
          <cell r="B181">
            <v>0</v>
          </cell>
          <cell r="C181">
            <v>0</v>
          </cell>
          <cell r="D181">
            <v>9.9242775146067146</v>
          </cell>
          <cell r="E181">
            <v>4.4045000000000005</v>
          </cell>
          <cell r="F181">
            <v>0.24000000762939439</v>
          </cell>
          <cell r="G181">
            <v>8.1820000038146965</v>
          </cell>
          <cell r="H181">
            <v>2.1864999661445621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2.5980481420159345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>South West</v>
          </cell>
          <cell r="B182">
            <v>0</v>
          </cell>
          <cell r="C182">
            <v>0</v>
          </cell>
          <cell r="D182">
            <v>2.6327225935086602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0.28220000032335518</v>
          </cell>
          <cell r="O182">
            <v>0.20329999899864196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 t="str">
            <v>North Sea</v>
          </cell>
          <cell r="B183">
            <v>0</v>
          </cell>
          <cell r="C183">
            <v>0</v>
          </cell>
          <cell r="D183">
            <v>19.031000035285942</v>
          </cell>
          <cell r="E183">
            <v>0</v>
          </cell>
          <cell r="F183">
            <v>0</v>
          </cell>
          <cell r="G183">
            <v>0</v>
          </cell>
          <cell r="H183">
            <v>2.3389999999999991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13.914000005722039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 t="str">
            <v>Lowestoft</v>
          </cell>
          <cell r="B184">
            <v>0</v>
          </cell>
          <cell r="C184">
            <v>0</v>
          </cell>
          <cell r="D184">
            <v>43.61600006008149</v>
          </cell>
          <cell r="E184">
            <v>0</v>
          </cell>
          <cell r="F184">
            <v>0</v>
          </cell>
          <cell r="G184">
            <v>0</v>
          </cell>
          <cell r="H184">
            <v>60.978000168099996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55.505959032177934</v>
          </cell>
          <cell r="O184">
            <v>7.1043000068664552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>Wales WC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A186" t="str">
            <v>Interfish</v>
          </cell>
          <cell r="B186">
            <v>3743.0799999999995</v>
          </cell>
          <cell r="C186">
            <v>27.2</v>
          </cell>
          <cell r="D186">
            <v>7346.7568000036035</v>
          </cell>
          <cell r="E186">
            <v>0</v>
          </cell>
          <cell r="F186">
            <v>2243.5299999999997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6821.0199999999995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A187" t="str">
            <v>North Atlantic FPO</v>
          </cell>
          <cell r="B187">
            <v>9011.4820087715434</v>
          </cell>
          <cell r="C187">
            <v>4.543000007629395</v>
          </cell>
          <cell r="D187">
            <v>11985.516997544379</v>
          </cell>
          <cell r="E187">
            <v>0</v>
          </cell>
          <cell r="F187">
            <v>251.75700170898438</v>
          </cell>
          <cell r="G187">
            <v>215.74050032138831</v>
          </cell>
          <cell r="H187">
            <v>102.03500014156103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1417.909894372046</v>
          </cell>
          <cell r="O187">
            <v>3.5120000000000049</v>
          </cell>
          <cell r="P187">
            <v>0</v>
          </cell>
          <cell r="Q187">
            <v>0</v>
          </cell>
          <cell r="R187">
            <v>0</v>
          </cell>
          <cell r="S187">
            <v>9.8252998046875</v>
          </cell>
          <cell r="T187">
            <v>7202.1500341720584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>Non Sector - England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A189" t="str">
            <v>Non Sector - Wales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 t="str">
            <v>Non Sector - Scotland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0.1</v>
          </cell>
          <cell r="G190">
            <v>0.18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>Non Sector - N.Ireland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A192" t="str">
            <v>Isle of Man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A193" t="str">
            <v>Under 10m - England</v>
          </cell>
          <cell r="B193">
            <v>3.27325</v>
          </cell>
          <cell r="C193">
            <v>0</v>
          </cell>
          <cell r="D193">
            <v>40.52249210397153</v>
          </cell>
          <cell r="E193">
            <v>201.58752200348658</v>
          </cell>
          <cell r="F193">
            <v>0</v>
          </cell>
          <cell r="G193">
            <v>0</v>
          </cell>
          <cell r="H193">
            <v>3.6363699995577337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0.60470000108331468</v>
          </cell>
          <cell r="O193">
            <v>1.6289400012940174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>Under 10m - Wales</v>
          </cell>
          <cell r="B194">
            <v>0</v>
          </cell>
          <cell r="C194">
            <v>0</v>
          </cell>
          <cell r="D194">
            <v>0.56575999996066095</v>
          </cell>
          <cell r="E194">
            <v>9.4199999809265134E-2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A195" t="str">
            <v>Under 10m - Scotland</v>
          </cell>
          <cell r="B195">
            <v>0</v>
          </cell>
          <cell r="C195">
            <v>0</v>
          </cell>
          <cell r="D195">
            <v>10.51</v>
          </cell>
          <cell r="E195">
            <v>0</v>
          </cell>
          <cell r="F195">
            <v>0</v>
          </cell>
          <cell r="G195">
            <v>622.52999999999952</v>
          </cell>
          <cell r="H195">
            <v>43.350000000000009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0.06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A196" t="str">
            <v>Under 10m - N.Ireland</v>
          </cell>
          <cell r="B196">
            <v>0</v>
          </cell>
          <cell r="C196">
            <v>0</v>
          </cell>
          <cell r="D196">
            <v>0.126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>Handliners(VIIe-h)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9">
          <cell r="A199" t="str">
            <v>Total</v>
          </cell>
          <cell r="B199">
            <v>53623.004008771539</v>
          </cell>
          <cell r="C199">
            <v>723.27300000762943</v>
          </cell>
          <cell r="D199">
            <v>83454.527557017849</v>
          </cell>
          <cell r="E199">
            <v>206.08622200329586</v>
          </cell>
          <cell r="F199">
            <v>22372.010001716615</v>
          </cell>
          <cell r="G199">
            <v>936.57850030219515</v>
          </cell>
          <cell r="H199">
            <v>232.36512027490886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1497.760753424704</v>
          </cell>
          <cell r="O199">
            <v>1336.8925881491748</v>
          </cell>
          <cell r="P199">
            <v>0</v>
          </cell>
          <cell r="Q199">
            <v>0</v>
          </cell>
          <cell r="R199">
            <v>0</v>
          </cell>
          <cell r="S199">
            <v>9.8252998046875</v>
          </cell>
          <cell r="T199">
            <v>72103.040034172052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</sheetData>
      <sheetData sheetId="4">
        <row r="46">
          <cell r="B46" t="str">
            <v>SFO</v>
          </cell>
          <cell r="C46">
            <v>18584.099999999999</v>
          </cell>
          <cell r="D46">
            <v>0</v>
          </cell>
          <cell r="E46">
            <v>49577.299999999996</v>
          </cell>
          <cell r="F46">
            <v>48607.1</v>
          </cell>
          <cell r="G46">
            <v>92.917000000000002</v>
          </cell>
          <cell r="H46">
            <v>64.016999999999996</v>
          </cell>
          <cell r="I46">
            <v>0.8000000000001819</v>
          </cell>
          <cell r="J46">
            <v>0</v>
          </cell>
          <cell r="K46">
            <v>0</v>
          </cell>
          <cell r="L46">
            <v>0</v>
          </cell>
          <cell r="M46">
            <v>138.9</v>
          </cell>
          <cell r="N46">
            <v>226.2</v>
          </cell>
          <cell r="O46">
            <v>85.414000000000044</v>
          </cell>
          <cell r="Q46">
            <v>0</v>
          </cell>
          <cell r="R46">
            <v>0</v>
          </cell>
          <cell r="S46">
            <v>0</v>
          </cell>
          <cell r="T46">
            <v>12963.532999999999</v>
          </cell>
          <cell r="W46">
            <v>0</v>
          </cell>
        </row>
        <row r="47">
          <cell r="B47" t="str">
            <v>Aberdeen</v>
          </cell>
          <cell r="C47">
            <v>-0.4</v>
          </cell>
          <cell r="D47">
            <v>0</v>
          </cell>
          <cell r="E47">
            <v>12</v>
          </cell>
          <cell r="F47">
            <v>42</v>
          </cell>
          <cell r="G47">
            <v>23.384</v>
          </cell>
          <cell r="H47">
            <v>7.1840000000000002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4.5</v>
          </cell>
          <cell r="N47">
            <v>10</v>
          </cell>
          <cell r="O47">
            <v>0.1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  <cell r="Y47">
            <v>0</v>
          </cell>
        </row>
        <row r="48">
          <cell r="B48" t="str">
            <v>NESFO</v>
          </cell>
          <cell r="C48">
            <v>0.2</v>
          </cell>
          <cell r="D48">
            <v>0</v>
          </cell>
          <cell r="E48">
            <v>1</v>
          </cell>
          <cell r="F48">
            <v>0</v>
          </cell>
          <cell r="G48">
            <v>7.770999999999999</v>
          </cell>
          <cell r="H48">
            <v>2.6709999999999998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0.4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0.89999999999997726</v>
          </cell>
          <cell r="W48">
            <v>0</v>
          </cell>
          <cell r="Y48">
            <v>0</v>
          </cell>
        </row>
        <row r="49">
          <cell r="B49" t="str">
            <v>Shetland</v>
          </cell>
          <cell r="C49">
            <v>10482.9</v>
          </cell>
          <cell r="D49">
            <v>680</v>
          </cell>
          <cell r="E49">
            <v>46773.4</v>
          </cell>
          <cell r="F49">
            <v>45888.800000000003</v>
          </cell>
          <cell r="G49">
            <v>29.449000000000002</v>
          </cell>
          <cell r="H49">
            <v>42.249000000000002</v>
          </cell>
          <cell r="I49">
            <v>4300.26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218.2</v>
          </cell>
          <cell r="O49">
            <v>576.17399999999998</v>
          </cell>
          <cell r="Q49">
            <v>0</v>
          </cell>
          <cell r="R49">
            <v>0</v>
          </cell>
          <cell r="S49">
            <v>0</v>
          </cell>
          <cell r="T49">
            <v>9671.8799999999992</v>
          </cell>
          <cell r="W49">
            <v>0</v>
          </cell>
          <cell r="Y49">
            <v>0</v>
          </cell>
        </row>
        <row r="50">
          <cell r="B50" t="str">
            <v>Fife</v>
          </cell>
          <cell r="C50">
            <v>0.6</v>
          </cell>
          <cell r="D50">
            <v>0</v>
          </cell>
          <cell r="E50">
            <v>170.3</v>
          </cell>
          <cell r="F50">
            <v>0.3</v>
          </cell>
          <cell r="G50">
            <v>41.882000000000005</v>
          </cell>
          <cell r="H50">
            <v>0.68200000000000005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52.402999999999999</v>
          </cell>
          <cell r="O50">
            <v>0.59799999999999998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W50">
            <v>0</v>
          </cell>
          <cell r="Y50">
            <v>0</v>
          </cell>
        </row>
        <row r="51">
          <cell r="B51" t="str">
            <v>West Scotland</v>
          </cell>
          <cell r="C51">
            <v>0.19999999999999996</v>
          </cell>
          <cell r="D51">
            <v>0</v>
          </cell>
          <cell r="E51">
            <v>1.3999999999999986</v>
          </cell>
          <cell r="F51">
            <v>15.7</v>
          </cell>
          <cell r="G51">
            <v>1.6E-2</v>
          </cell>
          <cell r="H51">
            <v>0.11600000000000001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25.8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W51">
            <v>0</v>
          </cell>
          <cell r="Y51">
            <v>0</v>
          </cell>
        </row>
        <row r="52">
          <cell r="B52" t="str">
            <v>Orkney</v>
          </cell>
          <cell r="C52">
            <v>0.2</v>
          </cell>
          <cell r="D52">
            <v>0</v>
          </cell>
          <cell r="E52">
            <v>0.2</v>
          </cell>
          <cell r="F52">
            <v>0.2</v>
          </cell>
          <cell r="G52">
            <v>4.4000000000000004</v>
          </cell>
          <cell r="H52">
            <v>1.3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0.1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W52">
            <v>0</v>
          </cell>
          <cell r="Y52">
            <v>0</v>
          </cell>
        </row>
        <row r="53">
          <cell r="B53" t="str">
            <v>Northern</v>
          </cell>
          <cell r="C53">
            <v>0.2</v>
          </cell>
          <cell r="D53">
            <v>0</v>
          </cell>
          <cell r="E53">
            <v>4.3</v>
          </cell>
          <cell r="F53">
            <v>4.3</v>
          </cell>
          <cell r="G53">
            <v>-7.6000000000000005</v>
          </cell>
          <cell r="H53">
            <v>-7.9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</v>
          </cell>
          <cell r="N53">
            <v>0.1</v>
          </cell>
          <cell r="O53">
            <v>1.6</v>
          </cell>
          <cell r="Q53">
            <v>0</v>
          </cell>
          <cell r="R53">
            <v>0</v>
          </cell>
          <cell r="S53">
            <v>0</v>
          </cell>
          <cell r="T53">
            <v>3.3</v>
          </cell>
          <cell r="W53">
            <v>0</v>
          </cell>
          <cell r="Y53">
            <v>0</v>
          </cell>
        </row>
        <row r="54">
          <cell r="B54" t="str">
            <v>Klondyke</v>
          </cell>
          <cell r="C54">
            <v>6358.9</v>
          </cell>
          <cell r="D54">
            <v>680</v>
          </cell>
          <cell r="E54">
            <v>25463</v>
          </cell>
          <cell r="F54">
            <v>25401.3</v>
          </cell>
          <cell r="G54">
            <v>23.800999999999995</v>
          </cell>
          <cell r="H54">
            <v>56.000999999999998</v>
          </cell>
          <cell r="I54">
            <v>3358.1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0.5</v>
          </cell>
          <cell r="O54">
            <v>625.678</v>
          </cell>
          <cell r="Q54">
            <v>0</v>
          </cell>
          <cell r="R54">
            <v>0</v>
          </cell>
          <cell r="S54">
            <v>0</v>
          </cell>
          <cell r="T54">
            <v>10318.038</v>
          </cell>
          <cell r="W54">
            <v>0</v>
          </cell>
        </row>
        <row r="55">
          <cell r="B55" t="str">
            <v>Lunar</v>
          </cell>
          <cell r="C55">
            <v>6369.0999999999995</v>
          </cell>
          <cell r="D55">
            <v>0</v>
          </cell>
          <cell r="E55">
            <v>24633.8</v>
          </cell>
          <cell r="F55">
            <v>24616.5</v>
          </cell>
          <cell r="G55">
            <v>50.856000000000002</v>
          </cell>
          <cell r="H55">
            <v>19.056000000000001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2.3999999999999986</v>
          </cell>
          <cell r="O55">
            <v>3.2870000000000061</v>
          </cell>
          <cell r="Q55">
            <v>0</v>
          </cell>
          <cell r="R55">
            <v>0</v>
          </cell>
          <cell r="S55">
            <v>0</v>
          </cell>
          <cell r="T55">
            <v>24886.434000000001</v>
          </cell>
          <cell r="W55">
            <v>0</v>
          </cell>
        </row>
        <row r="56">
          <cell r="B56" t="str">
            <v>Anglo Scot.</v>
          </cell>
          <cell r="C56">
            <v>4.8170000000000002</v>
          </cell>
          <cell r="D56">
            <v>0</v>
          </cell>
          <cell r="E56">
            <v>0.59599999999999997</v>
          </cell>
          <cell r="F56">
            <v>0.59599999999999997</v>
          </cell>
          <cell r="G56">
            <v>7.3680000000000003</v>
          </cell>
          <cell r="H56">
            <v>11.368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2.6419999999999999</v>
          </cell>
          <cell r="O56">
            <v>6.1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W56">
            <v>0</v>
          </cell>
          <cell r="Y56">
            <v>0</v>
          </cell>
        </row>
        <row r="57">
          <cell r="B57" t="str">
            <v>EEFPO</v>
          </cell>
          <cell r="C57">
            <v>1.6499999999999915</v>
          </cell>
          <cell r="D57">
            <v>0</v>
          </cell>
          <cell r="E57">
            <v>517.00199999999995</v>
          </cell>
          <cell r="F57">
            <v>262.00200000000001</v>
          </cell>
          <cell r="G57">
            <v>15.036</v>
          </cell>
          <cell r="H57">
            <v>2.036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4.7729999999999997</v>
          </cell>
          <cell r="O57">
            <v>13.1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W57">
            <v>0</v>
          </cell>
          <cell r="Y57">
            <v>0</v>
          </cell>
        </row>
        <row r="58">
          <cell r="B58" t="str">
            <v>Western PO</v>
          </cell>
          <cell r="C58">
            <v>0</v>
          </cell>
          <cell r="D58">
            <v>0</v>
          </cell>
          <cell r="E58">
            <v>175.435</v>
          </cell>
          <cell r="F58">
            <v>5.4349999999999996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0.434</v>
          </cell>
          <cell r="O58">
            <v>0.7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W58">
            <v>0</v>
          </cell>
          <cell r="Y58">
            <v>0</v>
          </cell>
        </row>
        <row r="59">
          <cell r="B59" t="str">
            <v>FPO</v>
          </cell>
          <cell r="C59">
            <v>0.111</v>
          </cell>
          <cell r="D59">
            <v>0</v>
          </cell>
          <cell r="E59">
            <v>3.0139999999999993</v>
          </cell>
          <cell r="F59">
            <v>16.213999999999999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2.206</v>
          </cell>
          <cell r="O59">
            <v>1.1000000000000005</v>
          </cell>
          <cell r="Q59">
            <v>0</v>
          </cell>
          <cell r="R59">
            <v>0</v>
          </cell>
          <cell r="S59">
            <v>0</v>
          </cell>
          <cell r="T59">
            <v>1.5149999999999999</v>
          </cell>
          <cell r="W59">
            <v>0</v>
          </cell>
          <cell r="Y59">
            <v>0</v>
          </cell>
        </row>
        <row r="60">
          <cell r="B60" t="str">
            <v>NIFPO</v>
          </cell>
          <cell r="C60">
            <v>19.416999999999973</v>
          </cell>
          <cell r="D60">
            <v>0</v>
          </cell>
          <cell r="E60">
            <v>1566.5840000000001</v>
          </cell>
          <cell r="F60">
            <v>1156.5840000000001</v>
          </cell>
          <cell r="G60">
            <v>13.235999999999997</v>
          </cell>
          <cell r="H60">
            <v>49.235999999999997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113.822</v>
          </cell>
          <cell r="N60">
            <v>8.5310000000000006</v>
          </cell>
          <cell r="O60">
            <v>10.5</v>
          </cell>
          <cell r="Q60">
            <v>0</v>
          </cell>
          <cell r="R60">
            <v>0</v>
          </cell>
          <cell r="S60">
            <v>0</v>
          </cell>
          <cell r="T60">
            <v>0.29199999999999998</v>
          </cell>
          <cell r="W60">
            <v>0</v>
          </cell>
          <cell r="Y60">
            <v>0</v>
          </cell>
        </row>
        <row r="61">
          <cell r="B61" t="str">
            <v>ANIFPO</v>
          </cell>
          <cell r="C61">
            <v>5373.0829999999996</v>
          </cell>
          <cell r="D61">
            <v>0</v>
          </cell>
          <cell r="E61">
            <v>15737.116</v>
          </cell>
          <cell r="F61">
            <v>15695.716</v>
          </cell>
          <cell r="G61">
            <v>6.1110000000000007</v>
          </cell>
          <cell r="H61">
            <v>1.0999999999999233E-2</v>
          </cell>
          <cell r="I61">
            <v>0.19999999999998863</v>
          </cell>
          <cell r="J61">
            <v>0</v>
          </cell>
          <cell r="K61">
            <v>0</v>
          </cell>
          <cell r="L61">
            <v>0</v>
          </cell>
          <cell r="M61">
            <v>218.27799999999999</v>
          </cell>
          <cell r="N61">
            <v>4.0690000000000168</v>
          </cell>
          <cell r="O61">
            <v>1825.114</v>
          </cell>
          <cell r="Q61">
            <v>0</v>
          </cell>
          <cell r="R61">
            <v>0</v>
          </cell>
          <cell r="S61">
            <v>0</v>
          </cell>
          <cell r="T61">
            <v>218.01899999999978</v>
          </cell>
          <cell r="W61">
            <v>0</v>
          </cell>
          <cell r="Y61">
            <v>0</v>
          </cell>
        </row>
        <row r="62">
          <cell r="B62" t="str">
            <v>Cornish</v>
          </cell>
          <cell r="C62">
            <v>0.5</v>
          </cell>
          <cell r="D62">
            <v>0</v>
          </cell>
          <cell r="E62">
            <v>18.081</v>
          </cell>
          <cell r="F62">
            <v>18.181000000000001</v>
          </cell>
          <cell r="G62">
            <v>10.266999999999999</v>
          </cell>
          <cell r="H62">
            <v>0.26700000000000002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3.0379999999999998</v>
          </cell>
          <cell r="O62">
            <v>7.9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W62">
            <v>0</v>
          </cell>
          <cell r="Y62">
            <v>0</v>
          </cell>
        </row>
        <row r="63">
          <cell r="B63" t="str">
            <v>South West</v>
          </cell>
          <cell r="C63">
            <v>0</v>
          </cell>
          <cell r="D63">
            <v>0</v>
          </cell>
          <cell r="E63">
            <v>17.082999999999998</v>
          </cell>
          <cell r="F63">
            <v>17.082999999999998</v>
          </cell>
          <cell r="G63">
            <v>0.46200000000000002</v>
          </cell>
          <cell r="H63">
            <v>0.46200000000000002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2.9020000000000001</v>
          </cell>
          <cell r="O63">
            <v>5.2830000000000004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W63">
            <v>0</v>
          </cell>
          <cell r="Y63">
            <v>0</v>
          </cell>
        </row>
        <row r="64">
          <cell r="B64" t="str">
            <v>North Sea</v>
          </cell>
          <cell r="C64">
            <v>0.32200000000000001</v>
          </cell>
          <cell r="D64">
            <v>0</v>
          </cell>
          <cell r="E64">
            <v>14.799999999999999</v>
          </cell>
          <cell r="F64">
            <v>0.2</v>
          </cell>
          <cell r="G64">
            <v>4.6159999999999997</v>
          </cell>
          <cell r="H64">
            <v>0.71599999999999997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24.067999999999998</v>
          </cell>
          <cell r="O64">
            <v>0.1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W64">
            <v>0</v>
          </cell>
          <cell r="Y64">
            <v>0</v>
          </cell>
        </row>
        <row r="65">
          <cell r="B65" t="str">
            <v>Lowestoft</v>
          </cell>
          <cell r="C65">
            <v>0</v>
          </cell>
          <cell r="D65">
            <v>0</v>
          </cell>
          <cell r="E65">
            <v>728</v>
          </cell>
          <cell r="F65">
            <v>479.89999999999992</v>
          </cell>
          <cell r="G65">
            <v>88.426000000000002</v>
          </cell>
          <cell r="H65">
            <v>47.126000000000005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75.759</v>
          </cell>
          <cell r="O65">
            <v>10.368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W65">
            <v>0</v>
          </cell>
          <cell r="Y65">
            <v>0</v>
          </cell>
        </row>
        <row r="66">
          <cell r="B66" t="str">
            <v>Wales WC</v>
          </cell>
          <cell r="C66">
            <v>0</v>
          </cell>
          <cell r="D66">
            <v>0</v>
          </cell>
          <cell r="E66">
            <v>5.1369999999999996</v>
          </cell>
          <cell r="F66">
            <v>5.1369999999999996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1.4019999999999999</v>
          </cell>
          <cell r="O66">
            <v>4.7</v>
          </cell>
          <cell r="Q66">
            <v>0</v>
          </cell>
          <cell r="R66">
            <v>0</v>
          </cell>
          <cell r="S66">
            <v>0</v>
          </cell>
          <cell r="T66">
            <v>3.03</v>
          </cell>
          <cell r="W66">
            <v>0</v>
          </cell>
          <cell r="Y66">
            <v>0</v>
          </cell>
        </row>
        <row r="67">
          <cell r="B67" t="str">
            <v>Interfish</v>
          </cell>
          <cell r="C67">
            <v>7408.84</v>
          </cell>
          <cell r="D67">
            <v>0</v>
          </cell>
          <cell r="E67">
            <v>26698.881000000001</v>
          </cell>
          <cell r="F67">
            <v>26457.481</v>
          </cell>
          <cell r="G67">
            <v>3.6359999999999957</v>
          </cell>
          <cell r="H67">
            <v>3.6000000000001364E-2</v>
          </cell>
          <cell r="I67">
            <v>0.60000000000002274</v>
          </cell>
          <cell r="J67">
            <v>0</v>
          </cell>
          <cell r="K67">
            <v>0</v>
          </cell>
          <cell r="L67">
            <v>0</v>
          </cell>
          <cell r="M67">
            <v>38.588000000000001</v>
          </cell>
          <cell r="N67">
            <v>309.37</v>
          </cell>
          <cell r="O67">
            <v>1427.2139999999999</v>
          </cell>
          <cell r="Q67">
            <v>0</v>
          </cell>
          <cell r="R67">
            <v>0</v>
          </cell>
          <cell r="S67">
            <v>0</v>
          </cell>
          <cell r="T67">
            <v>6350.9</v>
          </cell>
          <cell r="W67">
            <v>0</v>
          </cell>
          <cell r="Y67">
            <v>0</v>
          </cell>
        </row>
        <row r="68">
          <cell r="B68" t="str">
            <v>North Atlantic FPO</v>
          </cell>
          <cell r="C68">
            <v>8730.4339999999993</v>
          </cell>
          <cell r="D68">
            <v>0</v>
          </cell>
          <cell r="E68">
            <v>21860.555</v>
          </cell>
          <cell r="F68">
            <v>23518.654999999999</v>
          </cell>
          <cell r="G68">
            <v>427.35300000000001</v>
          </cell>
          <cell r="H68">
            <v>154.35300000000001</v>
          </cell>
          <cell r="I68">
            <v>1</v>
          </cell>
          <cell r="J68">
            <v>0</v>
          </cell>
          <cell r="K68">
            <v>0</v>
          </cell>
          <cell r="L68">
            <v>0</v>
          </cell>
          <cell r="M68">
            <v>38.487000000000002</v>
          </cell>
          <cell r="N68">
            <v>3843.2739999999999</v>
          </cell>
          <cell r="O68">
            <v>2816.7469999999998</v>
          </cell>
          <cell r="Q68">
            <v>0</v>
          </cell>
          <cell r="T68">
            <v>8012.6030000000001</v>
          </cell>
          <cell r="W68">
            <v>0</v>
          </cell>
          <cell r="Y68">
            <v>0</v>
          </cell>
        </row>
        <row r="69">
          <cell r="B69" t="str">
            <v>Non Sector - England</v>
          </cell>
          <cell r="C69">
            <v>0</v>
          </cell>
          <cell r="D69">
            <v>0</v>
          </cell>
          <cell r="E69">
            <v>152.197</v>
          </cell>
          <cell r="F69">
            <v>352.197</v>
          </cell>
          <cell r="G69">
            <v>3.669</v>
          </cell>
          <cell r="H69">
            <v>3.669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356.81299999999999</v>
          </cell>
          <cell r="O69">
            <v>0.4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W69">
            <v>0</v>
          </cell>
        </row>
        <row r="70">
          <cell r="B70" t="str">
            <v>Non Sector - Wales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W70">
            <v>0</v>
          </cell>
        </row>
        <row r="71">
          <cell r="B71" t="str">
            <v>Non Sector - Scotland</v>
          </cell>
          <cell r="C71">
            <v>0</v>
          </cell>
          <cell r="D71">
            <v>0</v>
          </cell>
          <cell r="E71">
            <v>10</v>
          </cell>
          <cell r="F71">
            <v>10</v>
          </cell>
          <cell r="G71">
            <v>10.043000000000006</v>
          </cell>
          <cell r="H71">
            <v>100.04300000000001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W71">
            <v>0</v>
          </cell>
        </row>
        <row r="72">
          <cell r="B72" t="str">
            <v>Non Sector - N.Ireland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W72">
            <v>0</v>
          </cell>
        </row>
        <row r="73">
          <cell r="B73" t="str">
            <v>Isle of Man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W73">
            <v>0</v>
          </cell>
          <cell r="Y73">
            <v>0</v>
          </cell>
        </row>
        <row r="74">
          <cell r="B74" t="str">
            <v>Under 10m - England</v>
          </cell>
          <cell r="C74">
            <v>53.881000000000085</v>
          </cell>
          <cell r="D74">
            <v>0</v>
          </cell>
          <cell r="E74">
            <v>-61.115000000000009</v>
          </cell>
          <cell r="F74">
            <v>1069.7850000000001</v>
          </cell>
          <cell r="G74">
            <v>69.39500000000001</v>
          </cell>
          <cell r="H74">
            <v>110.495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17.285000000000082</v>
          </cell>
          <cell r="O74">
            <v>15.939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W74">
            <v>0</v>
          </cell>
          <cell r="Y74">
            <v>0</v>
          </cell>
        </row>
        <row r="75">
          <cell r="B75" t="str">
            <v>Under 10m - Wales</v>
          </cell>
          <cell r="C75">
            <v>0</v>
          </cell>
          <cell r="D75">
            <v>0</v>
          </cell>
          <cell r="E75">
            <v>3.6769999999999996</v>
          </cell>
          <cell r="F75">
            <v>48.677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T75">
            <v>0</v>
          </cell>
          <cell r="W75">
            <v>0</v>
          </cell>
        </row>
        <row r="76">
          <cell r="B76" t="str">
            <v>Under 10m - Scotland</v>
          </cell>
          <cell r="C76">
            <v>0</v>
          </cell>
          <cell r="D76">
            <v>0</v>
          </cell>
          <cell r="E76">
            <v>570.4</v>
          </cell>
          <cell r="F76">
            <v>650.4</v>
          </cell>
          <cell r="G76">
            <v>806.55400000000009</v>
          </cell>
          <cell r="H76">
            <v>1064.0540000000001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T76">
            <v>0</v>
          </cell>
          <cell r="W76">
            <v>0</v>
          </cell>
        </row>
        <row r="77">
          <cell r="B77" t="str">
            <v>Under 10m - N.Ireland</v>
          </cell>
          <cell r="C77">
            <v>0</v>
          </cell>
          <cell r="D77">
            <v>0</v>
          </cell>
          <cell r="E77">
            <v>17.600000000000001</v>
          </cell>
          <cell r="F77">
            <v>17.600000000000001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T77">
            <v>0</v>
          </cell>
          <cell r="W77">
            <v>0</v>
          </cell>
        </row>
        <row r="78">
          <cell r="B78" t="str">
            <v>Handliners (VIIe-h)</v>
          </cell>
          <cell r="C78">
            <v>0</v>
          </cell>
          <cell r="D78">
            <v>0</v>
          </cell>
          <cell r="E78">
            <v>798.7</v>
          </cell>
          <cell r="F78">
            <v>1750.7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W78">
            <v>0</v>
          </cell>
          <cell r="Y78">
            <v>0</v>
          </cell>
        </row>
        <row r="79">
          <cell r="B79" t="str">
            <v>TOTAL</v>
          </cell>
          <cell r="C79">
            <v>63389.054999999993</v>
          </cell>
          <cell r="D79">
            <v>1360</v>
          </cell>
          <cell r="E79">
            <v>215470.44299999997</v>
          </cell>
          <cell r="F79">
            <v>216108.74300000005</v>
          </cell>
          <cell r="G79">
            <v>1734.1480000000001</v>
          </cell>
          <cell r="H79">
            <v>1729.248</v>
          </cell>
          <cell r="I79">
            <v>7660.96</v>
          </cell>
          <cell r="J79">
            <v>0</v>
          </cell>
          <cell r="K79">
            <v>0</v>
          </cell>
          <cell r="L79">
            <v>0</v>
          </cell>
          <cell r="M79">
            <v>582.97699999999998</v>
          </cell>
          <cell r="N79">
            <v>5166.3689999999997</v>
          </cell>
          <cell r="O79">
            <v>7438.1159999999982</v>
          </cell>
          <cell r="Q79">
            <v>0</v>
          </cell>
          <cell r="R79">
            <v>0</v>
          </cell>
          <cell r="S79">
            <v>0</v>
          </cell>
          <cell r="T79">
            <v>72430.444000000003</v>
          </cell>
          <cell r="W79">
            <v>0</v>
          </cell>
        </row>
        <row r="84">
          <cell r="C84">
            <v>21</v>
          </cell>
          <cell r="D84">
            <v>23</v>
          </cell>
          <cell r="E84">
            <v>20</v>
          </cell>
          <cell r="F84">
            <v>88</v>
          </cell>
          <cell r="G84">
            <v>19</v>
          </cell>
          <cell r="H84">
            <v>90</v>
          </cell>
          <cell r="I84">
            <v>91</v>
          </cell>
          <cell r="J84">
            <v>911</v>
          </cell>
          <cell r="K84">
            <v>912</v>
          </cell>
          <cell r="L84">
            <v>913</v>
          </cell>
          <cell r="M84">
            <v>24</v>
          </cell>
          <cell r="N84">
            <v>71</v>
          </cell>
          <cell r="O84">
            <v>72</v>
          </cell>
          <cell r="P84">
            <v>69</v>
          </cell>
          <cell r="Q84">
            <v>103</v>
          </cell>
          <cell r="R84">
            <v>57</v>
          </cell>
          <cell r="S84">
            <v>73</v>
          </cell>
          <cell r="T84">
            <v>70</v>
          </cell>
          <cell r="U84">
            <v>990</v>
          </cell>
          <cell r="V84">
            <v>104</v>
          </cell>
          <cell r="W84">
            <v>53</v>
          </cell>
        </row>
        <row r="85">
          <cell r="C85" t="str">
            <v>North Sea Herring</v>
          </cell>
          <cell r="D85" t="str">
            <v>West Coast Herring</v>
          </cell>
          <cell r="E85" t="str">
            <v>West Coast Mackerel</v>
          </cell>
          <cell r="F85" t="str">
            <v>Shet. Box Mackerel</v>
          </cell>
          <cell r="G85" t="str">
            <v>North Sea Mackerel</v>
          </cell>
          <cell r="H85" t="str">
            <v>N.Sea Mackerel IIIa IVbc</v>
          </cell>
          <cell r="I85" t="str">
            <v>Atlanto Scandian Herring</v>
          </cell>
          <cell r="J85" t="str">
            <v>AS Norway</v>
          </cell>
          <cell r="K85" t="str">
            <v>AS Nor EEZ</v>
          </cell>
          <cell r="L85" t="str">
            <v>AS Faroe</v>
          </cell>
          <cell r="M85" t="str">
            <v>Clyde Firth Herring</v>
          </cell>
          <cell r="N85" t="str">
            <v>North Sea Horse Mackerel</v>
          </cell>
          <cell r="O85" t="str">
            <v>West Coast Horse Mackerel</v>
          </cell>
          <cell r="P85" t="str">
            <v>North Sea Blue Whiting</v>
          </cell>
          <cell r="Q85" t="str">
            <v>North Sea Sand Eels</v>
          </cell>
          <cell r="R85" t="str">
            <v>Norwegian Sand Eels</v>
          </cell>
          <cell r="S85" t="str">
            <v>Norway Pout</v>
          </cell>
          <cell r="T85" t="str">
            <v>Blue Whiting I-VIII, XII, XIV</v>
          </cell>
          <cell r="U85" t="str">
            <v>Shetland Sandeels</v>
          </cell>
          <cell r="V85" t="str">
            <v>Blue Whiting VIII</v>
          </cell>
          <cell r="W85" t="str">
            <v>Far Blue Whiting</v>
          </cell>
        </row>
        <row r="86">
          <cell r="B86" t="str">
            <v>SFO</v>
          </cell>
          <cell r="C86">
            <v>18584.099999999999</v>
          </cell>
          <cell r="D86">
            <v>0</v>
          </cell>
          <cell r="E86">
            <v>49577.299999999996</v>
          </cell>
          <cell r="F86">
            <v>48607.1</v>
          </cell>
          <cell r="G86">
            <v>92.917000000000002</v>
          </cell>
          <cell r="H86">
            <v>64.016999999999996</v>
          </cell>
          <cell r="I86">
            <v>0.8000000000001819</v>
          </cell>
          <cell r="J86">
            <v>0</v>
          </cell>
          <cell r="K86">
            <v>0</v>
          </cell>
          <cell r="L86">
            <v>0</v>
          </cell>
          <cell r="M86">
            <v>138.9</v>
          </cell>
          <cell r="N86">
            <v>226.2</v>
          </cell>
          <cell r="O86">
            <v>85.414000000000044</v>
          </cell>
          <cell r="Q86">
            <v>0</v>
          </cell>
          <cell r="R86">
            <v>0</v>
          </cell>
          <cell r="S86">
            <v>0</v>
          </cell>
          <cell r="T86">
            <v>12963.532999999999</v>
          </cell>
          <cell r="W86">
            <v>0</v>
          </cell>
        </row>
        <row r="87">
          <cell r="B87" t="str">
            <v>Aberdeen</v>
          </cell>
          <cell r="C87">
            <v>-0.4</v>
          </cell>
          <cell r="D87">
            <v>0</v>
          </cell>
          <cell r="E87">
            <v>12</v>
          </cell>
          <cell r="F87">
            <v>42</v>
          </cell>
          <cell r="G87">
            <v>23.384</v>
          </cell>
          <cell r="H87">
            <v>7.1840000000000002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4.5</v>
          </cell>
          <cell r="N87">
            <v>10</v>
          </cell>
          <cell r="O87">
            <v>0.1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W87">
            <v>0</v>
          </cell>
        </row>
        <row r="88">
          <cell r="B88" t="str">
            <v>NESFO</v>
          </cell>
          <cell r="C88">
            <v>0.2</v>
          </cell>
          <cell r="D88">
            <v>0</v>
          </cell>
          <cell r="E88">
            <v>1</v>
          </cell>
          <cell r="F88">
            <v>0</v>
          </cell>
          <cell r="G88">
            <v>7.770999999999999</v>
          </cell>
          <cell r="H88">
            <v>2.6709999999999998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0.4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0.89999999999997726</v>
          </cell>
          <cell r="W88">
            <v>0</v>
          </cell>
        </row>
        <row r="89">
          <cell r="B89" t="str">
            <v>Shetland</v>
          </cell>
          <cell r="C89">
            <v>10482.9</v>
          </cell>
          <cell r="D89">
            <v>680</v>
          </cell>
          <cell r="E89">
            <v>46773.4</v>
          </cell>
          <cell r="F89">
            <v>45888.800000000003</v>
          </cell>
          <cell r="G89">
            <v>29.449000000000002</v>
          </cell>
          <cell r="H89">
            <v>42.249000000000002</v>
          </cell>
          <cell r="I89">
            <v>4300.26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218.2</v>
          </cell>
          <cell r="O89">
            <v>576.17399999999998</v>
          </cell>
          <cell r="Q89">
            <v>0</v>
          </cell>
          <cell r="R89">
            <v>0</v>
          </cell>
          <cell r="S89">
            <v>0</v>
          </cell>
          <cell r="T89">
            <v>9671.8799999999992</v>
          </cell>
          <cell r="W89">
            <v>0</v>
          </cell>
        </row>
        <row r="90">
          <cell r="B90" t="str">
            <v>Fife</v>
          </cell>
          <cell r="C90">
            <v>0.6</v>
          </cell>
          <cell r="D90">
            <v>0</v>
          </cell>
          <cell r="E90">
            <v>170.3</v>
          </cell>
          <cell r="F90">
            <v>0.3</v>
          </cell>
          <cell r="G90">
            <v>1.8820000000000001</v>
          </cell>
          <cell r="H90">
            <v>0.68200000000000005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42.402999999999999</v>
          </cell>
          <cell r="O90">
            <v>0.59799999999999998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0</v>
          </cell>
        </row>
        <row r="91">
          <cell r="B91" t="str">
            <v>West Scotland</v>
          </cell>
          <cell r="C91">
            <v>0.19999999999999996</v>
          </cell>
          <cell r="D91">
            <v>0</v>
          </cell>
          <cell r="E91">
            <v>1.3999999999999986</v>
          </cell>
          <cell r="F91">
            <v>15.7</v>
          </cell>
          <cell r="G91">
            <v>1.6E-2</v>
          </cell>
          <cell r="H91">
            <v>0.11600000000000001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25.8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W91">
            <v>0</v>
          </cell>
        </row>
        <row r="92">
          <cell r="B92" t="str">
            <v>Orkney</v>
          </cell>
          <cell r="C92">
            <v>0.2</v>
          </cell>
          <cell r="D92">
            <v>0</v>
          </cell>
          <cell r="E92">
            <v>0.2</v>
          </cell>
          <cell r="F92">
            <v>0.2</v>
          </cell>
          <cell r="G92">
            <v>4.4000000000000004</v>
          </cell>
          <cell r="H92">
            <v>1.3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0.1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W92">
            <v>0</v>
          </cell>
        </row>
        <row r="93">
          <cell r="B93" t="str">
            <v>Northern</v>
          </cell>
          <cell r="C93">
            <v>0.2</v>
          </cell>
          <cell r="D93">
            <v>0</v>
          </cell>
          <cell r="E93">
            <v>4.3</v>
          </cell>
          <cell r="F93">
            <v>4.3</v>
          </cell>
          <cell r="G93">
            <v>-7.6000000000000005</v>
          </cell>
          <cell r="H93">
            <v>-7.9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4</v>
          </cell>
          <cell r="N93">
            <v>0.1</v>
          </cell>
          <cell r="O93">
            <v>1.6</v>
          </cell>
          <cell r="Q93">
            <v>0</v>
          </cell>
          <cell r="R93">
            <v>0</v>
          </cell>
          <cell r="S93">
            <v>0</v>
          </cell>
          <cell r="T93">
            <v>3.3</v>
          </cell>
          <cell r="W93">
            <v>0</v>
          </cell>
        </row>
        <row r="94">
          <cell r="B94" t="str">
            <v>Klondyke</v>
          </cell>
          <cell r="C94">
            <v>6358.9</v>
          </cell>
          <cell r="D94">
            <v>680</v>
          </cell>
          <cell r="E94">
            <v>25463</v>
          </cell>
          <cell r="F94">
            <v>25401.3</v>
          </cell>
          <cell r="G94">
            <v>23.800999999999995</v>
          </cell>
          <cell r="H94">
            <v>56.000999999999998</v>
          </cell>
          <cell r="I94">
            <v>3358.1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0.5</v>
          </cell>
          <cell r="O94">
            <v>625.678</v>
          </cell>
          <cell r="Q94">
            <v>0</v>
          </cell>
          <cell r="R94">
            <v>0</v>
          </cell>
          <cell r="S94">
            <v>0</v>
          </cell>
          <cell r="T94">
            <v>10318.038</v>
          </cell>
          <cell r="W94">
            <v>0</v>
          </cell>
        </row>
        <row r="95">
          <cell r="B95" t="str">
            <v>Lunar</v>
          </cell>
          <cell r="C95">
            <v>6369.0999999999995</v>
          </cell>
          <cell r="D95">
            <v>0</v>
          </cell>
          <cell r="E95">
            <v>24633.8</v>
          </cell>
          <cell r="F95">
            <v>24616.5</v>
          </cell>
          <cell r="G95">
            <v>50.856000000000002</v>
          </cell>
          <cell r="H95">
            <v>19.056000000000001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2.3999999999999986</v>
          </cell>
          <cell r="O95">
            <v>3.2870000000000061</v>
          </cell>
          <cell r="Q95">
            <v>0</v>
          </cell>
          <cell r="R95">
            <v>0</v>
          </cell>
          <cell r="S95">
            <v>0</v>
          </cell>
          <cell r="T95">
            <v>24886.434000000001</v>
          </cell>
          <cell r="W95">
            <v>0</v>
          </cell>
        </row>
        <row r="96">
          <cell r="B96" t="str">
            <v>Anglo Scot.</v>
          </cell>
          <cell r="C96">
            <v>4.8170000000000002</v>
          </cell>
          <cell r="D96">
            <v>0</v>
          </cell>
          <cell r="E96">
            <v>0.59599999999999997</v>
          </cell>
          <cell r="F96">
            <v>0.59599999999999997</v>
          </cell>
          <cell r="G96">
            <v>7.3680000000000003</v>
          </cell>
          <cell r="H96">
            <v>11.368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2.6419999999999999</v>
          </cell>
          <cell r="O96">
            <v>6.1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W96">
            <v>0</v>
          </cell>
        </row>
        <row r="97">
          <cell r="B97" t="str">
            <v>EEFPO</v>
          </cell>
          <cell r="C97">
            <v>1.6499999999999915</v>
          </cell>
          <cell r="D97">
            <v>0</v>
          </cell>
          <cell r="E97">
            <v>317.00200000000001</v>
          </cell>
          <cell r="F97">
            <v>262.00200000000001</v>
          </cell>
          <cell r="G97">
            <v>15.036</v>
          </cell>
          <cell r="H97">
            <v>2.036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4.7729999999999997</v>
          </cell>
          <cell r="O97">
            <v>13.1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W97">
            <v>0</v>
          </cell>
        </row>
        <row r="98">
          <cell r="B98" t="str">
            <v>Western PO</v>
          </cell>
          <cell r="C98">
            <v>0</v>
          </cell>
          <cell r="D98">
            <v>0</v>
          </cell>
          <cell r="E98">
            <v>175.435</v>
          </cell>
          <cell r="F98">
            <v>5.4349999999999996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0.434</v>
          </cell>
          <cell r="O98">
            <v>0.7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W98">
            <v>0</v>
          </cell>
        </row>
        <row r="99">
          <cell r="B99" t="str">
            <v>FPO</v>
          </cell>
          <cell r="C99">
            <v>0.111</v>
          </cell>
          <cell r="D99">
            <v>0</v>
          </cell>
          <cell r="E99">
            <v>3.0139999999999993</v>
          </cell>
          <cell r="F99">
            <v>16.213999999999999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2.206</v>
          </cell>
          <cell r="O99">
            <v>1.1000000000000005</v>
          </cell>
          <cell r="Q99">
            <v>0</v>
          </cell>
          <cell r="R99">
            <v>0</v>
          </cell>
          <cell r="S99">
            <v>0</v>
          </cell>
          <cell r="T99">
            <v>1.5149999999999999</v>
          </cell>
          <cell r="W99">
            <v>0</v>
          </cell>
        </row>
        <row r="100">
          <cell r="B100" t="str">
            <v>NIFPO</v>
          </cell>
          <cell r="C100">
            <v>19.416999999999973</v>
          </cell>
          <cell r="D100">
            <v>0</v>
          </cell>
          <cell r="E100">
            <v>1566.5840000000001</v>
          </cell>
          <cell r="F100">
            <v>1156.5840000000001</v>
          </cell>
          <cell r="G100">
            <v>13.235999999999997</v>
          </cell>
          <cell r="H100">
            <v>49.235999999999997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113.822</v>
          </cell>
          <cell r="N100">
            <v>8.5310000000000006</v>
          </cell>
          <cell r="O100">
            <v>10.5</v>
          </cell>
          <cell r="Q100">
            <v>0</v>
          </cell>
          <cell r="R100">
            <v>0</v>
          </cell>
          <cell r="S100">
            <v>0</v>
          </cell>
          <cell r="T100">
            <v>0.29199999999999998</v>
          </cell>
          <cell r="W100">
            <v>0</v>
          </cell>
        </row>
        <row r="101">
          <cell r="B101" t="str">
            <v>ANIFPO</v>
          </cell>
          <cell r="C101">
            <v>5373.0829999999996</v>
          </cell>
          <cell r="D101">
            <v>0</v>
          </cell>
          <cell r="E101">
            <v>15737.116</v>
          </cell>
          <cell r="F101">
            <v>15695.716</v>
          </cell>
          <cell r="G101">
            <v>6.1110000000000007</v>
          </cell>
          <cell r="H101">
            <v>1.0999999999999233E-2</v>
          </cell>
          <cell r="I101">
            <v>0.19999999999998863</v>
          </cell>
          <cell r="J101">
            <v>0</v>
          </cell>
          <cell r="K101">
            <v>0</v>
          </cell>
          <cell r="L101">
            <v>0</v>
          </cell>
          <cell r="M101">
            <v>218.27799999999999</v>
          </cell>
          <cell r="N101">
            <v>4.0690000000000168</v>
          </cell>
          <cell r="O101">
            <v>1825.114</v>
          </cell>
          <cell r="Q101">
            <v>0</v>
          </cell>
          <cell r="R101">
            <v>0</v>
          </cell>
          <cell r="S101">
            <v>0</v>
          </cell>
          <cell r="T101">
            <v>218.01899999999978</v>
          </cell>
          <cell r="W101">
            <v>0</v>
          </cell>
        </row>
        <row r="102">
          <cell r="B102" t="str">
            <v>Cornish</v>
          </cell>
          <cell r="C102">
            <v>0.5</v>
          </cell>
          <cell r="D102">
            <v>0</v>
          </cell>
          <cell r="E102">
            <v>18.081</v>
          </cell>
          <cell r="F102">
            <v>18.181000000000001</v>
          </cell>
          <cell r="G102">
            <v>10.266999999999999</v>
          </cell>
          <cell r="H102">
            <v>0.26700000000000002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3.0379999999999998</v>
          </cell>
          <cell r="O102">
            <v>7.9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W102">
            <v>0</v>
          </cell>
        </row>
        <row r="103">
          <cell r="B103" t="str">
            <v>South West</v>
          </cell>
          <cell r="C103">
            <v>0</v>
          </cell>
          <cell r="D103">
            <v>0</v>
          </cell>
          <cell r="E103">
            <v>17.082999999999998</v>
          </cell>
          <cell r="F103">
            <v>17.082999999999998</v>
          </cell>
          <cell r="G103">
            <v>0.46200000000000002</v>
          </cell>
          <cell r="H103">
            <v>0.46200000000000002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2.9020000000000001</v>
          </cell>
          <cell r="O103">
            <v>5.2830000000000004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W103">
            <v>0</v>
          </cell>
        </row>
        <row r="104">
          <cell r="B104" t="str">
            <v>North Sea</v>
          </cell>
          <cell r="C104">
            <v>0.32200000000000001</v>
          </cell>
          <cell r="D104">
            <v>0</v>
          </cell>
          <cell r="E104">
            <v>14.799999999999999</v>
          </cell>
          <cell r="F104">
            <v>0.2</v>
          </cell>
          <cell r="G104">
            <v>4.6159999999999997</v>
          </cell>
          <cell r="H104">
            <v>0.71599999999999997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24.067999999999998</v>
          </cell>
          <cell r="O104">
            <v>0.1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W104">
            <v>0</v>
          </cell>
        </row>
        <row r="105">
          <cell r="B105" t="str">
            <v>Lowestoft</v>
          </cell>
          <cell r="C105">
            <v>0</v>
          </cell>
          <cell r="D105">
            <v>0</v>
          </cell>
          <cell r="E105">
            <v>653</v>
          </cell>
          <cell r="F105">
            <v>179.9</v>
          </cell>
          <cell r="G105">
            <v>88.426000000000002</v>
          </cell>
          <cell r="H105">
            <v>47.126000000000005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75.759</v>
          </cell>
          <cell r="O105">
            <v>10.368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W105">
            <v>0</v>
          </cell>
        </row>
        <row r="106">
          <cell r="B106" t="str">
            <v>Wales WC</v>
          </cell>
          <cell r="C106">
            <v>0</v>
          </cell>
          <cell r="D106">
            <v>0</v>
          </cell>
          <cell r="E106">
            <v>5.1369999999999996</v>
          </cell>
          <cell r="F106">
            <v>5.1369999999999996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1.4019999999999999</v>
          </cell>
          <cell r="O106">
            <v>4.7</v>
          </cell>
          <cell r="Q106">
            <v>0</v>
          </cell>
          <cell r="R106">
            <v>0</v>
          </cell>
          <cell r="S106">
            <v>0</v>
          </cell>
          <cell r="T106">
            <v>3.03</v>
          </cell>
          <cell r="W106">
            <v>0</v>
          </cell>
        </row>
        <row r="107">
          <cell r="B107" t="str">
            <v>Interfish</v>
          </cell>
          <cell r="C107">
            <v>7408.84</v>
          </cell>
          <cell r="D107">
            <v>0</v>
          </cell>
          <cell r="E107">
            <v>26698.881000000001</v>
          </cell>
          <cell r="F107">
            <v>26457.481</v>
          </cell>
          <cell r="G107">
            <v>3.6359999999999957</v>
          </cell>
          <cell r="H107">
            <v>3.6000000000001364E-2</v>
          </cell>
          <cell r="I107">
            <v>0.60000000000002274</v>
          </cell>
          <cell r="J107">
            <v>0</v>
          </cell>
          <cell r="K107">
            <v>0</v>
          </cell>
          <cell r="L107">
            <v>0</v>
          </cell>
          <cell r="M107">
            <v>38.588000000000001</v>
          </cell>
          <cell r="N107">
            <v>309.37</v>
          </cell>
          <cell r="O107">
            <v>1427.2139999999999</v>
          </cell>
          <cell r="Q107">
            <v>0</v>
          </cell>
          <cell r="R107">
            <v>0</v>
          </cell>
          <cell r="S107">
            <v>0</v>
          </cell>
          <cell r="T107">
            <v>6350.9</v>
          </cell>
          <cell r="W107">
            <v>0</v>
          </cell>
        </row>
        <row r="108">
          <cell r="B108" t="str">
            <v>North Atlantic FPO</v>
          </cell>
          <cell r="C108">
            <v>8615.4339999999993</v>
          </cell>
          <cell r="D108">
            <v>0</v>
          </cell>
          <cell r="E108">
            <v>21860.555</v>
          </cell>
          <cell r="F108">
            <v>23638.654999999999</v>
          </cell>
          <cell r="G108">
            <v>427.35300000000001</v>
          </cell>
          <cell r="H108">
            <v>154.35300000000001</v>
          </cell>
          <cell r="I108">
            <v>231</v>
          </cell>
          <cell r="J108">
            <v>0</v>
          </cell>
          <cell r="K108">
            <v>0</v>
          </cell>
          <cell r="L108">
            <v>0</v>
          </cell>
          <cell r="M108">
            <v>38.487000000000002</v>
          </cell>
          <cell r="N108">
            <v>3843.2739999999999</v>
          </cell>
          <cell r="O108">
            <v>2816.7469999999998</v>
          </cell>
          <cell r="Q108">
            <v>0</v>
          </cell>
          <cell r="T108">
            <v>8012.6030000000001</v>
          </cell>
          <cell r="W108">
            <v>0</v>
          </cell>
        </row>
        <row r="109">
          <cell r="B109" t="str">
            <v>Non Sector - England</v>
          </cell>
          <cell r="C109">
            <v>0</v>
          </cell>
          <cell r="D109">
            <v>0</v>
          </cell>
          <cell r="E109">
            <v>152.197</v>
          </cell>
          <cell r="F109">
            <v>352.197</v>
          </cell>
          <cell r="G109">
            <v>3.669</v>
          </cell>
          <cell r="H109">
            <v>3.669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356.81299999999999</v>
          </cell>
          <cell r="O109">
            <v>0.4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W109">
            <v>0</v>
          </cell>
        </row>
        <row r="110">
          <cell r="B110" t="str">
            <v>Non Sector - Wales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W110">
            <v>0</v>
          </cell>
        </row>
        <row r="111">
          <cell r="B111" t="str">
            <v>Non Sector - Scotland</v>
          </cell>
          <cell r="C111">
            <v>0</v>
          </cell>
          <cell r="D111">
            <v>0</v>
          </cell>
          <cell r="E111">
            <v>100</v>
          </cell>
          <cell r="F111">
            <v>100</v>
          </cell>
          <cell r="G111">
            <v>100.04300000000001</v>
          </cell>
          <cell r="H111">
            <v>100.04300000000001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W111">
            <v>0</v>
          </cell>
        </row>
        <row r="112">
          <cell r="B112" t="str">
            <v>Non Sector - N.Ireland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W112">
            <v>0</v>
          </cell>
        </row>
        <row r="113">
          <cell r="B113" t="str">
            <v>Isle of Man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W113">
            <v>0</v>
          </cell>
        </row>
        <row r="114">
          <cell r="B114" t="str">
            <v>Under 10m - England</v>
          </cell>
          <cell r="C114">
            <v>53.881000000000085</v>
          </cell>
          <cell r="D114">
            <v>0</v>
          </cell>
          <cell r="E114">
            <v>-561.11500000000001</v>
          </cell>
          <cell r="F114">
            <v>1069.7850000000001</v>
          </cell>
          <cell r="G114">
            <v>110.495</v>
          </cell>
          <cell r="H114">
            <v>110.495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27.285000000000082</v>
          </cell>
          <cell r="O114">
            <v>15.939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W114">
            <v>0</v>
          </cell>
        </row>
        <row r="115">
          <cell r="B115" t="str">
            <v>Under 10m - Wales</v>
          </cell>
          <cell r="C115">
            <v>0</v>
          </cell>
          <cell r="D115">
            <v>0</v>
          </cell>
          <cell r="E115">
            <v>3.6769999999999996</v>
          </cell>
          <cell r="F115">
            <v>48.677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T115">
            <v>0</v>
          </cell>
          <cell r="W115">
            <v>0</v>
          </cell>
        </row>
        <row r="116">
          <cell r="B116" t="str">
            <v>Under 10m - Scotland</v>
          </cell>
          <cell r="C116">
            <v>0</v>
          </cell>
          <cell r="D116">
            <v>0</v>
          </cell>
          <cell r="E116">
            <v>480.4</v>
          </cell>
          <cell r="F116">
            <v>560.4</v>
          </cell>
          <cell r="G116">
            <v>716.55400000000009</v>
          </cell>
          <cell r="H116">
            <v>1064.0540000000001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T116">
            <v>0</v>
          </cell>
          <cell r="W116">
            <v>0</v>
          </cell>
        </row>
        <row r="117">
          <cell r="B117" t="str">
            <v>Under 10m - N.Ireland</v>
          </cell>
          <cell r="C117">
            <v>0</v>
          </cell>
          <cell r="D117">
            <v>0</v>
          </cell>
          <cell r="E117">
            <v>17.600000000000001</v>
          </cell>
          <cell r="F117">
            <v>17.600000000000001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T117">
            <v>0</v>
          </cell>
          <cell r="W117">
            <v>0</v>
          </cell>
        </row>
        <row r="118">
          <cell r="B118" t="str">
            <v>Handliners (VIIe-h)</v>
          </cell>
          <cell r="C118">
            <v>0</v>
          </cell>
          <cell r="D118">
            <v>0</v>
          </cell>
          <cell r="E118">
            <v>1418.7</v>
          </cell>
          <cell r="F118">
            <v>1750.7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W118">
            <v>0</v>
          </cell>
        </row>
        <row r="119">
          <cell r="B119" t="str">
            <v>TOTAL</v>
          </cell>
          <cell r="C119">
            <v>63274.054999999993</v>
          </cell>
          <cell r="D119">
            <v>1360</v>
          </cell>
          <cell r="E119">
            <v>215315.44299999997</v>
          </cell>
          <cell r="F119">
            <v>215928.74300000005</v>
          </cell>
          <cell r="G119">
            <v>1734.1480000000001</v>
          </cell>
          <cell r="H119">
            <v>1729.248</v>
          </cell>
          <cell r="I119">
            <v>7890.96</v>
          </cell>
          <cell r="J119">
            <v>0</v>
          </cell>
          <cell r="K119">
            <v>0</v>
          </cell>
          <cell r="L119">
            <v>0</v>
          </cell>
          <cell r="M119">
            <v>582.97699999999998</v>
          </cell>
          <cell r="N119">
            <v>5166.3689999999997</v>
          </cell>
          <cell r="O119">
            <v>7438.1159999999982</v>
          </cell>
          <cell r="Q119">
            <v>0</v>
          </cell>
          <cell r="R119">
            <v>0</v>
          </cell>
          <cell r="S119">
            <v>0</v>
          </cell>
          <cell r="T119">
            <v>72430.444000000003</v>
          </cell>
          <cell r="W119">
            <v>0</v>
          </cell>
        </row>
      </sheetData>
      <sheetData sheetId="5"/>
      <sheetData sheetId="6">
        <row r="3">
          <cell r="A3">
            <v>44489</v>
          </cell>
        </row>
        <row r="56">
          <cell r="B56" t="str">
            <v>North Sea Herring</v>
          </cell>
          <cell r="C56" t="str">
            <v>West Coast Herring</v>
          </cell>
          <cell r="D56" t="str">
            <v>West Coast Mackerel</v>
          </cell>
          <cell r="E56" t="str">
            <v>West Coast Mackerel HL</v>
          </cell>
          <cell r="F56" t="str">
            <v>Shet. Box Mackerel</v>
          </cell>
          <cell r="G56" t="str">
            <v>North Sea Mackerel</v>
          </cell>
          <cell r="H56" t="str">
            <v>N.Sea Mackerel IIIa IVbc</v>
          </cell>
          <cell r="I56" t="str">
            <v>Atlanto Scandian Herring</v>
          </cell>
          <cell r="J56" t="str">
            <v xml:space="preserve">Norway  </v>
          </cell>
          <cell r="K56" t="str">
            <v>Nor EEZ</v>
          </cell>
          <cell r="L56" t="str">
            <v>Faroes</v>
          </cell>
          <cell r="M56" t="str">
            <v>Clyde Firth Herring</v>
          </cell>
          <cell r="N56" t="str">
            <v>North Sea Horse Mackerel</v>
          </cell>
          <cell r="O56" t="str">
            <v>West Coast Horse Mackerel</v>
          </cell>
          <cell r="P56" t="str">
            <v>North Sea Blue Whiting</v>
          </cell>
          <cell r="Q56" t="str">
            <v>North Sea Sand Eels</v>
          </cell>
          <cell r="R56" t="str">
            <v>Norwegian Sand Eels</v>
          </cell>
          <cell r="S56" t="str">
            <v>Norway Pout</v>
          </cell>
          <cell r="T56" t="str">
            <v>Blue Whiting I-VIII, XII, XIV</v>
          </cell>
          <cell r="U56" t="str">
            <v>Shetland Sandeels</v>
          </cell>
          <cell r="V56" t="str">
            <v>Blue Whiting VIII</v>
          </cell>
          <cell r="W56" t="str">
            <v>Greenland Capelin</v>
          </cell>
          <cell r="X56" t="str">
            <v>Bl Whi Vb Faroes</v>
          </cell>
          <cell r="Y56" t="str">
            <v>NS Sandeels (Area1)</v>
          </cell>
          <cell r="Z56" t="str">
            <v>NS Sandeels (Area2)</v>
          </cell>
          <cell r="AA56" t="str">
            <v>NS Sandeels (Area3)</v>
          </cell>
          <cell r="AB56" t="str">
            <v>NS Sandeels (Area4)</v>
          </cell>
          <cell r="AC56" t="str">
            <v>NS Sandeels (Area5)</v>
          </cell>
          <cell r="AD56" t="str">
            <v>NS Sandeels (Area6)</v>
          </cell>
          <cell r="AE56" t="str">
            <v xml:space="preserve">WS Mac Of Which IIa Nor </v>
          </cell>
        </row>
        <row r="57">
          <cell r="A57" t="str">
            <v>SFO</v>
          </cell>
          <cell r="B57">
            <v>18731.63</v>
          </cell>
          <cell r="C57">
            <v>0.63</v>
          </cell>
          <cell r="D57">
            <v>26174.860000000004</v>
          </cell>
          <cell r="E57">
            <v>0</v>
          </cell>
          <cell r="F57">
            <v>1640.0500000000002</v>
          </cell>
          <cell r="G57">
            <v>12.69</v>
          </cell>
          <cell r="H57">
            <v>3.9569999999999999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15.190000000000001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12890.6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A58" t="str">
            <v>Aberdeen</v>
          </cell>
          <cell r="B58">
            <v>7.0000000000000007E-2</v>
          </cell>
          <cell r="C58">
            <v>0</v>
          </cell>
          <cell r="D58">
            <v>0</v>
          </cell>
          <cell r="E58">
            <v>0</v>
          </cell>
          <cell r="F58">
            <v>2.41</v>
          </cell>
          <cell r="G58">
            <v>12.700000000000001</v>
          </cell>
          <cell r="H58">
            <v>5.82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0.28000000000000003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A59" t="str">
            <v>NESFO</v>
          </cell>
          <cell r="B59">
            <v>0.12</v>
          </cell>
          <cell r="C59">
            <v>0</v>
          </cell>
          <cell r="D59">
            <v>1.1599999999999999</v>
          </cell>
          <cell r="E59">
            <v>0</v>
          </cell>
          <cell r="F59">
            <v>0.67999999999999994</v>
          </cell>
          <cell r="G59">
            <v>1.76</v>
          </cell>
          <cell r="H59">
            <v>1.7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</row>
        <row r="60">
          <cell r="A60" t="str">
            <v>Shetland</v>
          </cell>
          <cell r="B60">
            <v>10543.81</v>
          </cell>
          <cell r="C60">
            <v>690.9</v>
          </cell>
          <cell r="D60">
            <v>8735.68</v>
          </cell>
          <cell r="E60">
            <v>0</v>
          </cell>
          <cell r="F60">
            <v>13317.550000000001</v>
          </cell>
          <cell r="G60">
            <v>19.900000000000002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11.27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9759.32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</row>
        <row r="61">
          <cell r="A61" t="str">
            <v>Fife</v>
          </cell>
          <cell r="B61">
            <v>0</v>
          </cell>
          <cell r="C61">
            <v>0</v>
          </cell>
          <cell r="D61">
            <v>57.839999880790749</v>
          </cell>
          <cell r="E61">
            <v>0</v>
          </cell>
          <cell r="F61">
            <v>0.04</v>
          </cell>
          <cell r="G61">
            <v>1.3900000000000001</v>
          </cell>
          <cell r="H61">
            <v>17.2480000076294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9.5040000133514422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</row>
        <row r="62">
          <cell r="A62" t="str">
            <v>West Scotland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0.02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</row>
        <row r="63">
          <cell r="A63" t="str">
            <v>Orkney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0.15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</row>
        <row r="64">
          <cell r="A64" t="str">
            <v>Northern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0.03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</row>
        <row r="65">
          <cell r="A65" t="str">
            <v>Klondyke</v>
          </cell>
          <cell r="B65">
            <v>6570.21</v>
          </cell>
          <cell r="C65">
            <v>70.73</v>
          </cell>
          <cell r="D65">
            <v>9588.380000000001</v>
          </cell>
          <cell r="E65">
            <v>0</v>
          </cell>
          <cell r="F65">
            <v>678.37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434.93999999999994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10544.32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</row>
        <row r="66">
          <cell r="A66" t="str">
            <v>Lunar</v>
          </cell>
          <cell r="B66">
            <v>6398.9</v>
          </cell>
          <cell r="C66">
            <v>0</v>
          </cell>
          <cell r="D66">
            <v>11276.07</v>
          </cell>
          <cell r="E66">
            <v>0</v>
          </cell>
          <cell r="F66">
            <v>3305.9399999999996</v>
          </cell>
          <cell r="G66">
            <v>29.6</v>
          </cell>
          <cell r="H66">
            <v>0.21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1.22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24885.629999999997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</row>
        <row r="67">
          <cell r="A67" t="str">
            <v>Anglo Scot.</v>
          </cell>
          <cell r="B67">
            <v>0.15975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0.57999999999999996</v>
          </cell>
          <cell r="H67">
            <v>0.50049999859184036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</row>
        <row r="68">
          <cell r="A68" t="str">
            <v>EEFPO</v>
          </cell>
          <cell r="B68">
            <v>0.25</v>
          </cell>
          <cell r="C68">
            <v>0</v>
          </cell>
          <cell r="D68">
            <v>0</v>
          </cell>
          <cell r="E68">
            <v>0</v>
          </cell>
          <cell r="F68">
            <v>0.53</v>
          </cell>
          <cell r="G68">
            <v>0.79</v>
          </cell>
          <cell r="H68">
            <v>0.03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</row>
        <row r="69">
          <cell r="A69" t="str">
            <v>Western PO</v>
          </cell>
          <cell r="B69">
            <v>0</v>
          </cell>
          <cell r="C69">
            <v>0</v>
          </cell>
          <cell r="D69">
            <v>7.2607269845902933E-2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0">
          <cell r="A70" t="str">
            <v>FPO</v>
          </cell>
          <cell r="B70">
            <v>0</v>
          </cell>
          <cell r="C70">
            <v>0</v>
          </cell>
          <cell r="D70">
            <v>0.31825000026822092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0.06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</row>
        <row r="71">
          <cell r="A71" t="str">
            <v>NIFPO</v>
          </cell>
          <cell r="B71">
            <v>31.335000000000001</v>
          </cell>
          <cell r="C71">
            <v>0</v>
          </cell>
          <cell r="D71">
            <v>1370.7860000076294</v>
          </cell>
          <cell r="E71">
            <v>0</v>
          </cell>
          <cell r="F71">
            <v>329.69300000000004</v>
          </cell>
          <cell r="G71">
            <v>10.855999976992608</v>
          </cell>
          <cell r="H71">
            <v>0.97900000095367434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0.35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</row>
        <row r="72">
          <cell r="A72" t="str">
            <v>ANIFPO</v>
          </cell>
          <cell r="B72">
            <v>5601.8879999999999</v>
          </cell>
          <cell r="C72">
            <v>0</v>
          </cell>
          <cell r="D72">
            <v>6799.2010000039345</v>
          </cell>
          <cell r="E72">
            <v>0</v>
          </cell>
          <cell r="F72">
            <v>4158.7880000000005</v>
          </cell>
          <cell r="G72">
            <v>0</v>
          </cell>
          <cell r="H72">
            <v>0.01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180.3</v>
          </cell>
          <cell r="N72">
            <v>0</v>
          </cell>
          <cell r="O72">
            <v>1342.5859999999998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</row>
        <row r="73">
          <cell r="A73" t="str">
            <v>Cornish</v>
          </cell>
          <cell r="B73">
            <v>0</v>
          </cell>
          <cell r="C73">
            <v>0</v>
          </cell>
          <cell r="D73">
            <v>11.033241930477317</v>
          </cell>
          <cell r="E73">
            <v>4.4044999999999996</v>
          </cell>
          <cell r="F73">
            <v>1.1800000190734865</v>
          </cell>
          <cell r="G73">
            <v>8.1820000038146983</v>
          </cell>
          <cell r="H73">
            <v>2.1864999661445625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2.9660815974250432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</row>
        <row r="74">
          <cell r="A74" t="str">
            <v>South West</v>
          </cell>
          <cell r="B74">
            <v>0</v>
          </cell>
          <cell r="C74">
            <v>0</v>
          </cell>
          <cell r="D74">
            <v>2.7025510209128245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0.30259999994188541</v>
          </cell>
          <cell r="O74">
            <v>0.20329999899864198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</row>
        <row r="75">
          <cell r="A75" t="str">
            <v>North Sea</v>
          </cell>
          <cell r="B75">
            <v>5.8999999999999997E-2</v>
          </cell>
          <cell r="C75">
            <v>0</v>
          </cell>
          <cell r="D75">
            <v>19.031000035285945</v>
          </cell>
          <cell r="E75">
            <v>0</v>
          </cell>
          <cell r="F75">
            <v>0</v>
          </cell>
          <cell r="G75">
            <v>0</v>
          </cell>
          <cell r="H75">
            <v>4.4439999732971174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14.294000005722038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</row>
        <row r="76">
          <cell r="A76" t="str">
            <v>Lowestoft</v>
          </cell>
          <cell r="B76">
            <v>0</v>
          </cell>
          <cell r="C76">
            <v>0</v>
          </cell>
          <cell r="D76">
            <v>43.616000060081497</v>
          </cell>
          <cell r="E76">
            <v>0</v>
          </cell>
          <cell r="F76">
            <v>0</v>
          </cell>
          <cell r="G76">
            <v>0</v>
          </cell>
          <cell r="H76">
            <v>72.606000187173564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57.99705902087689</v>
          </cell>
          <cell r="O76">
            <v>7.1043000068664544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</row>
        <row r="77">
          <cell r="A77" t="str">
            <v>Wales WC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</row>
        <row r="78">
          <cell r="A78" t="str">
            <v>Interfish</v>
          </cell>
          <cell r="B78">
            <v>7754.0200000000013</v>
          </cell>
          <cell r="C78">
            <v>27.2</v>
          </cell>
          <cell r="D78">
            <v>7349.4158000036032</v>
          </cell>
          <cell r="E78">
            <v>0</v>
          </cell>
          <cell r="F78">
            <v>2243.5299999999997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6821.0199999999995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</row>
        <row r="79">
          <cell r="A79" t="str">
            <v>North Atlantic FPO</v>
          </cell>
          <cell r="B79">
            <v>9011.4820087715416</v>
          </cell>
          <cell r="C79">
            <v>4.5430000076293942</v>
          </cell>
          <cell r="D79">
            <v>12144.334996567812</v>
          </cell>
          <cell r="E79">
            <v>0</v>
          </cell>
          <cell r="F79">
            <v>251.75700170898438</v>
          </cell>
          <cell r="G79">
            <v>215.74050032138831</v>
          </cell>
          <cell r="H79">
            <v>154.71700062984229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3875.1758943758582</v>
          </cell>
          <cell r="O79">
            <v>3.5120000000000049</v>
          </cell>
          <cell r="P79">
            <v>0</v>
          </cell>
          <cell r="Q79">
            <v>0</v>
          </cell>
          <cell r="R79">
            <v>0</v>
          </cell>
          <cell r="S79">
            <v>9.8252998046875</v>
          </cell>
          <cell r="T79">
            <v>7202.1500341720584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</row>
        <row r="80">
          <cell r="A80" t="str">
            <v>Non Sector - England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</row>
        <row r="81">
          <cell r="A81" t="str">
            <v>Non Sector - Wales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</row>
        <row r="82">
          <cell r="A82" t="str">
            <v>Non Sector - Scotland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0.1</v>
          </cell>
          <cell r="G82">
            <v>0.18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3">
          <cell r="A83" t="str">
            <v>Non Sector - N.Ireland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</row>
        <row r="84">
          <cell r="A84" t="str">
            <v>Isle of Man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</row>
        <row r="85">
          <cell r="A85" t="str">
            <v>Under 10m - England</v>
          </cell>
          <cell r="B85">
            <v>3.3722499999999993</v>
          </cell>
          <cell r="C85">
            <v>0</v>
          </cell>
          <cell r="D85">
            <v>51.196377097859838</v>
          </cell>
          <cell r="E85">
            <v>237.29265201821934</v>
          </cell>
          <cell r="F85">
            <v>0</v>
          </cell>
          <cell r="G85">
            <v>0</v>
          </cell>
          <cell r="H85">
            <v>4.9785700007527964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0.86950000108033354</v>
          </cell>
          <cell r="O85">
            <v>1.7793300024121996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</row>
        <row r="86">
          <cell r="A86" t="str">
            <v>Under 10m - Wales</v>
          </cell>
          <cell r="B86">
            <v>0</v>
          </cell>
          <cell r="C86">
            <v>0</v>
          </cell>
          <cell r="D86">
            <v>0.58765999993681939</v>
          </cell>
          <cell r="E86">
            <v>9.4199999809265134E-2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</row>
        <row r="87">
          <cell r="A87" t="str">
            <v>Under 10m - Scotland</v>
          </cell>
          <cell r="B87">
            <v>0.1</v>
          </cell>
          <cell r="C87">
            <v>0</v>
          </cell>
          <cell r="D87">
            <v>12.829999999999998</v>
          </cell>
          <cell r="E87">
            <v>0</v>
          </cell>
          <cell r="F87">
            <v>0</v>
          </cell>
          <cell r="G87">
            <v>930.47999999999922</v>
          </cell>
          <cell r="H87">
            <v>58.279999999999987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0.06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</row>
        <row r="88">
          <cell r="A88" t="str">
            <v>Under 10m - N.Ireland</v>
          </cell>
          <cell r="B88">
            <v>0</v>
          </cell>
          <cell r="C88">
            <v>0</v>
          </cell>
          <cell r="D88">
            <v>0.126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</row>
        <row r="89">
          <cell r="A89" t="str">
            <v>Handliners(VIIe-h)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</row>
        <row r="91">
          <cell r="A91" t="str">
            <v>Total</v>
          </cell>
          <cell r="B91">
            <v>64647.406008771541</v>
          </cell>
          <cell r="C91">
            <v>794.00300000762945</v>
          </cell>
          <cell r="D91">
            <v>83639.241483878432</v>
          </cell>
          <cell r="E91">
            <v>241.79135201802862</v>
          </cell>
          <cell r="F91">
            <v>25930.818001728061</v>
          </cell>
          <cell r="G91">
            <v>1244.8485003021949</v>
          </cell>
          <cell r="H91">
            <v>327.66657076438526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180.3</v>
          </cell>
          <cell r="N91">
            <v>3958.2630534168306</v>
          </cell>
          <cell r="O91">
            <v>1821.401011605702</v>
          </cell>
          <cell r="P91">
            <v>0</v>
          </cell>
          <cell r="Q91">
            <v>0</v>
          </cell>
          <cell r="R91">
            <v>0</v>
          </cell>
          <cell r="S91">
            <v>9.8252998046875</v>
          </cell>
          <cell r="T91">
            <v>72103.040034172052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</row>
      </sheetData>
      <sheetData sheetId="7">
        <row r="2">
          <cell r="B2">
            <v>44489</v>
          </cell>
        </row>
      </sheetData>
      <sheetData sheetId="8">
        <row r="18">
          <cell r="P18">
            <v>0</v>
          </cell>
          <cell r="S18" t="e">
            <v>#DIV/0!</v>
          </cell>
        </row>
        <row r="24">
          <cell r="P24">
            <v>0</v>
          </cell>
          <cell r="S24" t="e">
            <v>#DIV/0!</v>
          </cell>
        </row>
      </sheetData>
      <sheetData sheetId="9"/>
      <sheetData sheetId="10"/>
      <sheetData sheetId="11">
        <row r="147">
          <cell r="C147">
            <v>300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 - IV&amp;VI"/>
      <sheetName val="D1 - DSS"/>
      <sheetName val="D1 - Maj pel"/>
      <sheetName val="D1 - VII"/>
      <sheetName val="D1 - Min pel"/>
      <sheetName val="Final alloc from Guy"/>
      <sheetName val="Master"/>
      <sheetName val="Windfall banking"/>
      <sheetName val="IV&amp;VI Combined"/>
      <sheetName val="Special condition stocks"/>
      <sheetName val="raw allocs"/>
      <sheetName val="Maj Pel Combined"/>
      <sheetName val="DSS Combined"/>
      <sheetName val="Faroes Combined"/>
      <sheetName val="Unallocated swaps"/>
      <sheetName val="Final reallocation 11 Dec"/>
      <sheetName val="Reallocated FDF"/>
      <sheetName val="Retained Mackerel allocated29_8"/>
      <sheetName val="Sheet2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4.8170000000000002</v>
          </cell>
        </row>
        <row r="29">
          <cell r="B29">
            <v>0</v>
          </cell>
          <cell r="C29"/>
          <cell r="D29">
            <v>352.197</v>
          </cell>
          <cell r="E29">
            <v>352.197</v>
          </cell>
          <cell r="F29">
            <v>3.669</v>
          </cell>
          <cell r="G29">
            <v>3.669</v>
          </cell>
          <cell r="I29">
            <v>356.81299999999999</v>
          </cell>
          <cell r="J29">
            <v>0.4</v>
          </cell>
          <cell r="K29">
            <v>0</v>
          </cell>
          <cell r="O29"/>
        </row>
        <row r="30">
          <cell r="B30">
            <v>0</v>
          </cell>
          <cell r="C30"/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O30"/>
        </row>
        <row r="31">
          <cell r="B31">
            <v>0</v>
          </cell>
          <cell r="C31"/>
          <cell r="D31">
            <v>100</v>
          </cell>
          <cell r="E31">
            <v>100</v>
          </cell>
          <cell r="F31">
            <v>100.04300000000001</v>
          </cell>
          <cell r="G31">
            <v>100.04300000000001</v>
          </cell>
          <cell r="I31">
            <v>0</v>
          </cell>
          <cell r="J31">
            <v>0</v>
          </cell>
          <cell r="K31">
            <v>0</v>
          </cell>
          <cell r="O31"/>
        </row>
        <row r="32">
          <cell r="B32">
            <v>0</v>
          </cell>
          <cell r="C32"/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O32"/>
        </row>
        <row r="36">
          <cell r="B36">
            <v>1312.3810000000001</v>
          </cell>
          <cell r="C36"/>
          <cell r="D36">
            <v>1069.7850000000001</v>
          </cell>
          <cell r="E36">
            <v>1069.7850000000001</v>
          </cell>
          <cell r="F36">
            <v>10.595000000000001</v>
          </cell>
          <cell r="G36">
            <v>10.595000000000001</v>
          </cell>
          <cell r="I36">
            <v>1027.2850000000001</v>
          </cell>
          <cell r="J36">
            <v>0.93899999999999995</v>
          </cell>
          <cell r="K36">
            <v>0</v>
          </cell>
          <cell r="O36"/>
        </row>
        <row r="37">
          <cell r="B37">
            <v>0</v>
          </cell>
          <cell r="C37"/>
          <cell r="D37">
            <v>48.677</v>
          </cell>
          <cell r="E37">
            <v>48.677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O37"/>
        </row>
        <row r="38">
          <cell r="B38">
            <v>0</v>
          </cell>
          <cell r="C38"/>
          <cell r="D38">
            <v>324.39999999999998</v>
          </cell>
          <cell r="E38">
            <v>324.39999999999998</v>
          </cell>
          <cell r="F38">
            <v>1064.0540000000001</v>
          </cell>
          <cell r="G38">
            <v>1064.0540000000001</v>
          </cell>
          <cell r="I38">
            <v>0</v>
          </cell>
          <cell r="J38">
            <v>0</v>
          </cell>
          <cell r="K38">
            <v>0</v>
          </cell>
          <cell r="O38"/>
        </row>
        <row r="39">
          <cell r="B39">
            <v>0</v>
          </cell>
          <cell r="C39"/>
          <cell r="D39">
            <v>17.600000000000001</v>
          </cell>
          <cell r="E39">
            <v>17.600000000000001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O39"/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40625" defaultRowHeight="12" x14ac:dyDescent="0.2"/>
  <cols>
    <col min="1" max="1" width="2.7109375" style="77" customWidth="1"/>
    <col min="2" max="2" width="26" style="77" customWidth="1"/>
    <col min="3" max="4" width="6.7109375" style="76" customWidth="1"/>
    <col min="5" max="5" width="6.7109375" style="77" customWidth="1"/>
    <col min="6" max="7" width="6.7109375" style="76" customWidth="1"/>
    <col min="8" max="8" width="6.7109375" style="77" customWidth="1"/>
    <col min="9" max="10" width="6.7109375" style="76" customWidth="1"/>
    <col min="11" max="11" width="6.7109375" style="77" customWidth="1"/>
    <col min="12" max="12" width="1.7109375" style="77" customWidth="1"/>
    <col min="13" max="14" width="6.7109375" style="76" customWidth="1"/>
    <col min="15" max="16" width="6.7109375" style="77" customWidth="1"/>
    <col min="17" max="17" width="6.7109375" style="76" customWidth="1"/>
    <col min="18" max="18" width="6.7109375" style="77" customWidth="1"/>
    <col min="19" max="19" width="6.7109375" style="81" customWidth="1"/>
    <col min="20" max="20" width="6.7109375" style="77" customWidth="1"/>
    <col min="21" max="21" width="1.7109375" style="77" customWidth="1"/>
    <col min="22" max="23" width="2.7109375" style="77" customWidth="1"/>
    <col min="24" max="24" width="7.7109375" style="77" hidden="1" customWidth="1"/>
    <col min="25" max="25" width="9.140625" style="77" customWidth="1"/>
    <col min="26" max="16384" width="9.140625" style="77"/>
  </cols>
  <sheetData>
    <row r="1" spans="2:25" x14ac:dyDescent="0.2">
      <c r="B1" s="75" t="s">
        <v>153</v>
      </c>
      <c r="I1" s="78"/>
      <c r="J1" s="79" t="s">
        <v>0</v>
      </c>
      <c r="M1" s="80"/>
    </row>
    <row r="2" spans="2:25" x14ac:dyDescent="0.2">
      <c r="B2" s="1">
        <v>44489</v>
      </c>
      <c r="I2" s="82"/>
      <c r="M2" s="77"/>
      <c r="N2" s="79" t="s">
        <v>166</v>
      </c>
    </row>
    <row r="3" spans="2:25" x14ac:dyDescent="0.2">
      <c r="B3" s="83"/>
    </row>
    <row r="4" spans="2:25" ht="11.85" customHeight="1" x14ac:dyDescent="0.2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">
      <c r="B9" s="175" t="s">
        <v>17</v>
      </c>
      <c r="C9" s="129">
        <v>26723.33</v>
      </c>
      <c r="D9" s="130">
        <v>31885.830000000005</v>
      </c>
      <c r="E9" s="131">
        <v>19.318325972100045</v>
      </c>
      <c r="F9" s="132">
        <v>2933.7032500005512</v>
      </c>
      <c r="G9" s="130">
        <v>548.423</v>
      </c>
      <c r="H9" s="131">
        <v>-81.306118810759159</v>
      </c>
      <c r="I9" s="132">
        <v>33859.881897233252</v>
      </c>
      <c r="J9" s="130">
        <v>32213.153008771544</v>
      </c>
      <c r="K9" s="131">
        <v>-4.8633627649961335</v>
      </c>
      <c r="L9" s="132"/>
      <c r="M9" s="129">
        <v>63516.915147233805</v>
      </c>
      <c r="N9" s="132">
        <v>64647.406008771541</v>
      </c>
      <c r="O9" s="131">
        <v>1.7798264586956547</v>
      </c>
      <c r="P9" s="130">
        <v>63389.054999999993</v>
      </c>
      <c r="Q9" s="130">
        <v>165.13399999999092</v>
      </c>
      <c r="R9" s="131">
        <v>0.26050869507360686</v>
      </c>
      <c r="S9" s="131">
        <v>89.826836147488649</v>
      </c>
      <c r="T9" s="176">
        <v>101.98512347087608</v>
      </c>
      <c r="U9" s="100"/>
      <c r="V9" s="83"/>
      <c r="X9" s="133">
        <v>70710.399999999994</v>
      </c>
      <c r="Y9" s="76"/>
    </row>
    <row r="10" spans="2:25" ht="11.85" customHeight="1" x14ac:dyDescent="0.2">
      <c r="B10" s="175" t="s">
        <v>18</v>
      </c>
      <c r="C10" s="129">
        <v>0.02</v>
      </c>
      <c r="D10" s="130">
        <v>98.050000000000011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695.95300000762938</v>
      </c>
      <c r="K10" s="131" t="s">
        <v>64</v>
      </c>
      <c r="L10" s="132"/>
      <c r="M10" s="129">
        <v>5.97</v>
      </c>
      <c r="N10" s="132">
        <v>794.00300000762934</v>
      </c>
      <c r="O10" s="131" t="s">
        <v>64</v>
      </c>
      <c r="P10" s="130">
        <v>2472.8000000000002</v>
      </c>
      <c r="Q10" s="130">
        <v>0</v>
      </c>
      <c r="R10" s="131">
        <v>0</v>
      </c>
      <c r="S10" s="131">
        <v>0.14711318104531679</v>
      </c>
      <c r="T10" s="176">
        <v>32.109471045277793</v>
      </c>
      <c r="U10" s="100"/>
      <c r="V10" s="83"/>
      <c r="X10" s="133">
        <v>4058.1</v>
      </c>
    </row>
    <row r="11" spans="2:25" ht="11.85" customHeight="1" x14ac:dyDescent="0.2">
      <c r="B11" s="177" t="s">
        <v>19</v>
      </c>
      <c r="C11" s="132">
        <v>44210.719999999994</v>
      </c>
      <c r="D11" s="130">
        <v>41392.35</v>
      </c>
      <c r="E11" s="131">
        <v>-6.3748565958663326</v>
      </c>
      <c r="F11" s="132">
        <v>4850.6658287587697</v>
      </c>
      <c r="G11" s="130">
        <v>3825.5035646027445</v>
      </c>
      <c r="H11" s="131">
        <v>-21.134464841465952</v>
      </c>
      <c r="I11" s="132">
        <v>74173.620379930682</v>
      </c>
      <c r="J11" s="130">
        <v>64593.997273021778</v>
      </c>
      <c r="K11" s="131">
        <v>-12.915134865792371</v>
      </c>
      <c r="L11" s="132"/>
      <c r="M11" s="129">
        <v>123235.00620868945</v>
      </c>
      <c r="N11" s="132">
        <v>109403.85083762452</v>
      </c>
      <c r="O11" s="131">
        <v>-11.223398120857709</v>
      </c>
      <c r="P11" s="130">
        <v>215470.44299999997</v>
      </c>
      <c r="Q11" s="130">
        <v>3700.4210790041689</v>
      </c>
      <c r="R11" s="131">
        <v>1.717368297703908</v>
      </c>
      <c r="S11" s="131">
        <v>62.895091089648758</v>
      </c>
      <c r="T11" s="176">
        <v>50.774412171986171</v>
      </c>
      <c r="U11" s="100"/>
      <c r="V11" s="83"/>
      <c r="X11" s="133">
        <v>195937.4</v>
      </c>
    </row>
    <row r="12" spans="2:25" ht="11.25" customHeight="1" x14ac:dyDescent="0.2">
      <c r="B12" s="175" t="s">
        <v>20</v>
      </c>
      <c r="C12" s="129">
        <v>17110.550000000003</v>
      </c>
      <c r="D12" s="130">
        <v>7733.5299999999988</v>
      </c>
      <c r="E12" s="131">
        <v>-54.802563330810536</v>
      </c>
      <c r="F12" s="132">
        <v>2868.8670387864108</v>
      </c>
      <c r="G12" s="130">
        <v>583.22900001907351</v>
      </c>
      <c r="H12" s="131">
        <v>-79.670406744754843</v>
      </c>
      <c r="I12" s="132">
        <v>30840.002492625357</v>
      </c>
      <c r="J12" s="130">
        <v>17614.059001708985</v>
      </c>
      <c r="K12" s="131">
        <v>-42.885675816916802</v>
      </c>
      <c r="L12" s="132"/>
      <c r="M12" s="129">
        <v>50819.419531411768</v>
      </c>
      <c r="N12" s="132">
        <v>26530.818001728061</v>
      </c>
      <c r="O12" s="131">
        <v>-47.793937344504272</v>
      </c>
      <c r="P12" s="130">
        <v>214358.04300000003</v>
      </c>
      <c r="Q12" s="130">
        <v>3551.208000000006</v>
      </c>
      <c r="R12" s="131">
        <v>1.6566712171373972</v>
      </c>
      <c r="S12" s="131">
        <v>37.180307184698513</v>
      </c>
      <c r="T12" s="176">
        <v>12.37687078610251</v>
      </c>
      <c r="U12" s="100"/>
      <c r="V12" s="83"/>
      <c r="X12" s="133">
        <v>136683.70000000001</v>
      </c>
    </row>
    <row r="13" spans="2:25" ht="11.85" customHeight="1" x14ac:dyDescent="0.2">
      <c r="B13" s="175" t="s">
        <v>21</v>
      </c>
      <c r="C13" s="129">
        <v>1111.6799999999998</v>
      </c>
      <c r="D13" s="130">
        <v>1066.8100000000004</v>
      </c>
      <c r="E13" s="131">
        <v>-4.0362334484743307</v>
      </c>
      <c r="F13" s="132">
        <v>26.248756430009379</v>
      </c>
      <c r="G13" s="130">
        <v>29.886569973953073</v>
      </c>
      <c r="H13" s="131">
        <v>13.858993867552122</v>
      </c>
      <c r="I13" s="132">
        <v>505.65390191721269</v>
      </c>
      <c r="J13" s="130">
        <v>475.81850109262768</v>
      </c>
      <c r="K13" s="131">
        <v>-5.9003600509088443</v>
      </c>
      <c r="L13" s="132"/>
      <c r="M13" s="129">
        <v>1643.5826583472217</v>
      </c>
      <c r="N13" s="132">
        <v>972.51507106658005</v>
      </c>
      <c r="O13" s="131">
        <v>-40.829561195021597</v>
      </c>
      <c r="P13" s="130">
        <v>1734.1480000000001</v>
      </c>
      <c r="Q13" s="130">
        <v>107.92150048936924</v>
      </c>
      <c r="R13" s="131">
        <v>6.2233154545845704</v>
      </c>
      <c r="S13" s="131">
        <v>19.225437575707353</v>
      </c>
      <c r="T13" s="176">
        <v>56.080280983317451</v>
      </c>
      <c r="U13" s="100"/>
      <c r="V13" s="83"/>
      <c r="X13" s="133">
        <v>8549</v>
      </c>
    </row>
    <row r="14" spans="2:25" ht="11.85" customHeight="1" x14ac:dyDescent="0.2">
      <c r="B14" s="175" t="s">
        <v>22</v>
      </c>
      <c r="C14" s="129">
        <v>37.299999999999997</v>
      </c>
      <c r="D14" s="130">
        <v>70.039999999999978</v>
      </c>
      <c r="E14" s="131">
        <v>87.774798927613901</v>
      </c>
      <c r="F14" s="132">
        <v>13.040870031232011</v>
      </c>
      <c r="G14" s="130">
        <v>10.158569993145766</v>
      </c>
      <c r="H14" s="131">
        <v>-22.102053246319674</v>
      </c>
      <c r="I14" s="132">
        <v>178.10500002706041</v>
      </c>
      <c r="J14" s="130">
        <v>247.46800077123933</v>
      </c>
      <c r="K14" s="131">
        <v>38.945004763280224</v>
      </c>
      <c r="L14" s="132"/>
      <c r="M14" s="129">
        <v>228.44587005829243</v>
      </c>
      <c r="N14" s="132">
        <v>327.66657076438509</v>
      </c>
      <c r="O14" s="131">
        <v>43.43291506244983</v>
      </c>
      <c r="P14" s="130">
        <v>1729.248</v>
      </c>
      <c r="Q14" s="130">
        <v>41.271500489369089</v>
      </c>
      <c r="R14" s="131">
        <v>2.3866733105586411</v>
      </c>
      <c r="S14" s="131">
        <v>47.170322126428331</v>
      </c>
      <c r="T14" s="176">
        <v>18.948500779783181</v>
      </c>
      <c r="U14" s="100"/>
      <c r="V14" s="83"/>
      <c r="X14" s="133">
        <v>484.3</v>
      </c>
    </row>
    <row r="15" spans="2:25" ht="11.85" customHeight="1" x14ac:dyDescent="0.2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180.3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180.3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76">
        <v>30.927463690677332</v>
      </c>
      <c r="U15" s="100"/>
      <c r="V15" s="83"/>
      <c r="X15" s="133">
        <v>641.29999999999995</v>
      </c>
    </row>
    <row r="16" spans="2:25" ht="11.85" customHeight="1" x14ac:dyDescent="0.2">
      <c r="B16" s="134" t="s">
        <v>24</v>
      </c>
      <c r="C16" s="129">
        <v>0</v>
      </c>
      <c r="D16" s="130">
        <v>0.06</v>
      </c>
      <c r="E16" s="131" t="s">
        <v>64</v>
      </c>
      <c r="F16" s="132">
        <v>9.9302899962365583</v>
      </c>
      <c r="G16" s="130">
        <v>2.3441999937742928</v>
      </c>
      <c r="H16" s="131">
        <v>-76.393438714652731</v>
      </c>
      <c r="I16" s="132">
        <v>142.68499985054137</v>
      </c>
      <c r="J16" s="130">
        <v>3955.858853423058</v>
      </c>
      <c r="K16" s="131" t="s">
        <v>64</v>
      </c>
      <c r="L16" s="132"/>
      <c r="M16" s="129">
        <v>152.61528984677793</v>
      </c>
      <c r="N16" s="132">
        <v>3958.2630534168306</v>
      </c>
      <c r="O16" s="131" t="s">
        <v>64</v>
      </c>
      <c r="P16" s="130">
        <v>5166.3689999999997</v>
      </c>
      <c r="Q16" s="130">
        <v>2457.6034000038189</v>
      </c>
      <c r="R16" s="131">
        <v>47.56925802248773</v>
      </c>
      <c r="S16" s="131">
        <v>2.6702468741781491</v>
      </c>
      <c r="T16" s="176">
        <v>76.615957037076342</v>
      </c>
      <c r="U16" s="100"/>
      <c r="V16" s="83"/>
      <c r="X16" s="133">
        <v>5715.4</v>
      </c>
    </row>
    <row r="17" spans="1:25" ht="11.85" customHeight="1" x14ac:dyDescent="0.2">
      <c r="B17" s="134" t="s">
        <v>25</v>
      </c>
      <c r="C17" s="129">
        <v>311.40999999999991</v>
      </c>
      <c r="D17" s="130">
        <v>451.63</v>
      </c>
      <c r="E17" s="131">
        <v>45.02745576571084</v>
      </c>
      <c r="F17" s="132">
        <v>16.036930003896355</v>
      </c>
      <c r="G17" s="130">
        <v>1080.1730115866289</v>
      </c>
      <c r="H17" s="131" t="s">
        <v>64</v>
      </c>
      <c r="I17" s="132">
        <v>1975.0780088195793</v>
      </c>
      <c r="J17" s="130">
        <v>289.59800001907348</v>
      </c>
      <c r="K17" s="131">
        <v>-85.33738927141647</v>
      </c>
      <c r="L17" s="132"/>
      <c r="M17" s="129">
        <v>2302.5249388234756</v>
      </c>
      <c r="N17" s="132">
        <v>1821.401011605702</v>
      </c>
      <c r="O17" s="131">
        <v>-20.895492557123578</v>
      </c>
      <c r="P17" s="130">
        <v>7438.1159999999982</v>
      </c>
      <c r="Q17" s="130">
        <v>0.37540000035619414</v>
      </c>
      <c r="R17" s="131">
        <v>5.0469769543281424E-3</v>
      </c>
      <c r="S17" s="131">
        <v>28.506474258697018</v>
      </c>
      <c r="T17" s="176">
        <v>24.487397233462108</v>
      </c>
      <c r="U17" s="100"/>
      <c r="V17" s="83"/>
      <c r="X17" s="133">
        <v>8077.2</v>
      </c>
    </row>
    <row r="18" spans="1:25" ht="11.85" hidden="1" customHeight="1" x14ac:dyDescent="0.2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85.896999744415325</v>
      </c>
      <c r="J21" s="130">
        <v>9.8252998046875</v>
      </c>
      <c r="K21" s="131">
        <v>-88.561533192169136</v>
      </c>
      <c r="L21" s="132"/>
      <c r="M21" s="129">
        <v>85.896999744415325</v>
      </c>
      <c r="N21" s="132">
        <v>9.8252998046875</v>
      </c>
      <c r="O21" s="131">
        <v>-88.561533192169136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2.0053999882936502</v>
      </c>
      <c r="J22" s="130">
        <v>0</v>
      </c>
      <c r="K22" s="131" t="s">
        <v>64</v>
      </c>
      <c r="L22" s="132"/>
      <c r="M22" s="129">
        <v>2.0053999882936502</v>
      </c>
      <c r="N22" s="132">
        <v>0</v>
      </c>
      <c r="O22" s="131" t="s">
        <v>64</v>
      </c>
      <c r="P22" s="130">
        <v>7682.96</v>
      </c>
      <c r="Q22" s="130">
        <v>0</v>
      </c>
      <c r="R22" s="131">
        <v>0</v>
      </c>
      <c r="S22" s="131">
        <v>4.9378277603074144E-2</v>
      </c>
      <c r="T22" s="176">
        <v>0</v>
      </c>
      <c r="U22" s="100"/>
      <c r="V22" s="83"/>
      <c r="X22" s="133">
        <v>4061.3</v>
      </c>
    </row>
    <row r="23" spans="1:25" ht="11.25" customHeight="1" x14ac:dyDescent="0.2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1E-3</v>
      </c>
      <c r="G23" s="130">
        <v>0</v>
      </c>
      <c r="H23" s="131" t="s">
        <v>64</v>
      </c>
      <c r="I23" s="132">
        <v>38673.943699611664</v>
      </c>
      <c r="J23" s="130">
        <v>50754.090034172063</v>
      </c>
      <c r="K23" s="131">
        <v>31.235879196570533</v>
      </c>
      <c r="L23" s="132"/>
      <c r="M23" s="129">
        <v>51560.454699611662</v>
      </c>
      <c r="N23" s="132">
        <v>72103.040034172067</v>
      </c>
      <c r="O23" s="131">
        <v>39.841745877223858</v>
      </c>
      <c r="P23" s="130">
        <v>72430.444000000003</v>
      </c>
      <c r="Q23" s="130">
        <v>0</v>
      </c>
      <c r="R23" s="131">
        <v>0</v>
      </c>
      <c r="S23" s="131">
        <v>123.14973619440974</v>
      </c>
      <c r="T23" s="176">
        <v>99.54797465299545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">
      <c r="B24" s="177" t="s">
        <v>32</v>
      </c>
      <c r="C24" s="132">
        <v>12886.51</v>
      </c>
      <c r="D24" s="130">
        <v>21348.949999999997</v>
      </c>
      <c r="E24" s="131">
        <v>65.668982525136727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21348.949999999997</v>
      </c>
      <c r="O24" s="131">
        <v>65.668982525136727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">
      <c r="B27" s="181"/>
      <c r="K27" s="76"/>
      <c r="V27" s="83"/>
      <c r="W27" s="83"/>
    </row>
    <row r="28" spans="1:25" ht="11.85" customHeight="1" x14ac:dyDescent="0.2">
      <c r="B28" s="149" t="s">
        <v>154</v>
      </c>
    </row>
    <row r="29" spans="1:25" ht="11.85" customHeight="1" x14ac:dyDescent="0.2">
      <c r="B29" s="149" t="s">
        <v>35</v>
      </c>
      <c r="S29" s="77"/>
    </row>
    <row r="30" spans="1:25" ht="11.85" customHeight="1" x14ac:dyDescent="0.2">
      <c r="B30" s="149" t="s">
        <v>155</v>
      </c>
      <c r="S30" s="77"/>
    </row>
    <row r="31" spans="1:25" ht="11.85" customHeight="1" x14ac:dyDescent="0.2">
      <c r="B31" s="77" t="s">
        <v>36</v>
      </c>
      <c r="Q31" s="77"/>
      <c r="S31" s="77"/>
    </row>
    <row r="32" spans="1:25" ht="11.85" customHeight="1" x14ac:dyDescent="0.2">
      <c r="B32" s="77" t="s">
        <v>37</v>
      </c>
    </row>
    <row r="33" spans="2:29" x14ac:dyDescent="0.2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">
      <c r="D34" s="77"/>
      <c r="M34" s="77"/>
      <c r="Z34" s="76"/>
      <c r="AA34" s="76"/>
      <c r="AB34" s="76"/>
      <c r="AC34" s="76"/>
    </row>
    <row r="35" spans="2:29" x14ac:dyDescent="0.2">
      <c r="D35" s="77"/>
      <c r="M35" s="77"/>
    </row>
    <row r="36" spans="2:29" x14ac:dyDescent="0.2">
      <c r="D36" s="77"/>
      <c r="M36" s="77"/>
    </row>
    <row r="37" spans="2:29" x14ac:dyDescent="0.2">
      <c r="D37" s="77"/>
      <c r="M37" s="77"/>
    </row>
    <row r="38" spans="2:29" x14ac:dyDescent="0.2">
      <c r="D38" s="77"/>
      <c r="M38" s="77"/>
    </row>
    <row r="39" spans="2:29" x14ac:dyDescent="0.2">
      <c r="D39" s="77"/>
      <c r="M39" s="77"/>
    </row>
    <row r="40" spans="2:29" x14ac:dyDescent="0.2">
      <c r="D40" s="77"/>
      <c r="M40" s="77"/>
    </row>
    <row r="41" spans="2:29" x14ac:dyDescent="0.2">
      <c r="D41" s="77"/>
      <c r="M41" s="77"/>
    </row>
    <row r="42" spans="2:29" x14ac:dyDescent="0.2">
      <c r="D42" s="77"/>
      <c r="M42" s="77"/>
    </row>
    <row r="43" spans="2:29" x14ac:dyDescent="0.2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">
      <c r="D44" s="77"/>
      <c r="M44" s="77"/>
      <c r="Z44" s="76"/>
      <c r="AA44" s="76"/>
    </row>
    <row r="45" spans="2:29" x14ac:dyDescent="0.2">
      <c r="D45" s="77"/>
      <c r="M45" s="77"/>
    </row>
    <row r="46" spans="2:29" x14ac:dyDescent="0.2">
      <c r="D46" s="77"/>
    </row>
    <row r="47" spans="2:29" x14ac:dyDescent="0.2">
      <c r="D47" s="77"/>
    </row>
    <row r="48" spans="2:29" x14ac:dyDescent="0.2">
      <c r="D48" s="77"/>
    </row>
    <row r="49" s="77" customFormat="1" x14ac:dyDescent="0.2"/>
    <row r="50" s="77" customFormat="1" x14ac:dyDescent="0.2"/>
    <row r="51" s="77" customFormat="1" x14ac:dyDescent="0.2"/>
    <row r="52" s="77" customFormat="1" x14ac:dyDescent="0.2"/>
    <row r="53" s="77" customFormat="1" x14ac:dyDescent="0.2"/>
    <row r="54" s="77" customFormat="1" x14ac:dyDescent="0.2"/>
    <row r="55" s="77" customFormat="1" x14ac:dyDescent="0.2"/>
    <row r="56" s="77" customFormat="1" x14ac:dyDescent="0.2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workbookViewId="0"/>
  </sheetViews>
  <sheetFormatPr defaultColWidth="10.28515625" defaultRowHeight="10.7" customHeight="1" x14ac:dyDescent="0.2"/>
  <cols>
    <col min="1" max="1" width="1.7109375" style="168" customWidth="1"/>
    <col min="2" max="2" width="15.140625" style="2" customWidth="1"/>
    <col min="3" max="3" width="7.42578125" style="4" bestFit="1" customWidth="1"/>
    <col min="4" max="4" width="7.140625" style="4" customWidth="1"/>
    <col min="5" max="5" width="7.7109375" style="4" customWidth="1"/>
    <col min="6" max="6" width="8.42578125" style="6" customWidth="1"/>
    <col min="7" max="7" width="7.42578125" style="4" bestFit="1" customWidth="1"/>
    <col min="8" max="8" width="7.5703125" style="10" customWidth="1"/>
    <col min="9" max="9" width="7.7109375" style="6" bestFit="1" customWidth="1"/>
    <col min="10" max="10" width="6.85546875" style="4" customWidth="1"/>
    <col min="11" max="12" width="6.5703125" style="4" bestFit="1" customWidth="1"/>
    <col min="13" max="13" width="7.7109375" style="4" bestFit="1" customWidth="1"/>
    <col min="14" max="14" width="6.5703125" style="11" customWidth="1"/>
    <col min="15" max="15" width="8.28515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7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44489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44468</v>
      </c>
      <c r="K7" s="33">
        <v>44475</v>
      </c>
      <c r="L7" s="33">
        <v>44482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A9" s="168"/>
      <c r="B9" s="40"/>
      <c r="C9" s="233" t="s">
        <v>136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7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2763.1999999999989</v>
      </c>
      <c r="F10" s="153">
        <v>18584.099999999999</v>
      </c>
      <c r="G10" s="154">
        <v>18731.63</v>
      </c>
      <c r="H10" s="183">
        <v>100.79385065728231</v>
      </c>
      <c r="I10" s="153">
        <v>-147.53000000000247</v>
      </c>
      <c r="J10" s="154">
        <v>4891.9800000000032</v>
      </c>
      <c r="K10" s="154">
        <v>230.02000000000044</v>
      </c>
      <c r="L10" s="154">
        <v>0</v>
      </c>
      <c r="M10" s="154">
        <v>2.0000000000436557E-2</v>
      </c>
      <c r="N10" s="46">
        <v>1.2641505856453525E-4</v>
      </c>
      <c r="O10" s="154">
        <v>1280.505000000001</v>
      </c>
      <c r="P10" s="41">
        <v>0</v>
      </c>
    </row>
    <row r="11" spans="1:17" s="2" customFormat="1" ht="10.7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3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7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3">
        <v>60</v>
      </c>
      <c r="I12" s="153">
        <v>8.0000000000000016E-2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7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10543.81</v>
      </c>
      <c r="H13" s="183">
        <v>100.58104150569022</v>
      </c>
      <c r="I13" s="153">
        <v>-60.909999999999854</v>
      </c>
      <c r="J13" s="154">
        <v>1124.33</v>
      </c>
      <c r="K13" s="154">
        <v>0</v>
      </c>
      <c r="L13" s="154">
        <v>0</v>
      </c>
      <c r="M13" s="154">
        <v>0</v>
      </c>
      <c r="N13" s="46">
        <v>0</v>
      </c>
      <c r="O13" s="154">
        <v>281.08249999999998</v>
      </c>
      <c r="P13" s="41">
        <v>0</v>
      </c>
    </row>
    <row r="14" spans="1:17" s="2" customFormat="1" ht="10.7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7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3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7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7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7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6570.21</v>
      </c>
      <c r="H18" s="183">
        <v>103.32305901964176</v>
      </c>
      <c r="I18" s="153">
        <v>-211.3100000000004</v>
      </c>
      <c r="J18" s="154">
        <v>601.84000000000015</v>
      </c>
      <c r="K18" s="154">
        <v>0</v>
      </c>
      <c r="L18" s="154">
        <v>0</v>
      </c>
      <c r="M18" s="154">
        <v>0</v>
      </c>
      <c r="N18" s="46">
        <v>0</v>
      </c>
      <c r="O18" s="154">
        <v>150.46000000000004</v>
      </c>
      <c r="P18" s="41">
        <v>0</v>
      </c>
    </row>
    <row r="19" spans="1:16" s="2" customFormat="1" ht="10.7" customHeight="1" x14ac:dyDescent="0.2">
      <c r="A19" s="168"/>
      <c r="B19" s="40" t="s">
        <v>72</v>
      </c>
      <c r="C19" s="151">
        <v>5908.4</v>
      </c>
      <c r="D19" s="152">
        <v>0</v>
      </c>
      <c r="E19" s="152">
        <v>460.69999999999982</v>
      </c>
      <c r="F19" s="153">
        <v>6369.0999999999995</v>
      </c>
      <c r="G19" s="154">
        <v>6398.9</v>
      </c>
      <c r="H19" s="183">
        <v>100.46788400244934</v>
      </c>
      <c r="I19" s="153">
        <v>-29.800000000000182</v>
      </c>
      <c r="J19" s="154">
        <v>0</v>
      </c>
      <c r="K19" s="154">
        <v>0</v>
      </c>
      <c r="L19" s="154">
        <v>0</v>
      </c>
      <c r="M19" s="154">
        <v>16.860000000000582</v>
      </c>
      <c r="N19" s="46">
        <v>0.28535644167626739</v>
      </c>
      <c r="O19" s="154">
        <v>4.2150000000001455</v>
      </c>
      <c r="P19" s="41">
        <v>0</v>
      </c>
    </row>
    <row r="20" spans="1:16" s="2" customFormat="1" ht="10.7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3223.4999999999986</v>
      </c>
      <c r="F20" s="153">
        <v>41795.999999999993</v>
      </c>
      <c r="G20" s="154">
        <v>42244.74</v>
      </c>
      <c r="H20" s="183">
        <v>101.07364341085272</v>
      </c>
      <c r="I20" s="153">
        <v>-448.74000000000524</v>
      </c>
      <c r="J20" s="154">
        <v>6618.1500000000033</v>
      </c>
      <c r="K20" s="154">
        <v>230.02000000000044</v>
      </c>
      <c r="L20" s="154">
        <v>0</v>
      </c>
      <c r="M20" s="154">
        <v>16.880000000001019</v>
      </c>
      <c r="N20" s="46">
        <v>0.28548285673483192</v>
      </c>
      <c r="O20" s="154">
        <v>1716.2625000000012</v>
      </c>
      <c r="P20" s="41">
        <v>0</v>
      </c>
    </row>
    <row r="21" spans="1:16" s="2" customFormat="1" ht="10.7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0.15975</v>
      </c>
      <c r="H22" s="183">
        <v>3.316379489308698</v>
      </c>
      <c r="I22" s="153">
        <v>4.6572500000000003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7" customHeight="1" x14ac:dyDescent="0.2">
      <c r="A23" s="168"/>
      <c r="B23" s="40" t="s">
        <v>75</v>
      </c>
      <c r="C23" s="151">
        <v>91.85</v>
      </c>
      <c r="D23" s="152">
        <v>0</v>
      </c>
      <c r="E23" s="152">
        <v>-90.2</v>
      </c>
      <c r="F23" s="153">
        <v>1.6499999999999915</v>
      </c>
      <c r="G23" s="154">
        <v>0.25</v>
      </c>
      <c r="H23" s="183">
        <v>15.15151515151523</v>
      </c>
      <c r="I23" s="153">
        <v>1.3999999999999915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7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7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-300</v>
      </c>
      <c r="F26" s="153">
        <v>19.416999999999973</v>
      </c>
      <c r="G26" s="154">
        <v>31.335000000000001</v>
      </c>
      <c r="H26" s="183">
        <v>161.37920379049308</v>
      </c>
      <c r="I26" s="153">
        <v>-11.918000000000028</v>
      </c>
      <c r="J26" s="154">
        <v>0</v>
      </c>
      <c r="K26" s="154">
        <v>0</v>
      </c>
      <c r="L26" s="154">
        <v>0</v>
      </c>
      <c r="M26" s="154">
        <v>31.335000000000001</v>
      </c>
      <c r="N26" s="46">
        <v>9.8100602034331317</v>
      </c>
      <c r="O26" s="154">
        <v>7.8337500000000002</v>
      </c>
      <c r="P26" s="41">
        <v>0</v>
      </c>
    </row>
    <row r="27" spans="1:16" s="2" customFormat="1" ht="10.7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300</v>
      </c>
      <c r="F27" s="153">
        <v>5373.0829999999996</v>
      </c>
      <c r="G27" s="154">
        <v>5601.8879999999999</v>
      </c>
      <c r="H27" s="183">
        <v>104.25835595690594</v>
      </c>
      <c r="I27" s="153">
        <v>-228.80500000000029</v>
      </c>
      <c r="J27" s="154">
        <v>0</v>
      </c>
      <c r="K27" s="154">
        <v>0</v>
      </c>
      <c r="L27" s="154">
        <v>0</v>
      </c>
      <c r="M27" s="154">
        <v>116.81899999999951</v>
      </c>
      <c r="N27" s="46">
        <v>2.3027220331305345</v>
      </c>
      <c r="O27" s="154">
        <v>29.204749999999876</v>
      </c>
      <c r="P27" s="41">
        <v>0</v>
      </c>
    </row>
    <row r="28" spans="1:16" s="2" customFormat="1" ht="10.7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7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5.8999999999999997E-2</v>
      </c>
      <c r="H30" s="183">
        <v>18.322981366459626</v>
      </c>
      <c r="I30" s="153">
        <v>0.26300000000000001</v>
      </c>
      <c r="J30" s="154">
        <v>0</v>
      </c>
      <c r="K30" s="154">
        <v>0</v>
      </c>
      <c r="L30" s="154">
        <v>5.8999999999999997E-2</v>
      </c>
      <c r="M30" s="154">
        <v>0</v>
      </c>
      <c r="N30" s="46">
        <v>0</v>
      </c>
      <c r="O30" s="154">
        <v>1.4749999999999999E-2</v>
      </c>
      <c r="P30" s="41">
        <v>15.830508474576273</v>
      </c>
    </row>
    <row r="31" spans="1:16" s="2" customFormat="1" ht="10.7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7" customHeight="1" x14ac:dyDescent="0.2">
      <c r="A33" s="169"/>
      <c r="B33" s="40" t="s">
        <v>84</v>
      </c>
      <c r="C33" s="151">
        <v>6017.94</v>
      </c>
      <c r="D33" s="152">
        <v>0</v>
      </c>
      <c r="E33" s="152">
        <v>1390.9000000000005</v>
      </c>
      <c r="F33" s="153">
        <v>7408.84</v>
      </c>
      <c r="G33" s="154">
        <v>7754.0200000000013</v>
      </c>
      <c r="H33" s="183">
        <v>104.65902894380228</v>
      </c>
      <c r="I33" s="153">
        <v>-345.1800000000012</v>
      </c>
      <c r="J33" s="154">
        <v>2342.0500000000006</v>
      </c>
      <c r="K33" s="154">
        <v>1668.8900000000012</v>
      </c>
      <c r="L33" s="154">
        <v>0</v>
      </c>
      <c r="M33" s="154">
        <v>0</v>
      </c>
      <c r="N33" s="46">
        <v>0</v>
      </c>
      <c r="O33" s="154">
        <v>1002.7350000000005</v>
      </c>
      <c r="P33" s="41">
        <v>0</v>
      </c>
    </row>
    <row r="34" spans="1:18" ht="10.7" customHeight="1" x14ac:dyDescent="0.2">
      <c r="B34" s="40" t="s">
        <v>85</v>
      </c>
      <c r="C34" s="151">
        <v>8255.4339999999993</v>
      </c>
      <c r="D34" s="152">
        <v>115</v>
      </c>
      <c r="E34" s="152">
        <v>475</v>
      </c>
      <c r="F34" s="153">
        <v>8730.4339999999993</v>
      </c>
      <c r="G34" s="154">
        <v>9011.4820087715416</v>
      </c>
      <c r="H34" s="183">
        <v>103.21917568784716</v>
      </c>
      <c r="I34" s="153">
        <v>-281.0480087715423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>
        <v>0</v>
      </c>
    </row>
    <row r="35" spans="1:18" ht="10.7" customHeight="1" x14ac:dyDescent="0.2">
      <c r="B35" s="186" t="s">
        <v>86</v>
      </c>
      <c r="C35" s="151">
        <v>58335.974000000002</v>
      </c>
      <c r="D35" s="154">
        <v>115</v>
      </c>
      <c r="E35" s="154">
        <v>4999.1999999999989</v>
      </c>
      <c r="F35" s="153">
        <v>63335.173999999992</v>
      </c>
      <c r="G35" s="154">
        <v>64643.933758771542</v>
      </c>
      <c r="H35" s="183">
        <v>102.06640272081916</v>
      </c>
      <c r="I35" s="153">
        <v>-1308.75975877155</v>
      </c>
      <c r="J35" s="154">
        <v>8960.2000000000044</v>
      </c>
      <c r="K35" s="154">
        <v>1898.9100000000017</v>
      </c>
      <c r="L35" s="154">
        <v>5.8999999999999997E-2</v>
      </c>
      <c r="M35" s="154">
        <v>165.03400000000053</v>
      </c>
      <c r="N35" s="46">
        <v>0.28290262197387933</v>
      </c>
      <c r="O35" s="154">
        <v>2756.0507500000012</v>
      </c>
      <c r="P35" s="41">
        <v>0</v>
      </c>
    </row>
    <row r="36" spans="1:18" ht="10.7" customHeight="1" x14ac:dyDescent="0.2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7" customHeight="1" x14ac:dyDescent="0.2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7" customHeight="1" x14ac:dyDescent="0.2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7" customHeight="1" x14ac:dyDescent="0.2">
      <c r="B39" s="49" t="s">
        <v>89</v>
      </c>
      <c r="C39" s="151">
        <v>1312.3810000000001</v>
      </c>
      <c r="D39" s="152">
        <v>0</v>
      </c>
      <c r="E39" s="152">
        <v>-1258.5</v>
      </c>
      <c r="F39" s="153">
        <v>53.881000000000085</v>
      </c>
      <c r="G39" s="154">
        <v>3.4722499999999994</v>
      </c>
      <c r="H39" s="183">
        <v>6.4442939069430674</v>
      </c>
      <c r="I39" s="153">
        <v>50.408750000000083</v>
      </c>
      <c r="J39" s="154">
        <v>0</v>
      </c>
      <c r="K39" s="154">
        <v>9.8999999999999755E-2</v>
      </c>
      <c r="L39" s="154">
        <v>0</v>
      </c>
      <c r="M39" s="154">
        <v>0.1</v>
      </c>
      <c r="N39" s="46">
        <v>7.6197384753360492E-3</v>
      </c>
      <c r="O39" s="154">
        <v>4.974999999999994E-2</v>
      </c>
      <c r="P39" s="41" t="s">
        <v>150</v>
      </c>
    </row>
    <row r="40" spans="1:18" ht="10.7" customHeight="1" x14ac:dyDescent="0.2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7" customHeight="1" x14ac:dyDescent="0.2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7" customHeight="1" x14ac:dyDescent="0.2">
      <c r="B42" s="187" t="s">
        <v>91</v>
      </c>
      <c r="C42" s="224">
        <v>59648.355000000003</v>
      </c>
      <c r="D42" s="155">
        <v>115</v>
      </c>
      <c r="E42" s="155">
        <v>3740.6999999999989</v>
      </c>
      <c r="F42" s="156">
        <v>63389.054999999993</v>
      </c>
      <c r="G42" s="155">
        <v>64647.406008771541</v>
      </c>
      <c r="H42" s="188">
        <v>101.98512347087608</v>
      </c>
      <c r="I42" s="156">
        <v>-1258.3510087715476</v>
      </c>
      <c r="J42" s="155">
        <v>8960.1999999999971</v>
      </c>
      <c r="K42" s="155">
        <v>1899.0090000000127</v>
      </c>
      <c r="L42" s="155">
        <v>5.9000000001105946E-2</v>
      </c>
      <c r="M42" s="155">
        <v>165.13400000000053</v>
      </c>
      <c r="N42" s="58">
        <v>0.2768458576938132</v>
      </c>
      <c r="O42" s="155">
        <v>2756.1005000000027</v>
      </c>
      <c r="P42" s="54">
        <v>0</v>
      </c>
      <c r="R42" s="189"/>
    </row>
    <row r="43" spans="1:18" ht="10.7" customHeight="1" x14ac:dyDescent="0.2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" customHeight="1" x14ac:dyDescent="0.2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7" customHeight="1" x14ac:dyDescent="0.2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 x14ac:dyDescent="0.2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 x14ac:dyDescent="0.2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44468</v>
      </c>
      <c r="K47" s="33">
        <v>44475</v>
      </c>
      <c r="L47" s="33">
        <v>44482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 x14ac:dyDescent="0.2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 x14ac:dyDescent="0.2">
      <c r="A49" s="190"/>
      <c r="B49" s="40"/>
      <c r="C49" s="233" t="s">
        <v>137</v>
      </c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41" t="s">
        <v>4</v>
      </c>
    </row>
    <row r="50" spans="1:16" s="2" customFormat="1" ht="10.7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3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7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" customHeight="1" x14ac:dyDescent="0.2">
      <c r="A53" s="190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690.9</v>
      </c>
      <c r="H53" s="183">
        <v>101.60294117647059</v>
      </c>
      <c r="I53" s="153">
        <v>-10.899999999999977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>
        <v>0</v>
      </c>
    </row>
    <row r="54" spans="1:16" s="2" customFormat="1" ht="10.7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7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7" customHeight="1" x14ac:dyDescent="0.2">
      <c r="A58" s="190"/>
      <c r="B58" s="40" t="s">
        <v>71</v>
      </c>
      <c r="C58" s="151">
        <v>680</v>
      </c>
      <c r="D58" s="152">
        <v>0</v>
      </c>
      <c r="E58" s="152">
        <v>0</v>
      </c>
      <c r="F58" s="153">
        <v>680</v>
      </c>
      <c r="G58" s="154">
        <v>70.73</v>
      </c>
      <c r="H58" s="183">
        <v>10.401470588235295</v>
      </c>
      <c r="I58" s="153">
        <v>609.27</v>
      </c>
      <c r="J58" s="154">
        <v>70.73</v>
      </c>
      <c r="K58" s="154">
        <v>0</v>
      </c>
      <c r="L58" s="154">
        <v>0</v>
      </c>
      <c r="M58" s="154">
        <v>0</v>
      </c>
      <c r="N58" s="46">
        <v>0</v>
      </c>
      <c r="O58" s="154">
        <v>17.682500000000001</v>
      </c>
      <c r="P58" s="41">
        <v>32.456100664498798</v>
      </c>
    </row>
    <row r="59" spans="1:16" s="2" customFormat="1" ht="10.7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7" customHeight="1" x14ac:dyDescent="0.2">
      <c r="A60" s="190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762.26</v>
      </c>
      <c r="H60" s="183">
        <v>56.048529411764704</v>
      </c>
      <c r="I60" s="153">
        <v>597.74</v>
      </c>
      <c r="J60" s="154">
        <v>70.73</v>
      </c>
      <c r="K60" s="154">
        <v>0</v>
      </c>
      <c r="L60" s="154">
        <v>0</v>
      </c>
      <c r="M60" s="154">
        <v>0</v>
      </c>
      <c r="N60" s="46">
        <v>0</v>
      </c>
      <c r="O60" s="154">
        <v>17.682500000000001</v>
      </c>
      <c r="P60" s="41">
        <v>31.804043545878692</v>
      </c>
    </row>
    <row r="61" spans="1:16" s="2" customFormat="1" ht="10.7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7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7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180.3</v>
      </c>
      <c r="K67" s="154">
        <v>0</v>
      </c>
      <c r="L67" s="154">
        <v>-180.3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7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7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" customHeight="1" x14ac:dyDescent="0.2">
      <c r="A75" s="190"/>
      <c r="B75" s="196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794.00300000762934</v>
      </c>
      <c r="H75" s="183">
        <v>58.382573529972746</v>
      </c>
      <c r="I75" s="153">
        <v>565.99699999237066</v>
      </c>
      <c r="J75" s="154">
        <v>251.03000000000003</v>
      </c>
      <c r="K75" s="154">
        <v>0</v>
      </c>
      <c r="L75" s="154">
        <v>-180.3</v>
      </c>
      <c r="M75" s="154">
        <v>0</v>
      </c>
      <c r="N75" s="46">
        <v>0</v>
      </c>
      <c r="O75" s="154">
        <v>17.682500000000005</v>
      </c>
      <c r="P75" s="41">
        <v>30.008878834574894</v>
      </c>
    </row>
    <row r="76" spans="1:16" s="2" customFormat="1" ht="10.7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7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7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7" customHeight="1" x14ac:dyDescent="0.2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3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7" customHeight="1" x14ac:dyDescent="0.2">
      <c r="B82" s="197" t="s">
        <v>91</v>
      </c>
      <c r="C82" s="224">
        <v>1360</v>
      </c>
      <c r="D82" s="155">
        <v>0</v>
      </c>
      <c r="E82" s="155">
        <v>0</v>
      </c>
      <c r="F82" s="156">
        <v>2472.8000000000002</v>
      </c>
      <c r="G82" s="155">
        <v>794.00300000762934</v>
      </c>
      <c r="H82" s="188">
        <v>32.109471045277793</v>
      </c>
      <c r="I82" s="156">
        <v>1678.7969999923707</v>
      </c>
      <c r="J82" s="155">
        <v>251.03000000000003</v>
      </c>
      <c r="K82" s="155">
        <v>0</v>
      </c>
      <c r="L82" s="155">
        <v>-180.29999999999995</v>
      </c>
      <c r="M82" s="155">
        <v>0</v>
      </c>
      <c r="N82" s="58">
        <v>0</v>
      </c>
      <c r="O82" s="155">
        <v>17.682500000000019</v>
      </c>
      <c r="P82" s="54" t="s">
        <v>149</v>
      </c>
    </row>
    <row r="83" spans="1:254" ht="10.7" customHeight="1" x14ac:dyDescent="0.2">
      <c r="B83" s="198" t="s">
        <v>167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7" customHeight="1" x14ac:dyDescent="0.2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7" customHeight="1" x14ac:dyDescent="0.2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7" customHeight="1" x14ac:dyDescent="0.2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7" customHeight="1" x14ac:dyDescent="0.2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7" customHeight="1" x14ac:dyDescent="0.2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7" customHeight="1" x14ac:dyDescent="0.2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7" customHeight="1" x14ac:dyDescent="0.2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44468</v>
      </c>
      <c r="K90" s="33">
        <v>44475</v>
      </c>
      <c r="L90" s="33">
        <v>44482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7" customHeight="1" x14ac:dyDescent="0.2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7" customHeight="1" x14ac:dyDescent="0.2">
      <c r="B92" s="40"/>
      <c r="C92" s="233" t="s">
        <v>138</v>
      </c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41" t="s">
        <v>4</v>
      </c>
      <c r="Q92" s="191"/>
    </row>
    <row r="93" spans="1:254" ht="10.7" customHeight="1" x14ac:dyDescent="0.2">
      <c r="A93" s="169"/>
      <c r="B93" s="40" t="s">
        <v>62</v>
      </c>
      <c r="C93" s="151">
        <v>48607.1</v>
      </c>
      <c r="D93" s="152">
        <v>0</v>
      </c>
      <c r="E93" s="152">
        <v>970.19999999999709</v>
      </c>
      <c r="F93" s="153">
        <v>49577.299999999996</v>
      </c>
      <c r="G93" s="154">
        <v>27814.910000000003</v>
      </c>
      <c r="H93" s="183">
        <v>56.10412426654942</v>
      </c>
      <c r="I93" s="153">
        <v>21762.389999999992</v>
      </c>
      <c r="J93" s="154">
        <v>0.45000000000004547</v>
      </c>
      <c r="K93" s="154">
        <v>1.5199999999992997</v>
      </c>
      <c r="L93" s="154">
        <v>0.92999999999938154</v>
      </c>
      <c r="M93" s="154">
        <v>0.25999999999839929</v>
      </c>
      <c r="N93" s="46">
        <v>5.3490127985088461E-4</v>
      </c>
      <c r="O93" s="154">
        <v>0.7899999999992815</v>
      </c>
      <c r="P93" s="41" t="s">
        <v>149</v>
      </c>
      <c r="Q93" s="191"/>
      <c r="T93" s="4"/>
    </row>
    <row r="94" spans="1:254" ht="10.7" customHeight="1" x14ac:dyDescent="0.2">
      <c r="B94" s="40" t="s">
        <v>63</v>
      </c>
      <c r="C94" s="151">
        <v>42</v>
      </c>
      <c r="D94" s="152">
        <v>0</v>
      </c>
      <c r="E94" s="152">
        <v>-30</v>
      </c>
      <c r="F94" s="153">
        <v>12</v>
      </c>
      <c r="G94" s="154">
        <v>2.41</v>
      </c>
      <c r="H94" s="183">
        <v>20.083333333333332</v>
      </c>
      <c r="I94" s="153">
        <v>9.59</v>
      </c>
      <c r="J94" s="154">
        <v>0.29000000000000004</v>
      </c>
      <c r="K94" s="154">
        <v>0.10000000000000009</v>
      </c>
      <c r="L94" s="154">
        <v>1.17</v>
      </c>
      <c r="M94" s="154">
        <v>0.12000000000000011</v>
      </c>
      <c r="N94" s="46">
        <v>0.28571428571428598</v>
      </c>
      <c r="O94" s="154">
        <v>0.42000000000000004</v>
      </c>
      <c r="P94" s="41" t="s">
        <v>150</v>
      </c>
      <c r="Q94" s="191"/>
      <c r="T94" s="4"/>
    </row>
    <row r="95" spans="1:254" ht="10.7" customHeight="1" x14ac:dyDescent="0.2">
      <c r="B95" s="40" t="s">
        <v>65</v>
      </c>
      <c r="C95" s="151">
        <v>0</v>
      </c>
      <c r="D95" s="152">
        <v>0</v>
      </c>
      <c r="E95" s="152">
        <v>1</v>
      </c>
      <c r="F95" s="153">
        <v>1</v>
      </c>
      <c r="G95" s="154">
        <v>1.8399999999999999</v>
      </c>
      <c r="H95" s="183">
        <v>184</v>
      </c>
      <c r="I95" s="153">
        <v>-0.83999999999999986</v>
      </c>
      <c r="J95" s="154">
        <v>0.01</v>
      </c>
      <c r="K95" s="154">
        <v>0.31</v>
      </c>
      <c r="L95" s="154">
        <v>0</v>
      </c>
      <c r="M95" s="154">
        <v>0.35999999999999988</v>
      </c>
      <c r="N95" s="46" t="s">
        <v>64</v>
      </c>
      <c r="O95" s="154">
        <v>0.16999999999999998</v>
      </c>
      <c r="P95" s="41" t="s">
        <v>150</v>
      </c>
      <c r="Q95" s="191"/>
      <c r="T95" s="4"/>
    </row>
    <row r="96" spans="1:254" ht="10.7" customHeight="1" x14ac:dyDescent="0.2">
      <c r="A96" s="169"/>
      <c r="B96" s="40" t="s">
        <v>66</v>
      </c>
      <c r="C96" s="151">
        <v>45888.800000000003</v>
      </c>
      <c r="D96" s="152">
        <v>0</v>
      </c>
      <c r="E96" s="152">
        <v>884.59999999999854</v>
      </c>
      <c r="F96" s="153">
        <v>46773.4</v>
      </c>
      <c r="G96" s="154">
        <v>22053.230000000003</v>
      </c>
      <c r="H96" s="183">
        <v>47.149084736196222</v>
      </c>
      <c r="I96" s="153">
        <v>24720.17</v>
      </c>
      <c r="J96" s="154">
        <v>0.8500000000003638</v>
      </c>
      <c r="K96" s="154">
        <v>0</v>
      </c>
      <c r="L96" s="154">
        <v>2.6200000000008004</v>
      </c>
      <c r="M96" s="154">
        <v>0</v>
      </c>
      <c r="N96" s="46">
        <v>0</v>
      </c>
      <c r="O96" s="154">
        <v>0.86750000000029104</v>
      </c>
      <c r="P96" s="41" t="s">
        <v>149</v>
      </c>
      <c r="Q96" s="191"/>
      <c r="T96" s="4"/>
    </row>
    <row r="97" spans="1:20" ht="10.7" customHeight="1" x14ac:dyDescent="0.2">
      <c r="B97" s="40" t="s">
        <v>67</v>
      </c>
      <c r="C97" s="151">
        <v>0.3</v>
      </c>
      <c r="D97" s="152">
        <v>0</v>
      </c>
      <c r="E97" s="152">
        <v>170</v>
      </c>
      <c r="F97" s="153">
        <v>170.3</v>
      </c>
      <c r="G97" s="154">
        <v>57.879999880790749</v>
      </c>
      <c r="H97" s="183">
        <v>33.987081550669842</v>
      </c>
      <c r="I97" s="153">
        <v>112.42000011920926</v>
      </c>
      <c r="J97" s="154">
        <v>0.45599999618529807</v>
      </c>
      <c r="K97" s="154">
        <v>1.2700000000000102</v>
      </c>
      <c r="L97" s="154">
        <v>1.6640000000000015</v>
      </c>
      <c r="M97" s="154">
        <v>1.8009999999999948</v>
      </c>
      <c r="N97" s="46">
        <v>600.33333333333167</v>
      </c>
      <c r="O97" s="154">
        <v>1.2977499990463262</v>
      </c>
      <c r="P97" s="41" t="s">
        <v>149</v>
      </c>
      <c r="Q97" s="191"/>
      <c r="T97" s="4"/>
    </row>
    <row r="98" spans="1:20" ht="10.7" customHeight="1" x14ac:dyDescent="0.2">
      <c r="B98" s="40" t="s">
        <v>68</v>
      </c>
      <c r="C98" s="151">
        <v>15.7</v>
      </c>
      <c r="D98" s="152">
        <v>0</v>
      </c>
      <c r="E98" s="152">
        <v>-14.3</v>
      </c>
      <c r="F98" s="153">
        <v>1.3999999999999986</v>
      </c>
      <c r="G98" s="154">
        <v>0.02</v>
      </c>
      <c r="H98" s="183">
        <v>1.4285714285714299</v>
      </c>
      <c r="I98" s="153">
        <v>1.3799999999999986</v>
      </c>
      <c r="J98" s="154">
        <v>0</v>
      </c>
      <c r="K98" s="154">
        <v>0.02</v>
      </c>
      <c r="L98" s="154">
        <v>0</v>
      </c>
      <c r="M98" s="154">
        <v>0</v>
      </c>
      <c r="N98" s="46">
        <v>0</v>
      </c>
      <c r="O98" s="154">
        <v>5.0000000000000001E-3</v>
      </c>
      <c r="P98" s="41" t="s">
        <v>149</v>
      </c>
      <c r="Q98" s="191"/>
      <c r="T98" s="4"/>
    </row>
    <row r="99" spans="1:20" s="191" customFormat="1" ht="10.7" customHeight="1" x14ac:dyDescent="0.2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0.15</v>
      </c>
      <c r="H99" s="183">
        <v>75</v>
      </c>
      <c r="I99" s="153">
        <v>5.0000000000000017E-2</v>
      </c>
      <c r="J99" s="154">
        <v>0</v>
      </c>
      <c r="K99" s="154">
        <v>0</v>
      </c>
      <c r="L99" s="154">
        <v>0.15</v>
      </c>
      <c r="M99" s="154">
        <v>0</v>
      </c>
      <c r="N99" s="46">
        <v>0</v>
      </c>
      <c r="O99" s="154">
        <v>3.7499999999999999E-2</v>
      </c>
      <c r="P99" s="41" t="s">
        <v>150</v>
      </c>
      <c r="R99" s="185"/>
      <c r="T99" s="4"/>
    </row>
    <row r="100" spans="1:20" ht="10.7" customHeight="1" x14ac:dyDescent="0.2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0.03</v>
      </c>
      <c r="H100" s="183">
        <v>0.69767441860465118</v>
      </c>
      <c r="I100" s="153">
        <v>4.2699999999999996</v>
      </c>
      <c r="J100" s="154">
        <v>0</v>
      </c>
      <c r="K100" s="154">
        <v>0</v>
      </c>
      <c r="L100" s="154">
        <v>0</v>
      </c>
      <c r="M100" s="154">
        <v>0.03</v>
      </c>
      <c r="N100" s="46">
        <v>0.69767441860465118</v>
      </c>
      <c r="O100" s="154">
        <v>7.4999999999999997E-3</v>
      </c>
      <c r="P100" s="41" t="s">
        <v>149</v>
      </c>
      <c r="Q100" s="191"/>
      <c r="T100" s="4"/>
    </row>
    <row r="101" spans="1:20" ht="10.7" customHeight="1" x14ac:dyDescent="0.2">
      <c r="A101" s="169"/>
      <c r="B101" s="40" t="s">
        <v>71</v>
      </c>
      <c r="C101" s="151">
        <v>25401.3</v>
      </c>
      <c r="D101" s="152">
        <v>0</v>
      </c>
      <c r="E101" s="152">
        <v>61.700000000000728</v>
      </c>
      <c r="F101" s="153">
        <v>25463</v>
      </c>
      <c r="G101" s="154">
        <v>10266.750000000002</v>
      </c>
      <c r="H101" s="183">
        <v>40.320268625063825</v>
      </c>
      <c r="I101" s="153">
        <v>15196.249999999998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149</v>
      </c>
      <c r="Q101" s="191"/>
      <c r="T101" s="4"/>
    </row>
    <row r="102" spans="1:20" s="191" customFormat="1" ht="10.7" customHeight="1" x14ac:dyDescent="0.2">
      <c r="A102" s="168"/>
      <c r="B102" s="40" t="s">
        <v>72</v>
      </c>
      <c r="C102" s="151">
        <v>24831.8</v>
      </c>
      <c r="D102" s="152">
        <v>0</v>
      </c>
      <c r="E102" s="152">
        <v>-198</v>
      </c>
      <c r="F102" s="153">
        <v>24633.8</v>
      </c>
      <c r="G102" s="154">
        <v>14582.009999999998</v>
      </c>
      <c r="H102" s="183">
        <v>59.195130268168121</v>
      </c>
      <c r="I102" s="153">
        <v>10051.790000000001</v>
      </c>
      <c r="J102" s="154">
        <v>0</v>
      </c>
      <c r="K102" s="154">
        <v>0</v>
      </c>
      <c r="L102" s="154">
        <v>0</v>
      </c>
      <c r="M102" s="154">
        <v>1851.9599999999991</v>
      </c>
      <c r="N102" s="46">
        <v>7.4580175420227253</v>
      </c>
      <c r="O102" s="154">
        <v>462.98999999999978</v>
      </c>
      <c r="P102" s="41">
        <v>19.710598501047549</v>
      </c>
      <c r="R102" s="185"/>
      <c r="T102" s="4"/>
    </row>
    <row r="103" spans="1:20" s="191" customFormat="1" ht="10.7" customHeight="1" x14ac:dyDescent="0.2">
      <c r="A103" s="168"/>
      <c r="B103" s="47" t="s">
        <v>73</v>
      </c>
      <c r="C103" s="151">
        <v>144791.5</v>
      </c>
      <c r="D103" s="152">
        <v>0</v>
      </c>
      <c r="E103" s="152">
        <v>1845.1999999999825</v>
      </c>
      <c r="F103" s="153">
        <v>146636.69999999998</v>
      </c>
      <c r="G103" s="154">
        <v>74779.229999880787</v>
      </c>
      <c r="H103" s="183">
        <v>50.996258099016686</v>
      </c>
      <c r="I103" s="153">
        <v>71857.470000119196</v>
      </c>
      <c r="J103" s="154">
        <v>2.0559999961857072</v>
      </c>
      <c r="K103" s="154">
        <v>3.2199999999993101</v>
      </c>
      <c r="L103" s="154">
        <v>6.5340000000001837</v>
      </c>
      <c r="M103" s="154">
        <v>1854.5309999999974</v>
      </c>
      <c r="N103" s="46">
        <v>608.77527448095316</v>
      </c>
      <c r="O103" s="154">
        <v>466.58524999904569</v>
      </c>
      <c r="P103" s="41" t="s">
        <v>149</v>
      </c>
      <c r="R103" s="185"/>
      <c r="T103" s="4"/>
    </row>
    <row r="104" spans="1:20" s="191" customFormat="1" ht="10.7" customHeight="1" x14ac:dyDescent="0.2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7" customHeight="1" x14ac:dyDescent="0.2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7" customHeight="1" x14ac:dyDescent="0.2">
      <c r="B106" s="40" t="s">
        <v>75</v>
      </c>
      <c r="C106" s="151">
        <v>282.00200000000001</v>
      </c>
      <c r="D106" s="152">
        <v>199.99999999999994</v>
      </c>
      <c r="E106" s="152">
        <v>234.99999999999994</v>
      </c>
      <c r="F106" s="153">
        <v>517.00199999999995</v>
      </c>
      <c r="G106" s="154">
        <v>0.53</v>
      </c>
      <c r="H106" s="183">
        <v>0.10251411019686578</v>
      </c>
      <c r="I106" s="153">
        <v>516.47199999999998</v>
      </c>
      <c r="J106" s="154">
        <v>8.0000000000000016E-2</v>
      </c>
      <c r="K106" s="154">
        <v>0.10999999999999999</v>
      </c>
      <c r="L106" s="154">
        <v>8.0000000000000016E-2</v>
      </c>
      <c r="M106" s="154">
        <v>0</v>
      </c>
      <c r="N106" s="46">
        <v>0</v>
      </c>
      <c r="O106" s="154">
        <v>6.7500000000000004E-2</v>
      </c>
      <c r="P106" s="41" t="s">
        <v>149</v>
      </c>
      <c r="Q106" s="191"/>
      <c r="T106" s="4"/>
    </row>
    <row r="107" spans="1:20" ht="10.7" customHeight="1" x14ac:dyDescent="0.2">
      <c r="B107" s="40" t="s">
        <v>157</v>
      </c>
      <c r="C107" s="151">
        <v>5.4349999999999996</v>
      </c>
      <c r="D107" s="152">
        <v>0</v>
      </c>
      <c r="E107" s="152">
        <v>170</v>
      </c>
      <c r="F107" s="153">
        <v>175.435</v>
      </c>
      <c r="G107" s="154">
        <v>7.2607269845902933E-2</v>
      </c>
      <c r="H107" s="183">
        <v>4.1386992245505703E-2</v>
      </c>
      <c r="I107" s="153">
        <v>175.36239273015411</v>
      </c>
      <c r="J107" s="154">
        <v>2.8399999618530292E-2</v>
      </c>
      <c r="K107" s="154">
        <v>0</v>
      </c>
      <c r="L107" s="154">
        <v>0</v>
      </c>
      <c r="M107" s="154">
        <v>0</v>
      </c>
      <c r="N107" s="46">
        <v>0</v>
      </c>
      <c r="O107" s="154">
        <v>7.0999999046325729E-3</v>
      </c>
      <c r="P107" s="41" t="s">
        <v>150</v>
      </c>
      <c r="Q107" s="191"/>
      <c r="T107" s="4"/>
    </row>
    <row r="108" spans="1:20" s="60" customFormat="1" ht="10.7" customHeight="1" x14ac:dyDescent="0.2">
      <c r="A108" s="168"/>
      <c r="B108" s="40" t="s">
        <v>76</v>
      </c>
      <c r="C108" s="151">
        <v>16.213999999999999</v>
      </c>
      <c r="D108" s="152">
        <v>0</v>
      </c>
      <c r="E108" s="152">
        <v>-13.2</v>
      </c>
      <c r="F108" s="153">
        <v>3.0139999999999993</v>
      </c>
      <c r="G108" s="154">
        <v>0.31825000026822092</v>
      </c>
      <c r="H108" s="183">
        <v>10.559057739489747</v>
      </c>
      <c r="I108" s="153">
        <v>2.6957499997317784</v>
      </c>
      <c r="J108" s="154">
        <v>1.0850000381469771E-2</v>
      </c>
      <c r="K108" s="154">
        <v>0</v>
      </c>
      <c r="L108" s="154">
        <v>0</v>
      </c>
      <c r="M108" s="154">
        <v>1.1000000238418628E-3</v>
      </c>
      <c r="N108" s="46">
        <v>6.7842606626487166E-3</v>
      </c>
      <c r="O108" s="154">
        <v>2.9875001013279084E-3</v>
      </c>
      <c r="P108" s="41" t="s">
        <v>149</v>
      </c>
      <c r="Q108" s="191"/>
      <c r="R108" s="185"/>
      <c r="T108" s="4"/>
    </row>
    <row r="109" spans="1:20" s="60" customFormat="1" ht="10.7" customHeight="1" x14ac:dyDescent="0.2">
      <c r="A109" s="170"/>
      <c r="B109" s="40" t="s">
        <v>77</v>
      </c>
      <c r="C109" s="151">
        <v>1156.5840000000001</v>
      </c>
      <c r="D109" s="152">
        <v>0</v>
      </c>
      <c r="E109" s="152">
        <v>410</v>
      </c>
      <c r="F109" s="153">
        <v>1566.5840000000001</v>
      </c>
      <c r="G109" s="154">
        <v>1700.4790000076293</v>
      </c>
      <c r="H109" s="183">
        <v>108.54694034967989</v>
      </c>
      <c r="I109" s="153">
        <v>-133.89500000762928</v>
      </c>
      <c r="J109" s="154">
        <v>0.32000000381481186</v>
      </c>
      <c r="K109" s="154">
        <v>0</v>
      </c>
      <c r="L109" s="154">
        <v>7.5000000000045475E-2</v>
      </c>
      <c r="M109" s="154">
        <v>330.47900000000004</v>
      </c>
      <c r="N109" s="46">
        <v>28.573713625642412</v>
      </c>
      <c r="O109" s="154">
        <v>82.718500000953725</v>
      </c>
      <c r="P109" s="41">
        <v>0</v>
      </c>
      <c r="Q109" s="191"/>
      <c r="R109" s="185"/>
      <c r="T109" s="4"/>
    </row>
    <row r="110" spans="1:20" ht="10.7" customHeight="1" x14ac:dyDescent="0.2">
      <c r="B110" s="40" t="s">
        <v>78</v>
      </c>
      <c r="C110" s="151">
        <v>15649.616</v>
      </c>
      <c r="D110" s="152">
        <v>0</v>
      </c>
      <c r="E110" s="152">
        <v>87.5</v>
      </c>
      <c r="F110" s="153">
        <v>15737.116</v>
      </c>
      <c r="G110" s="154">
        <v>10957.989000003934</v>
      </c>
      <c r="H110" s="183">
        <v>69.631494106060686</v>
      </c>
      <c r="I110" s="153">
        <v>4779.1269999960659</v>
      </c>
      <c r="J110" s="154">
        <v>9.0949470177292824E-13</v>
      </c>
      <c r="K110" s="154">
        <v>0</v>
      </c>
      <c r="L110" s="154">
        <v>0</v>
      </c>
      <c r="M110" s="154">
        <v>1369.3850000000011</v>
      </c>
      <c r="N110" s="46">
        <v>8.7502786010851707</v>
      </c>
      <c r="O110" s="154">
        <v>342.34625000000051</v>
      </c>
      <c r="P110" s="41">
        <v>11.959922154824417</v>
      </c>
      <c r="Q110" s="191"/>
      <c r="T110" s="4"/>
    </row>
    <row r="111" spans="1:20" ht="10.7" customHeight="1" x14ac:dyDescent="0.2">
      <c r="B111" s="40" t="s">
        <v>79</v>
      </c>
      <c r="C111" s="151">
        <v>18.181000000000001</v>
      </c>
      <c r="D111" s="152">
        <v>0</v>
      </c>
      <c r="E111" s="152">
        <v>-0.10000000000000142</v>
      </c>
      <c r="F111" s="153">
        <v>18.081</v>
      </c>
      <c r="G111" s="154">
        <v>12.213241949550802</v>
      </c>
      <c r="H111" s="183">
        <v>67.547380949896592</v>
      </c>
      <c r="I111" s="153">
        <v>5.8677580504491971</v>
      </c>
      <c r="J111" s="154">
        <v>1.7153323627999484E-2</v>
      </c>
      <c r="K111" s="154">
        <v>0.98165112777054264</v>
      </c>
      <c r="L111" s="154">
        <v>6.5300000280144488E-2</v>
      </c>
      <c r="M111" s="154">
        <v>0.98485997563600769</v>
      </c>
      <c r="N111" s="46">
        <v>5.416973629811384</v>
      </c>
      <c r="O111" s="154">
        <v>0.51224110682867363</v>
      </c>
      <c r="P111" s="41">
        <v>9.4550706146505199</v>
      </c>
      <c r="Q111" s="191"/>
      <c r="T111" s="4"/>
    </row>
    <row r="112" spans="1:20" s="191" customFormat="1" ht="10.7" customHeight="1" x14ac:dyDescent="0.2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2.7025510209128245</v>
      </c>
      <c r="H112" s="183">
        <v>15.820119539383155</v>
      </c>
      <c r="I112" s="153">
        <v>14.380448979087173</v>
      </c>
      <c r="J112" s="154">
        <v>7.1999999284733107E-3</v>
      </c>
      <c r="K112" s="154">
        <v>7.8284279406068968E-3</v>
      </c>
      <c r="L112" s="154">
        <v>2.3000000119210995E-3</v>
      </c>
      <c r="M112" s="154">
        <v>5.2499999523162977E-2</v>
      </c>
      <c r="N112" s="46">
        <v>0.30732306692713796</v>
      </c>
      <c r="O112" s="154">
        <v>1.7457106851041071E-2</v>
      </c>
      <c r="P112" s="41" t="s">
        <v>149</v>
      </c>
      <c r="R112" s="185"/>
      <c r="T112" s="4"/>
    </row>
    <row r="113" spans="1:20" s="191" customFormat="1" ht="10.7" customHeight="1" x14ac:dyDescent="0.2">
      <c r="A113" s="168"/>
      <c r="B113" s="40" t="s">
        <v>81</v>
      </c>
      <c r="C113" s="151">
        <v>0.2</v>
      </c>
      <c r="D113" s="152">
        <v>0</v>
      </c>
      <c r="E113" s="152">
        <v>14.6</v>
      </c>
      <c r="F113" s="153">
        <v>14.799999999999999</v>
      </c>
      <c r="G113" s="154">
        <v>19.031000035285945</v>
      </c>
      <c r="H113" s="183">
        <v>128.58783807625639</v>
      </c>
      <c r="I113" s="153">
        <v>-4.2310000352859465</v>
      </c>
      <c r="J113" s="154">
        <v>3.5527136788005009E-15</v>
      </c>
      <c r="K113" s="154">
        <v>0</v>
      </c>
      <c r="L113" s="154">
        <v>0</v>
      </c>
      <c r="M113" s="154">
        <v>0</v>
      </c>
      <c r="N113" s="46">
        <v>0</v>
      </c>
      <c r="O113" s="154">
        <v>8.8817841970012523E-16</v>
      </c>
      <c r="P113" s="41">
        <v>0</v>
      </c>
      <c r="R113" s="185"/>
      <c r="T113" s="4"/>
    </row>
    <row r="114" spans="1:20" s="191" customFormat="1" ht="10.7" customHeight="1" x14ac:dyDescent="0.2">
      <c r="A114" s="168"/>
      <c r="B114" s="184" t="s">
        <v>82</v>
      </c>
      <c r="C114" s="151">
        <v>0.7</v>
      </c>
      <c r="D114" s="152">
        <v>75</v>
      </c>
      <c r="E114" s="152">
        <v>727.3</v>
      </c>
      <c r="F114" s="153">
        <v>728</v>
      </c>
      <c r="G114" s="154">
        <v>43.616000060081497</v>
      </c>
      <c r="H114" s="183">
        <v>5.9912087994617442</v>
      </c>
      <c r="I114" s="153">
        <v>684.38399993991845</v>
      </c>
      <c r="J114" s="154">
        <v>7.1054273576010019E-15</v>
      </c>
      <c r="K114" s="154">
        <v>0</v>
      </c>
      <c r="L114" s="154">
        <v>0</v>
      </c>
      <c r="M114" s="154">
        <v>0</v>
      </c>
      <c r="N114" s="46">
        <v>0</v>
      </c>
      <c r="O114" s="154">
        <v>1.7763568394002505E-15</v>
      </c>
      <c r="P114" s="41" t="s">
        <v>149</v>
      </c>
      <c r="R114" s="185"/>
      <c r="T114" s="4"/>
    </row>
    <row r="115" spans="1:20" s="191" customFormat="1" ht="10.7" customHeight="1" x14ac:dyDescent="0.2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7" customHeight="1" x14ac:dyDescent="0.2">
      <c r="A116" s="169"/>
      <c r="B116" s="205" t="s">
        <v>84</v>
      </c>
      <c r="C116" s="151">
        <v>26447.481</v>
      </c>
      <c r="D116" s="152">
        <v>0</v>
      </c>
      <c r="E116" s="152">
        <v>251.40000000000146</v>
      </c>
      <c r="F116" s="153">
        <v>26698.881000000001</v>
      </c>
      <c r="G116" s="154">
        <v>9238.9458000036029</v>
      </c>
      <c r="H116" s="183">
        <v>34.604243526174756</v>
      </c>
      <c r="I116" s="153">
        <v>17459.935199996398</v>
      </c>
      <c r="J116" s="154">
        <v>0</v>
      </c>
      <c r="K116" s="154">
        <v>0</v>
      </c>
      <c r="L116" s="154">
        <v>2.4839999999994689</v>
      </c>
      <c r="M116" s="154">
        <v>0.1750000000001819</v>
      </c>
      <c r="N116" s="46">
        <v>6.6168872566798296E-4</v>
      </c>
      <c r="O116" s="154">
        <v>0.66474999999991269</v>
      </c>
      <c r="P116" s="41" t="s">
        <v>149</v>
      </c>
      <c r="R116" s="185"/>
      <c r="T116" s="4"/>
    </row>
    <row r="117" spans="1:20" s="191" customFormat="1" ht="10.7" customHeight="1" x14ac:dyDescent="0.2">
      <c r="A117" s="168"/>
      <c r="B117" s="40" t="s">
        <v>85</v>
      </c>
      <c r="C117" s="151">
        <v>23874.654999999999</v>
      </c>
      <c r="D117" s="152">
        <v>0</v>
      </c>
      <c r="E117" s="152">
        <v>-2014.0999999999985</v>
      </c>
      <c r="F117" s="153">
        <v>21860.555</v>
      </c>
      <c r="G117" s="154">
        <v>12042.091998276795</v>
      </c>
      <c r="H117" s="183">
        <v>55.085939027059439</v>
      </c>
      <c r="I117" s="153">
        <v>9818.4630017232048</v>
      </c>
      <c r="J117" s="154">
        <v>-5.4569682106375694E-12</v>
      </c>
      <c r="K117" s="154">
        <v>33.788000000000466</v>
      </c>
      <c r="L117" s="154">
        <v>0</v>
      </c>
      <c r="M117" s="154">
        <v>125.02999902343799</v>
      </c>
      <c r="N117" s="46">
        <v>0.52369342729115032</v>
      </c>
      <c r="O117" s="154">
        <v>39.704499755858251</v>
      </c>
      <c r="P117" s="41" t="s">
        <v>149</v>
      </c>
      <c r="R117" s="185"/>
      <c r="T117" s="4"/>
    </row>
    <row r="118" spans="1:20" s="191" customFormat="1" ht="10.7" customHeight="1" x14ac:dyDescent="0.2">
      <c r="A118" s="168"/>
      <c r="B118" s="196" t="s">
        <v>86</v>
      </c>
      <c r="C118" s="151">
        <v>212265.38399999999</v>
      </c>
      <c r="D118" s="154">
        <v>274.99999999999994</v>
      </c>
      <c r="E118" s="152">
        <v>1713.5999999999767</v>
      </c>
      <c r="F118" s="153">
        <v>213978.98399999997</v>
      </c>
      <c r="G118" s="154">
        <v>108797.21944850869</v>
      </c>
      <c r="H118" s="183">
        <v>50.844815418185512</v>
      </c>
      <c r="I118" s="153">
        <v>105181.76455149127</v>
      </c>
      <c r="J118" s="154">
        <v>2.5196033235524551</v>
      </c>
      <c r="K118" s="154">
        <v>38.107479555710924</v>
      </c>
      <c r="L118" s="154">
        <v>9.2406000002917636</v>
      </c>
      <c r="M118" s="154">
        <v>3680.6384589986201</v>
      </c>
      <c r="N118" s="46">
        <v>1.7339796012140256</v>
      </c>
      <c r="O118" s="154">
        <v>932.6265354695438</v>
      </c>
      <c r="P118" s="41" t="s">
        <v>149</v>
      </c>
      <c r="R118" s="185"/>
      <c r="T118" s="4"/>
    </row>
    <row r="119" spans="1:20" s="191" customFormat="1" ht="10.7" customHeight="1" x14ac:dyDescent="0.2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7" customHeight="1" x14ac:dyDescent="0.2">
      <c r="A120" s="168"/>
      <c r="B120" s="57" t="s">
        <v>87</v>
      </c>
      <c r="C120" s="151">
        <v>452.197</v>
      </c>
      <c r="D120" s="152">
        <v>-90</v>
      </c>
      <c r="E120" s="152">
        <v>-290</v>
      </c>
      <c r="F120" s="153">
        <v>162.197</v>
      </c>
      <c r="G120" s="154">
        <v>0.1</v>
      </c>
      <c r="H120" s="183">
        <v>6.1653421456623732E-2</v>
      </c>
      <c r="I120" s="153">
        <v>162.09700000000001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5"/>
      <c r="T120" s="4"/>
    </row>
    <row r="121" spans="1:20" s="191" customFormat="1" ht="10.7" customHeight="1" x14ac:dyDescent="0.2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7" customHeight="1" x14ac:dyDescent="0.2">
      <c r="A122" s="168"/>
      <c r="B122" s="49" t="s">
        <v>89</v>
      </c>
      <c r="C122" s="151">
        <v>1460.462</v>
      </c>
      <c r="D122" s="152">
        <v>590</v>
      </c>
      <c r="E122" s="152">
        <v>-929.9</v>
      </c>
      <c r="F122" s="153">
        <v>530.56200000000001</v>
      </c>
      <c r="G122" s="154">
        <v>364.74003709779663</v>
      </c>
      <c r="H122" s="183">
        <v>68.745978245293969</v>
      </c>
      <c r="I122" s="153">
        <v>165.82196290220338</v>
      </c>
      <c r="J122" s="154">
        <v>4.2618800024166559</v>
      </c>
      <c r="K122" s="154">
        <v>3.0930299980490652</v>
      </c>
      <c r="L122" s="154">
        <v>2.3244050021022469</v>
      </c>
      <c r="M122" s="154">
        <v>3.3364699912964966</v>
      </c>
      <c r="N122" s="46">
        <v>0.22845305056184251</v>
      </c>
      <c r="O122" s="154">
        <v>3.2539462484661161</v>
      </c>
      <c r="P122" s="41">
        <v>48.960264933807835</v>
      </c>
      <c r="R122" s="185"/>
      <c r="T122" s="4"/>
    </row>
    <row r="123" spans="1:20" s="191" customFormat="1" ht="10.7" customHeight="1" x14ac:dyDescent="0.2">
      <c r="A123" s="168"/>
      <c r="B123" s="205" t="s">
        <v>94</v>
      </c>
      <c r="C123" s="151">
        <v>1750.7</v>
      </c>
      <c r="D123" s="152">
        <v>-620</v>
      </c>
      <c r="E123" s="152">
        <v>-952</v>
      </c>
      <c r="F123" s="153">
        <v>798.7</v>
      </c>
      <c r="G123" s="154">
        <v>241.79135201802862</v>
      </c>
      <c r="H123" s="183">
        <v>30.273112810570755</v>
      </c>
      <c r="I123" s="153">
        <v>556.9086479819714</v>
      </c>
      <c r="J123" s="154">
        <v>3.0160299995316109</v>
      </c>
      <c r="K123" s="154">
        <v>5.6253500066399624</v>
      </c>
      <c r="L123" s="154">
        <v>10.617599994309273</v>
      </c>
      <c r="M123" s="154">
        <v>16.446150014251913</v>
      </c>
      <c r="N123" s="46">
        <v>0.93940423911874749</v>
      </c>
      <c r="O123" s="154">
        <v>8.9262825036831899</v>
      </c>
      <c r="P123" s="41" t="s">
        <v>149</v>
      </c>
      <c r="R123" s="185"/>
      <c r="T123" s="4"/>
    </row>
    <row r="124" spans="1:20" s="191" customFormat="1" ht="10.7" customHeight="1" x14ac:dyDescent="0.2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7" customHeight="1" x14ac:dyDescent="0.2">
      <c r="A125" s="168"/>
      <c r="B125" s="187" t="s">
        <v>91</v>
      </c>
      <c r="C125" s="224">
        <v>215928.74299999999</v>
      </c>
      <c r="D125" s="155">
        <v>154.99999999999994</v>
      </c>
      <c r="E125" s="155">
        <v>-458.30000000002337</v>
      </c>
      <c r="F125" s="156">
        <v>215470.44299999997</v>
      </c>
      <c r="G125" s="155">
        <v>109403.85083762452</v>
      </c>
      <c r="H125" s="188">
        <v>50.774412171986178</v>
      </c>
      <c r="I125" s="156">
        <v>106066.59216237545</v>
      </c>
      <c r="J125" s="155">
        <v>9.7975133255007218</v>
      </c>
      <c r="K125" s="155">
        <v>46.825859560399948</v>
      </c>
      <c r="L125" s="155">
        <v>22.182604996703283</v>
      </c>
      <c r="M125" s="155">
        <v>3700.4210790041684</v>
      </c>
      <c r="N125" s="58">
        <v>1.7137232531401196</v>
      </c>
      <c r="O125" s="155">
        <v>944.80676422169313</v>
      </c>
      <c r="P125" s="54" t="s">
        <v>149</v>
      </c>
      <c r="R125" s="189"/>
      <c r="T125" s="4"/>
    </row>
    <row r="126" spans="1:20" s="191" customFormat="1" ht="10.7" customHeight="1" x14ac:dyDescent="0.2">
      <c r="A126" s="168"/>
      <c r="F126" s="193"/>
      <c r="I126" s="193"/>
      <c r="N126" s="194"/>
      <c r="P126" s="194"/>
      <c r="R126" s="185"/>
    </row>
    <row r="127" spans="1:20" s="191" customFormat="1" ht="10.7" customHeight="1" x14ac:dyDescent="0.2">
      <c r="A127" s="168"/>
      <c r="F127" s="192"/>
      <c r="I127" s="193"/>
      <c r="N127" s="194"/>
      <c r="P127" s="194"/>
      <c r="R127" s="185"/>
    </row>
    <row r="128" spans="1:20" s="191" customFormat="1" ht="10.7" customHeight="1" x14ac:dyDescent="0.2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7" customHeight="1" x14ac:dyDescent="0.2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7" customHeight="1" x14ac:dyDescent="0.2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44468</v>
      </c>
      <c r="K130" s="33">
        <v>44475</v>
      </c>
      <c r="L130" s="33">
        <v>44482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7" customHeight="1" x14ac:dyDescent="0.2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7" customHeight="1" x14ac:dyDescent="0.2">
      <c r="A132" s="168"/>
      <c r="B132" s="40"/>
      <c r="C132" s="231" t="s">
        <v>145</v>
      </c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41" t="s">
        <v>4</v>
      </c>
      <c r="R132" s="185"/>
    </row>
    <row r="133" spans="1:18" s="191" customFormat="1" ht="10.7" customHeight="1" x14ac:dyDescent="0.2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1640.0500000000002</v>
      </c>
      <c r="H133" s="183">
        <v>3.374095553941709</v>
      </c>
      <c r="I133" s="153">
        <v>46967.049999999996</v>
      </c>
      <c r="J133" s="154">
        <v>0.45000000000004547</v>
      </c>
      <c r="K133" s="154">
        <v>0.12999999999988177</v>
      </c>
      <c r="L133" s="154">
        <v>0.28999999999996362</v>
      </c>
      <c r="M133" s="154">
        <v>0.26000000000021828</v>
      </c>
      <c r="N133" s="46">
        <v>5.3490127985462673E-4</v>
      </c>
      <c r="O133" s="154">
        <v>0.28250000000002728</v>
      </c>
      <c r="P133" s="41" t="s">
        <v>149</v>
      </c>
      <c r="R133" s="185"/>
    </row>
    <row r="134" spans="1:18" s="191" customFormat="1" ht="10.7" customHeight="1" x14ac:dyDescent="0.2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2.41</v>
      </c>
      <c r="H134" s="183">
        <v>5.7380952380952381</v>
      </c>
      <c r="I134" s="153">
        <v>39.590000000000003</v>
      </c>
      <c r="J134" s="154">
        <v>0.29000000000000004</v>
      </c>
      <c r="K134" s="154">
        <v>0.10000000000000009</v>
      </c>
      <c r="L134" s="154">
        <v>1.17</v>
      </c>
      <c r="M134" s="154">
        <v>0.12000000000000011</v>
      </c>
      <c r="N134" s="46">
        <v>0</v>
      </c>
      <c r="O134" s="154">
        <v>0.42000000000000004</v>
      </c>
      <c r="P134" s="41" t="s">
        <v>150</v>
      </c>
      <c r="R134" s="185"/>
    </row>
    <row r="135" spans="1:18" s="191" customFormat="1" ht="10.7" customHeight="1" x14ac:dyDescent="0.2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0.67999999999999994</v>
      </c>
      <c r="H135" s="183" t="s">
        <v>151</v>
      </c>
      <c r="I135" s="153">
        <v>-0.67999999999999994</v>
      </c>
      <c r="J135" s="154">
        <v>0.01</v>
      </c>
      <c r="K135" s="154">
        <v>0.31</v>
      </c>
      <c r="L135" s="154">
        <v>0</v>
      </c>
      <c r="M135" s="154">
        <v>0.35999999999999993</v>
      </c>
      <c r="N135" s="46" t="s">
        <v>64</v>
      </c>
      <c r="O135" s="154">
        <v>0.16999999999999998</v>
      </c>
      <c r="P135" s="41" t="s">
        <v>150</v>
      </c>
      <c r="R135" s="185"/>
    </row>
    <row r="136" spans="1:18" s="191" customFormat="1" ht="10.7" customHeight="1" x14ac:dyDescent="0.2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13317.550000000001</v>
      </c>
      <c r="H136" s="183">
        <v>29.021351615208939</v>
      </c>
      <c r="I136" s="153">
        <v>32571.25</v>
      </c>
      <c r="J136" s="154">
        <v>0.8500000000003638</v>
      </c>
      <c r="K136" s="154">
        <v>0</v>
      </c>
      <c r="L136" s="154">
        <v>2.6200000000008004</v>
      </c>
      <c r="M136" s="154">
        <v>0</v>
      </c>
      <c r="N136" s="46">
        <v>0</v>
      </c>
      <c r="O136" s="154">
        <v>0.86750000000029104</v>
      </c>
      <c r="P136" s="41" t="s">
        <v>149</v>
      </c>
      <c r="R136" s="185"/>
    </row>
    <row r="137" spans="1:18" s="191" customFormat="1" ht="10.7" customHeight="1" x14ac:dyDescent="0.2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0.04</v>
      </c>
      <c r="H137" s="183">
        <v>13.333333333333334</v>
      </c>
      <c r="I137" s="153">
        <v>0.26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5"/>
    </row>
    <row r="138" spans="1:18" s="191" customFormat="1" ht="10.7" customHeight="1" x14ac:dyDescent="0.2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0.02</v>
      </c>
      <c r="H138" s="183">
        <v>0.12738853503184713</v>
      </c>
      <c r="I138" s="153">
        <v>15.68</v>
      </c>
      <c r="J138" s="154">
        <v>0</v>
      </c>
      <c r="K138" s="154">
        <v>0.02</v>
      </c>
      <c r="L138" s="154">
        <v>0</v>
      </c>
      <c r="M138" s="154">
        <v>0</v>
      </c>
      <c r="N138" s="46">
        <v>0</v>
      </c>
      <c r="O138" s="154">
        <v>5.0000000000000001E-3</v>
      </c>
      <c r="P138" s="41" t="s">
        <v>150</v>
      </c>
      <c r="R138" s="185"/>
    </row>
    <row r="139" spans="1:18" s="191" customFormat="1" ht="11.25" customHeight="1" x14ac:dyDescent="0.2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0.15</v>
      </c>
      <c r="H139" s="183">
        <v>75</v>
      </c>
      <c r="I139" s="153">
        <v>5.0000000000000017E-2</v>
      </c>
      <c r="J139" s="154">
        <v>0</v>
      </c>
      <c r="K139" s="154">
        <v>0</v>
      </c>
      <c r="L139" s="154">
        <v>0.15</v>
      </c>
      <c r="M139" s="154">
        <v>0</v>
      </c>
      <c r="N139" s="46">
        <v>0</v>
      </c>
      <c r="O139" s="154">
        <v>3.7499999999999999E-2</v>
      </c>
      <c r="P139" s="41" t="s">
        <v>150</v>
      </c>
      <c r="R139" s="185"/>
    </row>
    <row r="140" spans="1:18" s="191" customFormat="1" ht="10.7" customHeight="1" x14ac:dyDescent="0.2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0.03</v>
      </c>
      <c r="H140" s="183">
        <v>0.69767441860465118</v>
      </c>
      <c r="I140" s="153">
        <v>4.2699999999999996</v>
      </c>
      <c r="J140" s="154">
        <v>0</v>
      </c>
      <c r="K140" s="154">
        <v>0</v>
      </c>
      <c r="L140" s="154">
        <v>0</v>
      </c>
      <c r="M140" s="154">
        <v>0.03</v>
      </c>
      <c r="N140" s="46">
        <v>0.69767441860465118</v>
      </c>
      <c r="O140" s="154">
        <v>7.4999999999999997E-3</v>
      </c>
      <c r="P140" s="41" t="s">
        <v>150</v>
      </c>
      <c r="R140" s="185"/>
    </row>
    <row r="141" spans="1:18" s="191" customFormat="1" ht="10.7" customHeight="1" x14ac:dyDescent="0.2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678.37</v>
      </c>
      <c r="H141" s="183">
        <v>2.6706113466633599</v>
      </c>
      <c r="I141" s="153">
        <v>24722.93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7" customHeight="1" x14ac:dyDescent="0.2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3305.9399999999996</v>
      </c>
      <c r="H142" s="183">
        <v>13.429772713423921</v>
      </c>
      <c r="I142" s="153">
        <v>21310.560000000001</v>
      </c>
      <c r="J142" s="154">
        <v>0</v>
      </c>
      <c r="K142" s="154">
        <v>0</v>
      </c>
      <c r="L142" s="154">
        <v>0</v>
      </c>
      <c r="M142" s="154">
        <v>1851.9599999999996</v>
      </c>
      <c r="N142" s="46">
        <v>7.458017542022727</v>
      </c>
      <c r="O142" s="154">
        <v>462.9899999999999</v>
      </c>
      <c r="P142" s="41">
        <v>44.028121557701041</v>
      </c>
      <c r="R142" s="185"/>
    </row>
    <row r="143" spans="1:18" s="191" customFormat="1" ht="10.7" customHeight="1" x14ac:dyDescent="0.2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18945.240000000005</v>
      </c>
      <c r="H143" s="183">
        <v>13.103982536544745</v>
      </c>
      <c r="I143" s="153">
        <v>125630.96</v>
      </c>
      <c r="J143" s="154">
        <v>1.6000000000004093</v>
      </c>
      <c r="K143" s="154">
        <v>0.55999999999988193</v>
      </c>
      <c r="L143" s="154">
        <v>4.2300000000007643</v>
      </c>
      <c r="M143" s="154">
        <v>1852.7299999999998</v>
      </c>
      <c r="N143" s="46">
        <v>8.156226861907232</v>
      </c>
      <c r="O143" s="154">
        <v>464.7800000000002</v>
      </c>
      <c r="P143" s="41" t="s">
        <v>149</v>
      </c>
      <c r="R143" s="185"/>
    </row>
    <row r="144" spans="1:18" s="191" customFormat="1" ht="10.7" customHeight="1" x14ac:dyDescent="0.2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7" customHeight="1" x14ac:dyDescent="0.2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7" customHeight="1" x14ac:dyDescent="0.2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0.53</v>
      </c>
      <c r="H146" s="183">
        <v>0.20228853214860953</v>
      </c>
      <c r="I146" s="153">
        <v>261.47200000000004</v>
      </c>
      <c r="J146" s="154">
        <v>8.0000000000000016E-2</v>
      </c>
      <c r="K146" s="154">
        <v>0.10999999999999999</v>
      </c>
      <c r="L146" s="154">
        <v>8.0000000000000016E-2</v>
      </c>
      <c r="M146" s="154">
        <v>0</v>
      </c>
      <c r="N146" s="46">
        <v>0</v>
      </c>
      <c r="O146" s="154">
        <v>6.7500000000000004E-2</v>
      </c>
      <c r="P146" s="41" t="s">
        <v>149</v>
      </c>
      <c r="R146" s="185"/>
    </row>
    <row r="147" spans="1:18" s="191" customFormat="1" ht="10.7" customHeight="1" x14ac:dyDescent="0.2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7" customHeight="1" x14ac:dyDescent="0.2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7" customHeight="1" x14ac:dyDescent="0.2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329.69300000000004</v>
      </c>
      <c r="H149" s="183">
        <v>28.505754878158442</v>
      </c>
      <c r="I149" s="153">
        <v>826.89100000000008</v>
      </c>
      <c r="J149" s="154">
        <v>0</v>
      </c>
      <c r="K149" s="154">
        <v>0</v>
      </c>
      <c r="L149" s="154">
        <v>0</v>
      </c>
      <c r="M149" s="154">
        <v>329.09300000000002</v>
      </c>
      <c r="N149" s="46">
        <v>28.453877971682122</v>
      </c>
      <c r="O149" s="154">
        <v>82.273250000000004</v>
      </c>
      <c r="P149" s="41">
        <v>8.0505449827252491</v>
      </c>
      <c r="R149" s="185"/>
    </row>
    <row r="150" spans="1:18" s="191" customFormat="1" ht="10.7" customHeight="1" x14ac:dyDescent="0.2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4158.7880000000005</v>
      </c>
      <c r="H150" s="183">
        <v>26.49632549416669</v>
      </c>
      <c r="I150" s="153">
        <v>11536.928</v>
      </c>
      <c r="J150" s="154">
        <v>0</v>
      </c>
      <c r="K150" s="154">
        <v>0</v>
      </c>
      <c r="L150" s="154">
        <v>0</v>
      </c>
      <c r="M150" s="154">
        <v>1369.3850000000007</v>
      </c>
      <c r="N150" s="46">
        <v>8.7502786010851672</v>
      </c>
      <c r="O150" s="154">
        <v>342.34625000000017</v>
      </c>
      <c r="P150" s="41">
        <v>31.699589231662372</v>
      </c>
      <c r="R150" s="185"/>
    </row>
    <row r="151" spans="1:18" s="191" customFormat="1" ht="10.7" customHeight="1" x14ac:dyDescent="0.2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1.1800000190734865</v>
      </c>
      <c r="H151" s="183">
        <v>6.4902921680517371</v>
      </c>
      <c r="I151" s="153">
        <v>17.000999980926515</v>
      </c>
      <c r="J151" s="154">
        <v>0</v>
      </c>
      <c r="K151" s="154">
        <v>0.94000001144409207</v>
      </c>
      <c r="L151" s="154">
        <v>0</v>
      </c>
      <c r="M151" s="154">
        <v>0</v>
      </c>
      <c r="N151" s="46">
        <v>0</v>
      </c>
      <c r="O151" s="154">
        <v>0.23500000286102302</v>
      </c>
      <c r="P151" s="41" t="s">
        <v>149</v>
      </c>
      <c r="R151" s="185"/>
    </row>
    <row r="152" spans="1:18" s="191" customFormat="1" ht="10.7" customHeight="1" x14ac:dyDescent="0.2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7" customHeight="1" x14ac:dyDescent="0.2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7" customHeight="1" x14ac:dyDescent="0.2">
      <c r="A154" s="168"/>
      <c r="B154" s="184" t="s">
        <v>82</v>
      </c>
      <c r="C154" s="151">
        <v>0.7</v>
      </c>
      <c r="D154" s="152">
        <v>299.99999999999989</v>
      </c>
      <c r="E154" s="152">
        <v>479.19999999999993</v>
      </c>
      <c r="F154" s="153">
        <v>479.89999999999992</v>
      </c>
      <c r="G154" s="154">
        <v>0</v>
      </c>
      <c r="H154" s="183">
        <v>0</v>
      </c>
      <c r="I154" s="153">
        <v>479.89999999999992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7" customHeight="1" x14ac:dyDescent="0.2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7" customHeight="1" x14ac:dyDescent="0.2">
      <c r="A156" s="168"/>
      <c r="B156" s="205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2243.5299999999997</v>
      </c>
      <c r="H156" s="183">
        <v>8.4797566329160343</v>
      </c>
      <c r="I156" s="153">
        <v>24213.951000000001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7" customHeight="1" x14ac:dyDescent="0.2">
      <c r="A157" s="168"/>
      <c r="B157" s="40" t="s">
        <v>85</v>
      </c>
      <c r="C157" s="151">
        <v>23874.654999999999</v>
      </c>
      <c r="D157" s="152">
        <v>-120</v>
      </c>
      <c r="E157" s="152">
        <v>-356</v>
      </c>
      <c r="F157" s="153">
        <v>23518.654999999999</v>
      </c>
      <c r="G157" s="154">
        <v>251.75700170898438</v>
      </c>
      <c r="H157" s="183">
        <v>1.0704566298922469</v>
      </c>
      <c r="I157" s="153">
        <v>23266.897998291013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7" customHeight="1" x14ac:dyDescent="0.2">
      <c r="A158" s="168"/>
      <c r="B158" s="196" t="s">
        <v>86</v>
      </c>
      <c r="C158" s="151">
        <v>212265.38399999999</v>
      </c>
      <c r="D158" s="154">
        <v>179.99999999999989</v>
      </c>
      <c r="E158" s="152">
        <v>-55.999999999970896</v>
      </c>
      <c r="F158" s="153">
        <v>212209.38400000002</v>
      </c>
      <c r="G158" s="154">
        <v>25930.718001728063</v>
      </c>
      <c r="H158" s="183">
        <v>12.219402136207162</v>
      </c>
      <c r="I158" s="153">
        <v>186278.66599827196</v>
      </c>
      <c r="J158" s="154">
        <v>1.6800000000004094</v>
      </c>
      <c r="K158" s="154">
        <v>1.6100000114439741</v>
      </c>
      <c r="L158" s="154">
        <v>4.3100000000007643</v>
      </c>
      <c r="M158" s="154">
        <v>3551.2080000000005</v>
      </c>
      <c r="N158" s="46">
        <v>1.6730038280758961</v>
      </c>
      <c r="O158" s="154">
        <v>889.70200000286138</v>
      </c>
      <c r="P158" s="41" t="s">
        <v>149</v>
      </c>
      <c r="R158" s="185"/>
    </row>
    <row r="159" spans="1:18" s="191" customFormat="1" ht="10.7" customHeight="1" x14ac:dyDescent="0.2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7" customHeight="1" x14ac:dyDescent="0.2">
      <c r="B160" s="57" t="s">
        <v>87</v>
      </c>
      <c r="C160" s="151">
        <v>452.197</v>
      </c>
      <c r="D160" s="152">
        <v>-90</v>
      </c>
      <c r="E160" s="152">
        <v>-90</v>
      </c>
      <c r="F160" s="153">
        <v>362.197</v>
      </c>
      <c r="G160" s="154">
        <v>0.1</v>
      </c>
      <c r="H160" s="183">
        <v>2.7609284450174906E-2</v>
      </c>
      <c r="I160" s="153">
        <v>362.09699999999998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7" customHeight="1" x14ac:dyDescent="0.2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7" customHeight="1" x14ac:dyDescent="0.2">
      <c r="B162" s="49" t="s">
        <v>89</v>
      </c>
      <c r="C162" s="151">
        <v>1460.462</v>
      </c>
      <c r="D162" s="152">
        <v>90</v>
      </c>
      <c r="E162" s="152">
        <v>326</v>
      </c>
      <c r="F162" s="153">
        <v>1786.462</v>
      </c>
      <c r="G162" s="154">
        <v>600</v>
      </c>
      <c r="H162" s="183">
        <v>33.585936896502695</v>
      </c>
      <c r="I162" s="153">
        <v>1186.462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7" customHeight="1" x14ac:dyDescent="0.2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7" customHeight="1" x14ac:dyDescent="0.2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7" customHeight="1" x14ac:dyDescent="0.2">
      <c r="B165" s="197" t="s">
        <v>91</v>
      </c>
      <c r="C165" s="157">
        <v>214178.04300000001</v>
      </c>
      <c r="D165" s="155">
        <v>179.99999999999989</v>
      </c>
      <c r="E165" s="155">
        <v>180.0000000000291</v>
      </c>
      <c r="F165" s="156">
        <v>214358.04300000003</v>
      </c>
      <c r="G165" s="155">
        <v>26530.818001728061</v>
      </c>
      <c r="H165" s="188">
        <v>12.376870786102511</v>
      </c>
      <c r="I165" s="156">
        <v>187827.22499827197</v>
      </c>
      <c r="J165" s="155">
        <v>1.6800000000004094</v>
      </c>
      <c r="K165" s="155">
        <v>1.6100000114439741</v>
      </c>
      <c r="L165" s="155">
        <v>4.3099999999976717</v>
      </c>
      <c r="M165" s="155">
        <v>3551.2080000000005</v>
      </c>
      <c r="N165" s="58">
        <v>1.6580635205449143</v>
      </c>
      <c r="O165" s="155">
        <v>889.7020000028607</v>
      </c>
      <c r="P165" s="54" t="s">
        <v>149</v>
      </c>
      <c r="Q165" s="191"/>
    </row>
    <row r="166" spans="1:254" ht="10.7" customHeight="1" x14ac:dyDescent="0.2">
      <c r="B166" s="198" t="s">
        <v>167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7" customHeight="1" x14ac:dyDescent="0.2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7" customHeight="1" x14ac:dyDescent="0.2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7" customHeight="1" x14ac:dyDescent="0.2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7" customHeight="1" x14ac:dyDescent="0.2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7" customHeight="1" x14ac:dyDescent="0.2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7" customHeight="1" x14ac:dyDescent="0.2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7" customHeight="1" x14ac:dyDescent="0.2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44468</v>
      </c>
      <c r="K173" s="33">
        <v>44475</v>
      </c>
      <c r="L173" s="33">
        <v>44482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7" customHeight="1" x14ac:dyDescent="0.2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7" customHeight="1" x14ac:dyDescent="0.2">
      <c r="A175" s="168"/>
      <c r="B175" s="40"/>
      <c r="C175" s="233" t="s">
        <v>139</v>
      </c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41" t="s">
        <v>4</v>
      </c>
      <c r="Q175" s="191"/>
      <c r="R175" s="185"/>
    </row>
    <row r="176" spans="1:254" s="61" customFormat="1" ht="10.7" customHeight="1" x14ac:dyDescent="0.2">
      <c r="A176" s="169"/>
      <c r="B176" s="40" t="s">
        <v>62</v>
      </c>
      <c r="C176" s="151">
        <v>64.016999999999996</v>
      </c>
      <c r="D176" s="152">
        <v>0</v>
      </c>
      <c r="E176" s="152">
        <v>28.900000000000006</v>
      </c>
      <c r="F176" s="153">
        <v>92.917000000000002</v>
      </c>
      <c r="G176" s="154">
        <v>16.646999999999998</v>
      </c>
      <c r="H176" s="183">
        <v>17.91598953905098</v>
      </c>
      <c r="I176" s="153">
        <v>76.27000000000001</v>
      </c>
      <c r="J176" s="154">
        <v>0</v>
      </c>
      <c r="K176" s="154">
        <v>0</v>
      </c>
      <c r="L176" s="154">
        <v>0</v>
      </c>
      <c r="M176" s="154">
        <v>0</v>
      </c>
      <c r="N176" s="46">
        <v>0</v>
      </c>
      <c r="O176" s="154">
        <v>0</v>
      </c>
      <c r="P176" s="41" t="s">
        <v>149</v>
      </c>
      <c r="Q176" s="191"/>
      <c r="R176" s="185"/>
    </row>
    <row r="177" spans="1:20" s="61" customFormat="1" ht="10.7" customHeight="1" x14ac:dyDescent="0.2">
      <c r="A177" s="168"/>
      <c r="B177" s="40" t="s">
        <v>63</v>
      </c>
      <c r="C177" s="151">
        <v>7.1840000000000002</v>
      </c>
      <c r="D177" s="152">
        <v>0</v>
      </c>
      <c r="E177" s="152">
        <v>16.2</v>
      </c>
      <c r="F177" s="153">
        <v>23.384</v>
      </c>
      <c r="G177" s="154">
        <v>18.520000000000003</v>
      </c>
      <c r="H177" s="183">
        <v>79.199452617174146</v>
      </c>
      <c r="I177" s="153">
        <v>4.8639999999999972</v>
      </c>
      <c r="J177" s="154">
        <v>0</v>
      </c>
      <c r="K177" s="154">
        <v>0</v>
      </c>
      <c r="L177" s="154">
        <v>1.4800000000000004</v>
      </c>
      <c r="M177" s="154">
        <v>0</v>
      </c>
      <c r="N177" s="46">
        <v>0</v>
      </c>
      <c r="O177" s="154">
        <v>0.37000000000000011</v>
      </c>
      <c r="P177" s="41">
        <v>11.145945945945934</v>
      </c>
      <c r="Q177" s="191"/>
      <c r="R177" s="185"/>
    </row>
    <row r="178" spans="1:20" s="61" customFormat="1" ht="10.7" customHeight="1" x14ac:dyDescent="0.2">
      <c r="A178" s="168"/>
      <c r="B178" s="40" t="s">
        <v>65</v>
      </c>
      <c r="C178" s="151">
        <v>2.6709999999999998</v>
      </c>
      <c r="D178" s="152">
        <v>0</v>
      </c>
      <c r="E178" s="152">
        <v>5.0999999999999996</v>
      </c>
      <c r="F178" s="153">
        <v>7.770999999999999</v>
      </c>
      <c r="G178" s="154">
        <v>3.46</v>
      </c>
      <c r="H178" s="183">
        <v>44.524514219534169</v>
      </c>
      <c r="I178" s="153">
        <v>4.3109999999999991</v>
      </c>
      <c r="J178" s="154">
        <v>0</v>
      </c>
      <c r="K178" s="154">
        <v>6.0000000000000053E-2</v>
      </c>
      <c r="L178" s="154">
        <v>0.26</v>
      </c>
      <c r="M178" s="154">
        <v>0</v>
      </c>
      <c r="N178" s="46">
        <v>0</v>
      </c>
      <c r="O178" s="154">
        <v>8.0000000000000016E-2</v>
      </c>
      <c r="P178" s="41" t="s">
        <v>149</v>
      </c>
      <c r="Q178" s="191"/>
      <c r="R178" s="185"/>
    </row>
    <row r="179" spans="1:20" s="61" customFormat="1" ht="10.7" customHeight="1" x14ac:dyDescent="0.2">
      <c r="A179" s="168"/>
      <c r="B179" s="40" t="s">
        <v>66</v>
      </c>
      <c r="C179" s="151">
        <v>42.249000000000002</v>
      </c>
      <c r="D179" s="152">
        <v>0</v>
      </c>
      <c r="E179" s="152">
        <v>-12.8</v>
      </c>
      <c r="F179" s="153">
        <v>29.449000000000002</v>
      </c>
      <c r="G179" s="154">
        <v>19.900000000000002</v>
      </c>
      <c r="H179" s="183">
        <v>67.574450745356387</v>
      </c>
      <c r="I179" s="153">
        <v>9.5489999999999995</v>
      </c>
      <c r="J179" s="154">
        <v>1.4870000076293959</v>
      </c>
      <c r="K179" s="154">
        <v>7.7059999999999995</v>
      </c>
      <c r="L179" s="154">
        <v>0</v>
      </c>
      <c r="M179" s="154">
        <v>0</v>
      </c>
      <c r="N179" s="46">
        <v>0</v>
      </c>
      <c r="O179" s="154">
        <v>2.2982500019073488</v>
      </c>
      <c r="P179" s="41">
        <v>2.1549004642989908</v>
      </c>
      <c r="Q179" s="191"/>
      <c r="R179" s="185"/>
    </row>
    <row r="180" spans="1:20" s="61" customFormat="1" ht="10.7" customHeight="1" x14ac:dyDescent="0.2">
      <c r="A180" s="168"/>
      <c r="B180" s="40" t="s">
        <v>67</v>
      </c>
      <c r="C180" s="151">
        <v>0.68200000000000005</v>
      </c>
      <c r="D180" s="152">
        <v>40.000000000000007</v>
      </c>
      <c r="E180" s="152">
        <v>41.2</v>
      </c>
      <c r="F180" s="153">
        <v>41.882000000000005</v>
      </c>
      <c r="G180" s="154">
        <v>18.638000007629401</v>
      </c>
      <c r="H180" s="183">
        <v>44.501217725107203</v>
      </c>
      <c r="I180" s="153">
        <v>23.243999992370604</v>
      </c>
      <c r="J180" s="154">
        <v>0</v>
      </c>
      <c r="K180" s="154">
        <v>0</v>
      </c>
      <c r="L180" s="154">
        <v>0.48000000000000043</v>
      </c>
      <c r="M180" s="154">
        <v>1.3470000000000049</v>
      </c>
      <c r="N180" s="46">
        <v>197.50733137829982</v>
      </c>
      <c r="O180" s="154">
        <v>0.45675000000000132</v>
      </c>
      <c r="P180" s="41" t="s">
        <v>150</v>
      </c>
      <c r="Q180" s="191"/>
      <c r="R180" s="185"/>
    </row>
    <row r="181" spans="1:20" s="61" customFormat="1" ht="10.7" customHeight="1" x14ac:dyDescent="0.2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3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7" customHeight="1" x14ac:dyDescent="0.2">
      <c r="A182" s="190"/>
      <c r="B182" s="40" t="s">
        <v>69</v>
      </c>
      <c r="C182" s="151">
        <v>1.3</v>
      </c>
      <c r="D182" s="152">
        <v>0</v>
      </c>
      <c r="E182" s="152">
        <v>3.1000000000000005</v>
      </c>
      <c r="F182" s="153">
        <v>4.4000000000000004</v>
      </c>
      <c r="G182" s="154">
        <v>0</v>
      </c>
      <c r="H182" s="183">
        <v>0</v>
      </c>
      <c r="I182" s="153">
        <v>4.4000000000000004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1"/>
      <c r="R182" s="185"/>
    </row>
    <row r="183" spans="1:20" s="61" customFormat="1" ht="10.7" customHeight="1" x14ac:dyDescent="0.2">
      <c r="A183" s="168"/>
      <c r="B183" s="40" t="s">
        <v>70</v>
      </c>
      <c r="C183" s="151">
        <v>-7.9</v>
      </c>
      <c r="D183" s="152">
        <v>0</v>
      </c>
      <c r="E183" s="152">
        <v>0.29999999999999982</v>
      </c>
      <c r="F183" s="153">
        <v>-7.6000000000000005</v>
      </c>
      <c r="G183" s="154">
        <v>0</v>
      </c>
      <c r="H183" s="183">
        <v>0</v>
      </c>
      <c r="I183" s="153">
        <v>-7.6000000000000005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7" customHeight="1" x14ac:dyDescent="0.2">
      <c r="A184" s="168"/>
      <c r="B184" s="40" t="s">
        <v>71</v>
      </c>
      <c r="C184" s="151">
        <v>56.000999999999998</v>
      </c>
      <c r="D184" s="152">
        <v>0</v>
      </c>
      <c r="E184" s="152">
        <v>-32.200000000000003</v>
      </c>
      <c r="F184" s="153">
        <v>23.800999999999995</v>
      </c>
      <c r="G184" s="154">
        <v>0</v>
      </c>
      <c r="H184" s="183">
        <v>0</v>
      </c>
      <c r="I184" s="153">
        <v>23.800999999999995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7" customHeight="1" x14ac:dyDescent="0.2">
      <c r="A185" s="168"/>
      <c r="B185" s="40" t="s">
        <v>72</v>
      </c>
      <c r="C185" s="151">
        <v>29.056000000000001</v>
      </c>
      <c r="D185" s="152">
        <v>0</v>
      </c>
      <c r="E185" s="152">
        <v>21.8</v>
      </c>
      <c r="F185" s="153">
        <v>50.856000000000002</v>
      </c>
      <c r="G185" s="154">
        <v>29.810000000000002</v>
      </c>
      <c r="H185" s="183">
        <v>58.616485763725024</v>
      </c>
      <c r="I185" s="153">
        <v>21.045999999999999</v>
      </c>
      <c r="J185" s="154">
        <v>0</v>
      </c>
      <c r="K185" s="154">
        <v>0</v>
      </c>
      <c r="L185" s="154">
        <v>0</v>
      </c>
      <c r="M185" s="154">
        <v>0</v>
      </c>
      <c r="N185" s="46">
        <v>0</v>
      </c>
      <c r="O185" s="154">
        <v>0</v>
      </c>
      <c r="P185" s="41" t="s">
        <v>149</v>
      </c>
      <c r="R185" s="185"/>
      <c r="T185" s="61"/>
    </row>
    <row r="186" spans="1:20" s="191" customFormat="1" ht="10.7" customHeight="1" x14ac:dyDescent="0.2">
      <c r="A186" s="168"/>
      <c r="B186" s="47" t="s">
        <v>73</v>
      </c>
      <c r="C186" s="151">
        <v>195.376</v>
      </c>
      <c r="D186" s="152">
        <v>40.000000000000007</v>
      </c>
      <c r="E186" s="152">
        <v>71.500000000000028</v>
      </c>
      <c r="F186" s="153">
        <v>266.87600000000003</v>
      </c>
      <c r="G186" s="154">
        <v>106.9750000076294</v>
      </c>
      <c r="H186" s="183">
        <v>40.084158938094617</v>
      </c>
      <c r="I186" s="153">
        <v>159.90099999237063</v>
      </c>
      <c r="J186" s="154">
        <v>1.4870000076293959</v>
      </c>
      <c r="K186" s="154">
        <v>7.766</v>
      </c>
      <c r="L186" s="154">
        <v>2.2200000000000006</v>
      </c>
      <c r="M186" s="154">
        <v>1.3470000000000049</v>
      </c>
      <c r="N186" s="46">
        <v>0.68943984931619284</v>
      </c>
      <c r="O186" s="154">
        <v>3.2050000019073503</v>
      </c>
      <c r="P186" s="41">
        <v>47.891107612234258</v>
      </c>
      <c r="R186" s="185"/>
      <c r="T186" s="61"/>
    </row>
    <row r="187" spans="1:20" s="191" customFormat="1" ht="10.7" customHeight="1" x14ac:dyDescent="0.2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7" customHeight="1" x14ac:dyDescent="0.2">
      <c r="A188" s="168"/>
      <c r="B188" s="40" t="s">
        <v>74</v>
      </c>
      <c r="C188" s="151">
        <v>11.368</v>
      </c>
      <c r="D188" s="152">
        <v>0</v>
      </c>
      <c r="E188" s="152">
        <v>-4</v>
      </c>
      <c r="F188" s="153">
        <v>7.3680000000000003</v>
      </c>
      <c r="G188" s="154">
        <v>1.0804999985918404</v>
      </c>
      <c r="H188" s="183">
        <v>14.664766538977204</v>
      </c>
      <c r="I188" s="153">
        <v>6.2875000014081603</v>
      </c>
      <c r="J188" s="154">
        <v>9.0000000000000635E-3</v>
      </c>
      <c r="K188" s="154">
        <v>1.2000000000000011E-2</v>
      </c>
      <c r="L188" s="154">
        <v>4.6000000000000041E-2</v>
      </c>
      <c r="M188" s="154">
        <v>4.7249999999999959E-2</v>
      </c>
      <c r="N188" s="46">
        <v>0.4156403940886696</v>
      </c>
      <c r="O188" s="154">
        <v>2.8562500000000018E-2</v>
      </c>
      <c r="P188" s="41" t="s">
        <v>149</v>
      </c>
      <c r="Q188" s="191"/>
      <c r="R188" s="185"/>
    </row>
    <row r="189" spans="1:20" s="61" customFormat="1" ht="10.7" customHeight="1" x14ac:dyDescent="0.2">
      <c r="A189" s="168"/>
      <c r="B189" s="40" t="s">
        <v>75</v>
      </c>
      <c r="C189" s="151">
        <v>2.036</v>
      </c>
      <c r="D189" s="152">
        <v>0</v>
      </c>
      <c r="E189" s="152">
        <v>13</v>
      </c>
      <c r="F189" s="153">
        <v>15.036</v>
      </c>
      <c r="G189" s="154">
        <v>0.82000000000000006</v>
      </c>
      <c r="H189" s="183">
        <v>5.4535780792764035</v>
      </c>
      <c r="I189" s="153">
        <v>14.215999999999999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1"/>
      <c r="R189" s="185"/>
    </row>
    <row r="190" spans="1:20" s="61" customFormat="1" ht="10.7" customHeight="1" x14ac:dyDescent="0.2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7" customHeight="1" x14ac:dyDescent="0.2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7" customHeight="1" x14ac:dyDescent="0.2">
      <c r="A192" s="168"/>
      <c r="B192" s="40" t="s">
        <v>77</v>
      </c>
      <c r="C192" s="151">
        <v>49.235999999999997</v>
      </c>
      <c r="D192" s="152">
        <v>0</v>
      </c>
      <c r="E192" s="152">
        <v>-36</v>
      </c>
      <c r="F192" s="153">
        <v>13.235999999999997</v>
      </c>
      <c r="G192" s="154">
        <v>11.834999977946282</v>
      </c>
      <c r="H192" s="183">
        <v>89.415231021050801</v>
      </c>
      <c r="I192" s="153">
        <v>1.4010000220537151</v>
      </c>
      <c r="J192" s="154">
        <v>1.7763568394002505E-15</v>
      </c>
      <c r="K192" s="154">
        <v>0</v>
      </c>
      <c r="L192" s="154">
        <v>0</v>
      </c>
      <c r="M192" s="154">
        <v>0</v>
      </c>
      <c r="N192" s="46">
        <v>0</v>
      </c>
      <c r="O192" s="154">
        <v>4.4408920985006262E-16</v>
      </c>
      <c r="P192" s="41" t="s">
        <v>149</v>
      </c>
      <c r="Q192" s="191"/>
      <c r="R192" s="185"/>
    </row>
    <row r="193" spans="1:20" s="61" customFormat="1" ht="10.7" customHeight="1" x14ac:dyDescent="0.2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3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1"/>
      <c r="R193" s="185"/>
    </row>
    <row r="194" spans="1:20" s="61" customFormat="1" ht="10.7" customHeight="1" x14ac:dyDescent="0.2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10.368499969959261</v>
      </c>
      <c r="H194" s="183">
        <v>100.98860397350016</v>
      </c>
      <c r="I194" s="153">
        <v>-0.1014999699592618</v>
      </c>
      <c r="J194" s="154">
        <v>1.7763568394002505E-15</v>
      </c>
      <c r="K194" s="154">
        <v>0</v>
      </c>
      <c r="L194" s="154">
        <v>0</v>
      </c>
      <c r="M194" s="154">
        <v>0</v>
      </c>
      <c r="N194" s="46">
        <v>0</v>
      </c>
      <c r="O194" s="154">
        <v>4.4408920985006262E-16</v>
      </c>
      <c r="P194" s="41">
        <v>0</v>
      </c>
      <c r="Q194" s="191"/>
      <c r="R194" s="185"/>
    </row>
    <row r="195" spans="1:20" s="61" customFormat="1" ht="10.7" customHeight="1" x14ac:dyDescent="0.2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7" customHeight="1" x14ac:dyDescent="0.2">
      <c r="A196" s="168"/>
      <c r="B196" s="40" t="s">
        <v>81</v>
      </c>
      <c r="C196" s="151">
        <v>0.71599999999999997</v>
      </c>
      <c r="D196" s="152">
        <v>0</v>
      </c>
      <c r="E196" s="152">
        <v>3.8999999999999995</v>
      </c>
      <c r="F196" s="153">
        <v>4.6159999999999997</v>
      </c>
      <c r="G196" s="154">
        <v>4.4439999732971174</v>
      </c>
      <c r="H196" s="183">
        <v>96.273829577493885</v>
      </c>
      <c r="I196" s="153">
        <v>0.17200002670288228</v>
      </c>
      <c r="J196" s="154">
        <v>0</v>
      </c>
      <c r="K196" s="154">
        <v>4.0000000000000036E-2</v>
      </c>
      <c r="L196" s="154">
        <v>1.0049999732971187</v>
      </c>
      <c r="M196" s="154">
        <v>1.0599999999999996</v>
      </c>
      <c r="N196" s="46">
        <v>148.04469273743013</v>
      </c>
      <c r="O196" s="154">
        <v>0.52624999332427957</v>
      </c>
      <c r="P196" s="41">
        <v>0</v>
      </c>
      <c r="Q196" s="191"/>
      <c r="R196" s="185"/>
    </row>
    <row r="197" spans="1:20" s="61" customFormat="1" ht="10.7" customHeight="1" x14ac:dyDescent="0.2">
      <c r="A197" s="171"/>
      <c r="B197" s="184" t="s">
        <v>82</v>
      </c>
      <c r="C197" s="151">
        <v>1.026</v>
      </c>
      <c r="D197" s="152">
        <v>0</v>
      </c>
      <c r="E197" s="152">
        <v>87.4</v>
      </c>
      <c r="F197" s="153">
        <v>88.426000000000002</v>
      </c>
      <c r="G197" s="154">
        <v>72.606000187173564</v>
      </c>
      <c r="H197" s="183">
        <v>82.109334570345339</v>
      </c>
      <c r="I197" s="153">
        <v>15.819999812826438</v>
      </c>
      <c r="J197" s="154">
        <v>4.0489999923706534</v>
      </c>
      <c r="K197" s="154">
        <v>2.0570000305175853</v>
      </c>
      <c r="L197" s="154">
        <v>3.1279999961853235</v>
      </c>
      <c r="M197" s="154">
        <v>2.3940000000000055</v>
      </c>
      <c r="N197" s="46">
        <v>233.33333333333388</v>
      </c>
      <c r="O197" s="154">
        <v>2.9070000047683919</v>
      </c>
      <c r="P197" s="41">
        <v>3.4420363903944535</v>
      </c>
      <c r="Q197" s="191"/>
      <c r="R197" s="185"/>
    </row>
    <row r="198" spans="1:20" s="61" customFormat="1" ht="10.7" customHeight="1" x14ac:dyDescent="0.2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7" customHeight="1" x14ac:dyDescent="0.2">
      <c r="A199" s="206"/>
      <c r="B199" s="62" t="s">
        <v>84</v>
      </c>
      <c r="C199" s="151">
        <v>109.93600000000001</v>
      </c>
      <c r="D199" s="152">
        <v>0</v>
      </c>
      <c r="E199" s="152">
        <v>-106.30000000000001</v>
      </c>
      <c r="F199" s="153">
        <v>3.6359999999999957</v>
      </c>
      <c r="G199" s="154">
        <v>0</v>
      </c>
      <c r="H199" s="183">
        <v>0</v>
      </c>
      <c r="I199" s="153">
        <v>3.6359999999999957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7" customHeight="1" x14ac:dyDescent="0.2">
      <c r="A200" s="206"/>
      <c r="B200" s="40" t="s">
        <v>85</v>
      </c>
      <c r="C200" s="151">
        <v>154.35300000000001</v>
      </c>
      <c r="D200" s="152">
        <v>0</v>
      </c>
      <c r="E200" s="152">
        <v>273</v>
      </c>
      <c r="F200" s="153">
        <v>427.35300000000001</v>
      </c>
      <c r="G200" s="154">
        <v>370.4575009512306</v>
      </c>
      <c r="H200" s="183">
        <v>86.68653336965707</v>
      </c>
      <c r="I200" s="153">
        <v>56.895499048769409</v>
      </c>
      <c r="J200" s="154">
        <v>1.1999999999986244E-2</v>
      </c>
      <c r="K200" s="154">
        <v>18.568999999999988</v>
      </c>
      <c r="L200" s="154">
        <v>0.44299999999999784</v>
      </c>
      <c r="M200" s="154">
        <v>33.658000488281289</v>
      </c>
      <c r="N200" s="46">
        <v>21.80586090861939</v>
      </c>
      <c r="O200" s="154">
        <v>13.170500122070315</v>
      </c>
      <c r="P200" s="41">
        <v>2.3199194048392613</v>
      </c>
      <c r="Q200" s="191"/>
      <c r="R200" s="185"/>
    </row>
    <row r="201" spans="1:20" s="61" customFormat="1" ht="10.7" customHeight="1" x14ac:dyDescent="0.2">
      <c r="A201" s="171"/>
      <c r="B201" s="196" t="s">
        <v>86</v>
      </c>
      <c r="C201" s="151">
        <v>550.88700000000006</v>
      </c>
      <c r="D201" s="154">
        <v>40.000000000000007</v>
      </c>
      <c r="E201" s="152">
        <v>292.49999999999989</v>
      </c>
      <c r="F201" s="153">
        <v>843.38699999999994</v>
      </c>
      <c r="G201" s="154">
        <v>578.59650106582808</v>
      </c>
      <c r="H201" s="183">
        <v>68.603915055108516</v>
      </c>
      <c r="I201" s="153">
        <v>264.79049893417186</v>
      </c>
      <c r="J201" s="154">
        <v>5.5570000000000395</v>
      </c>
      <c r="K201" s="154">
        <v>28.444000030517572</v>
      </c>
      <c r="L201" s="154">
        <v>6.8419999694824405</v>
      </c>
      <c r="M201" s="154">
        <v>38.506250488281296</v>
      </c>
      <c r="N201" s="46">
        <v>6.9898637085793078</v>
      </c>
      <c r="O201" s="154">
        <v>19.837312622070336</v>
      </c>
      <c r="P201" s="41">
        <v>11.348103343371962</v>
      </c>
      <c r="Q201" s="191"/>
      <c r="R201" s="185"/>
    </row>
    <row r="202" spans="1:20" ht="10.7" customHeight="1" x14ac:dyDescent="0.2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7" customHeight="1" x14ac:dyDescent="0.2">
      <c r="A203" s="172"/>
      <c r="B203" s="57" t="s">
        <v>87</v>
      </c>
      <c r="C203" s="151">
        <v>103.712</v>
      </c>
      <c r="D203" s="152">
        <v>-90</v>
      </c>
      <c r="E203" s="152">
        <v>-90</v>
      </c>
      <c r="F203" s="153">
        <v>13.712000000000007</v>
      </c>
      <c r="G203" s="154">
        <v>0.18</v>
      </c>
      <c r="H203" s="183">
        <v>1.3127187864644101</v>
      </c>
      <c r="I203" s="153">
        <v>13.532000000000007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7" customHeight="1" x14ac:dyDescent="0.2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7" customHeight="1" x14ac:dyDescent="0.2">
      <c r="A205" s="173" t="s">
        <v>89</v>
      </c>
      <c r="B205" s="49" t="s">
        <v>95</v>
      </c>
      <c r="C205" s="151">
        <v>1074.6490000000001</v>
      </c>
      <c r="D205" s="152">
        <v>48.900000000000006</v>
      </c>
      <c r="E205" s="152">
        <v>-198.70000000000005</v>
      </c>
      <c r="F205" s="153">
        <v>875.94900000000007</v>
      </c>
      <c r="G205" s="154">
        <v>393.73857000075202</v>
      </c>
      <c r="H205" s="183">
        <v>44.949942291246636</v>
      </c>
      <c r="I205" s="153">
        <v>482.21042999924805</v>
      </c>
      <c r="J205" s="154">
        <v>118.85824999999943</v>
      </c>
      <c r="K205" s="154">
        <v>91.535250000000218</v>
      </c>
      <c r="L205" s="154">
        <v>44.413450000107197</v>
      </c>
      <c r="M205" s="154">
        <v>69.41525000108787</v>
      </c>
      <c r="N205" s="46"/>
      <c r="O205" s="154"/>
      <c r="P205" s="41" t="s">
        <v>149</v>
      </c>
      <c r="R205" s="185"/>
      <c r="T205" s="61"/>
    </row>
    <row r="206" spans="1:20" s="191" customFormat="1" ht="10.7" customHeight="1" x14ac:dyDescent="0.2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7" customHeight="1" x14ac:dyDescent="0.2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7" customHeight="1" x14ac:dyDescent="0.2">
      <c r="A208" s="174"/>
      <c r="B208" s="197" t="s">
        <v>91</v>
      </c>
      <c r="C208" s="225">
        <v>1729.248</v>
      </c>
      <c r="D208" s="155">
        <v>-1.0999999999999872</v>
      </c>
      <c r="E208" s="155">
        <v>3.7999999999998408</v>
      </c>
      <c r="F208" s="156">
        <v>1734.1480000000001</v>
      </c>
      <c r="G208" s="155">
        <v>972.51507106658005</v>
      </c>
      <c r="H208" s="188">
        <v>56.080280983317451</v>
      </c>
      <c r="I208" s="156">
        <v>761.63292893342009</v>
      </c>
      <c r="J208" s="155">
        <v>124.41524999999947</v>
      </c>
      <c r="K208" s="155">
        <v>119.97925003051779</v>
      </c>
      <c r="L208" s="155">
        <v>51.255449969589634</v>
      </c>
      <c r="M208" s="155">
        <v>107.92150048936917</v>
      </c>
      <c r="N208" s="58">
        <v>6.2409498515753183</v>
      </c>
      <c r="O208" s="155">
        <v>100.89286262236902</v>
      </c>
      <c r="P208" s="54">
        <v>5.5489277351969788</v>
      </c>
      <c r="R208" s="185"/>
      <c r="T208" s="61"/>
    </row>
    <row r="209" spans="1:18" s="191" customFormat="1" ht="10.7" customHeight="1" x14ac:dyDescent="0.2">
      <c r="A209" s="174"/>
      <c r="F209" s="192"/>
      <c r="I209" s="193"/>
      <c r="N209" s="194"/>
      <c r="P209" s="194"/>
      <c r="R209" s="185"/>
    </row>
    <row r="210" spans="1:18" s="191" customFormat="1" ht="10.7" customHeight="1" x14ac:dyDescent="0.2">
      <c r="A210" s="174"/>
      <c r="F210" s="192"/>
      <c r="I210" s="193"/>
      <c r="N210" s="194"/>
      <c r="P210" s="194"/>
      <c r="R210" s="185"/>
    </row>
    <row r="211" spans="1:18" s="191" customFormat="1" ht="10.7" hidden="1" customHeight="1" x14ac:dyDescent="0.2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7" hidden="1" customHeight="1" x14ac:dyDescent="0.2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7" hidden="1" customHeight="1" x14ac:dyDescent="0.2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44468</v>
      </c>
      <c r="K213" s="33">
        <v>44475</v>
      </c>
      <c r="L213" s="33">
        <v>44482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7" hidden="1" customHeight="1" x14ac:dyDescent="0.2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7" hidden="1" customHeight="1" x14ac:dyDescent="0.2">
      <c r="A215" s="174"/>
      <c r="B215" s="40"/>
      <c r="C215" s="231" t="s">
        <v>140</v>
      </c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41" t="s">
        <v>4</v>
      </c>
      <c r="R215" s="185"/>
    </row>
    <row r="216" spans="1:18" s="191" customFormat="1" ht="10.7" hidden="1" customHeight="1" x14ac:dyDescent="0.2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3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85"/>
    </row>
    <row r="217" spans="1:18" s="191" customFormat="1" ht="10.7" hidden="1" customHeight="1" x14ac:dyDescent="0.2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5.82</v>
      </c>
      <c r="H217" s="183">
        <v>81.013363028953222</v>
      </c>
      <c r="I217" s="153">
        <v>1.3639999999999999</v>
      </c>
      <c r="J217" s="154">
        <v>0</v>
      </c>
      <c r="K217" s="154">
        <v>0</v>
      </c>
      <c r="L217" s="154">
        <v>1.4800000000000004</v>
      </c>
      <c r="M217" s="154">
        <v>0</v>
      </c>
      <c r="N217" s="46">
        <v>0</v>
      </c>
      <c r="O217" s="154">
        <v>0.37000000000000011</v>
      </c>
      <c r="P217" s="41">
        <v>1.6864864864864852</v>
      </c>
      <c r="R217" s="185"/>
    </row>
    <row r="218" spans="1:18" s="191" customFormat="1" ht="10.7" hidden="1" customHeight="1" x14ac:dyDescent="0.2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3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85"/>
    </row>
    <row r="219" spans="1:18" s="191" customFormat="1" ht="10.7" hidden="1" customHeight="1" x14ac:dyDescent="0.2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3">
        <v>0</v>
      </c>
      <c r="I219" s="153">
        <v>42.249000000000002</v>
      </c>
      <c r="J219" s="154">
        <v>1.4870000076293959</v>
      </c>
      <c r="K219" s="154">
        <v>7.7059999999999995</v>
      </c>
      <c r="L219" s="154">
        <v>0</v>
      </c>
      <c r="M219" s="154">
        <v>0</v>
      </c>
      <c r="N219" s="46">
        <v>0</v>
      </c>
      <c r="O219" s="154">
        <v>2.2982500019073488</v>
      </c>
      <c r="P219" s="41">
        <v>16.383117574213852</v>
      </c>
      <c r="R219" s="185"/>
    </row>
    <row r="220" spans="1:18" s="191" customFormat="1" ht="10.7" hidden="1" customHeight="1" x14ac:dyDescent="0.2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17.2480000076294</v>
      </c>
      <c r="H220" s="183">
        <v>2529.0322591831964</v>
      </c>
      <c r="I220" s="153">
        <v>-16.566000007629402</v>
      </c>
      <c r="J220" s="154">
        <v>0</v>
      </c>
      <c r="K220" s="154">
        <v>0</v>
      </c>
      <c r="L220" s="154">
        <v>0.48000000000000043</v>
      </c>
      <c r="M220" s="154">
        <v>1.3470000000000049</v>
      </c>
      <c r="N220" s="46">
        <v>197.50733137829982</v>
      </c>
      <c r="O220" s="154">
        <v>0.45675000000000132</v>
      </c>
      <c r="P220" s="41" t="s">
        <v>150</v>
      </c>
      <c r="R220" s="185"/>
    </row>
    <row r="221" spans="1:18" s="191" customFormat="1" ht="10.7" hidden="1" customHeight="1" x14ac:dyDescent="0.2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hidden="1" customHeight="1" x14ac:dyDescent="0.2">
      <c r="A222" s="190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3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5"/>
    </row>
    <row r="223" spans="1:18" s="191" customFormat="1" ht="12" hidden="1" customHeight="1" x14ac:dyDescent="0.2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3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hidden="1" customHeight="1" x14ac:dyDescent="0.2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3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7" hidden="1" customHeight="1" x14ac:dyDescent="0.2">
      <c r="A225" s="190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3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5"/>
    </row>
    <row r="226" spans="1:18" s="191" customFormat="1" ht="10.7" hidden="1" customHeight="1" x14ac:dyDescent="0.2">
      <c r="A226" s="190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28.935000007629402</v>
      </c>
      <c r="H226" s="183">
        <v>15.608816679413408</v>
      </c>
      <c r="I226" s="153">
        <v>156.44099999237059</v>
      </c>
      <c r="J226" s="154">
        <v>1.4870000076293959</v>
      </c>
      <c r="K226" s="154">
        <v>7.7059999999999995</v>
      </c>
      <c r="L226" s="154">
        <v>1.9600000000000009</v>
      </c>
      <c r="M226" s="154">
        <v>1.3470000000000049</v>
      </c>
      <c r="N226" s="46">
        <v>197.50733137829982</v>
      </c>
      <c r="O226" s="154">
        <v>3.1250000019073503</v>
      </c>
      <c r="P226" s="41">
        <v>48.061119967003684</v>
      </c>
      <c r="R226" s="185"/>
    </row>
    <row r="227" spans="1:18" s="191" customFormat="1" ht="10.7" hidden="1" customHeight="1" x14ac:dyDescent="0.2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hidden="1" customHeight="1" x14ac:dyDescent="0.2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0.50049999859184036</v>
      </c>
      <c r="H228" s="183">
        <v>4.4027093472188632</v>
      </c>
      <c r="I228" s="153">
        <v>10.86750000140816</v>
      </c>
      <c r="J228" s="154">
        <v>9.0000000000000635E-3</v>
      </c>
      <c r="K228" s="154">
        <v>1.2000000000000011E-2</v>
      </c>
      <c r="L228" s="154">
        <v>4.6000000000000041E-2</v>
      </c>
      <c r="M228" s="154">
        <v>4.7249999999999959E-2</v>
      </c>
      <c r="N228" s="46">
        <v>0.4156403940886696</v>
      </c>
      <c r="O228" s="154">
        <v>2.8562500000000018E-2</v>
      </c>
      <c r="P228" s="41" t="s">
        <v>149</v>
      </c>
      <c r="R228" s="185"/>
    </row>
    <row r="229" spans="1:18" s="191" customFormat="1" ht="10.7" hidden="1" customHeight="1" x14ac:dyDescent="0.2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3">
        <v>1.4734774066797642</v>
      </c>
      <c r="I229" s="153">
        <v>2.0060000000000002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5"/>
    </row>
    <row r="230" spans="1:18" s="191" customFormat="1" ht="10.7" hidden="1" customHeight="1" x14ac:dyDescent="0.2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7" hidden="1" customHeight="1" x14ac:dyDescent="0.2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7" hidden="1" customHeight="1" x14ac:dyDescent="0.2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0.97900000095367434</v>
      </c>
      <c r="H232" s="183">
        <v>1.988382486297982</v>
      </c>
      <c r="I232" s="153">
        <v>48.256999999046322</v>
      </c>
      <c r="J232" s="154">
        <v>0</v>
      </c>
      <c r="K232" s="154">
        <v>0</v>
      </c>
      <c r="L232" s="154">
        <v>0</v>
      </c>
      <c r="M232" s="154">
        <v>0</v>
      </c>
      <c r="N232" s="46">
        <v>0</v>
      </c>
      <c r="O232" s="154">
        <v>0</v>
      </c>
      <c r="P232" s="41" t="s">
        <v>149</v>
      </c>
      <c r="R232" s="185"/>
    </row>
    <row r="233" spans="1:18" s="191" customFormat="1" ht="10.7" hidden="1" customHeight="1" x14ac:dyDescent="0.2">
      <c r="A233" s="190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3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5"/>
    </row>
    <row r="234" spans="1:18" s="191" customFormat="1" ht="10.7" hidden="1" customHeight="1" x14ac:dyDescent="0.2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2.1864999661445625</v>
      </c>
      <c r="H234" s="183">
        <v>818.91384499796345</v>
      </c>
      <c r="I234" s="153">
        <v>-1.9194999661445626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>
        <v>0</v>
      </c>
      <c r="R234" s="185"/>
    </row>
    <row r="235" spans="1:18" s="191" customFormat="1" ht="10.7" hidden="1" customHeight="1" x14ac:dyDescent="0.2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7" hidden="1" customHeight="1" x14ac:dyDescent="0.2">
      <c r="A236" s="190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4.4439999732971174</v>
      </c>
      <c r="H236" s="183">
        <v>620.67038733199956</v>
      </c>
      <c r="I236" s="153">
        <v>-3.7279999732971172</v>
      </c>
      <c r="J236" s="154">
        <v>0</v>
      </c>
      <c r="K236" s="154">
        <v>4.0000000000000036E-2</v>
      </c>
      <c r="L236" s="154">
        <v>1.0049999732971187</v>
      </c>
      <c r="M236" s="154">
        <v>1.0599999999999996</v>
      </c>
      <c r="N236" s="46">
        <v>148.04469273743013</v>
      </c>
      <c r="O236" s="154">
        <v>0.52624999332427957</v>
      </c>
      <c r="P236" s="41">
        <v>0</v>
      </c>
      <c r="R236" s="185"/>
    </row>
    <row r="237" spans="1:18" s="191" customFormat="1" ht="10.7" hidden="1" customHeight="1" x14ac:dyDescent="0.2">
      <c r="A237" s="190"/>
      <c r="B237" s="184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72.606000187173564</v>
      </c>
      <c r="H237" s="183">
        <v>154.0678185867113</v>
      </c>
      <c r="I237" s="153">
        <v>-25.480000187173559</v>
      </c>
      <c r="J237" s="154">
        <v>4.0489999923706534</v>
      </c>
      <c r="K237" s="154">
        <v>2.0570000305175853</v>
      </c>
      <c r="L237" s="154">
        <v>3.1279999961853235</v>
      </c>
      <c r="M237" s="154">
        <v>2.3940000000000055</v>
      </c>
      <c r="N237" s="46">
        <v>233.33333333333388</v>
      </c>
      <c r="O237" s="154">
        <v>2.9070000047683919</v>
      </c>
      <c r="P237" s="41">
        <v>0</v>
      </c>
      <c r="R237" s="185"/>
    </row>
    <row r="238" spans="1:18" s="191" customFormat="1" ht="10.7" hidden="1" customHeight="1" x14ac:dyDescent="0.2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7" hidden="1" customHeight="1" x14ac:dyDescent="0.2">
      <c r="A239" s="206"/>
      <c r="B239" s="205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3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7" hidden="1" customHeight="1" x14ac:dyDescent="0.2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154.71700062984229</v>
      </c>
      <c r="H240" s="183">
        <v>100.23582348891327</v>
      </c>
      <c r="I240" s="153">
        <v>-0.36400062984228043</v>
      </c>
      <c r="J240" s="154">
        <v>1.1999999999986244E-2</v>
      </c>
      <c r="K240" s="154">
        <v>18.568999999999988</v>
      </c>
      <c r="L240" s="154">
        <v>0.44299999999999784</v>
      </c>
      <c r="M240" s="154">
        <v>33.658000488281289</v>
      </c>
      <c r="N240" s="46">
        <v>21.80586090861939</v>
      </c>
      <c r="O240" s="154">
        <v>13.170500122070315</v>
      </c>
      <c r="P240" s="41">
        <v>0</v>
      </c>
      <c r="R240" s="185"/>
    </row>
    <row r="241" spans="1:254" s="191" customFormat="1" ht="10.7" hidden="1" customHeight="1" x14ac:dyDescent="0.2">
      <c r="A241" s="206"/>
      <c r="B241" s="196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264.40800076363246</v>
      </c>
      <c r="H241" s="183">
        <v>58.628741130815847</v>
      </c>
      <c r="I241" s="153">
        <v>186.57899923636751</v>
      </c>
      <c r="J241" s="154">
        <v>5.5570000000000359</v>
      </c>
      <c r="K241" s="154">
        <v>28.384000030517573</v>
      </c>
      <c r="L241" s="154">
        <v>6.5819999694824407</v>
      </c>
      <c r="M241" s="154">
        <v>38.506250488281296</v>
      </c>
      <c r="N241" s="46">
        <v>6.9898637085793078</v>
      </c>
      <c r="O241" s="154">
        <v>19.757312622070337</v>
      </c>
      <c r="P241" s="41">
        <v>7.443541376570888</v>
      </c>
      <c r="R241" s="185"/>
    </row>
    <row r="242" spans="1:254" s="191" customFormat="1" ht="10.7" hidden="1" customHeight="1" x14ac:dyDescent="0.2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7" hidden="1" customHeight="1" x14ac:dyDescent="0.2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7" hidden="1" customHeight="1" x14ac:dyDescent="0.2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7" hidden="1" customHeight="1" x14ac:dyDescent="0.2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63.258570000752783</v>
      </c>
      <c r="H245" s="183">
        <v>5.3857753061603031</v>
      </c>
      <c r="I245" s="153">
        <v>1111.2904299992472</v>
      </c>
      <c r="J245" s="154">
        <v>1.8782499999999898</v>
      </c>
      <c r="K245" s="154">
        <v>4.4052500000000041</v>
      </c>
      <c r="L245" s="154">
        <v>7.2234500001072623</v>
      </c>
      <c r="M245" s="154">
        <v>2.765250001087785</v>
      </c>
      <c r="N245" s="46">
        <v>0.25731657509454575</v>
      </c>
      <c r="O245" s="154">
        <v>4.0680500002987605</v>
      </c>
      <c r="P245" s="41" t="s">
        <v>149</v>
      </c>
      <c r="R245" s="185"/>
    </row>
    <row r="246" spans="1:254" s="191" customFormat="1" ht="10.7" hidden="1" customHeight="1" x14ac:dyDescent="0.2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7" hidden="1" customHeight="1" x14ac:dyDescent="0.2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7" hidden="1" customHeight="1" x14ac:dyDescent="0.2">
      <c r="A248" s="190"/>
      <c r="B248" s="197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327.66657076438526</v>
      </c>
      <c r="H248" s="188">
        <v>18.948500779783192</v>
      </c>
      <c r="I248" s="156">
        <v>1401.5814292356149</v>
      </c>
      <c r="J248" s="155">
        <v>7.4352500000000257</v>
      </c>
      <c r="K248" s="155">
        <v>32.789250030517579</v>
      </c>
      <c r="L248" s="155">
        <v>13.805449969589745</v>
      </c>
      <c r="M248" s="155">
        <v>41.271500489369082</v>
      </c>
      <c r="N248" s="58">
        <v>2.3866733105586406</v>
      </c>
      <c r="O248" s="155">
        <v>23.825362622369106</v>
      </c>
      <c r="P248" s="54" t="s">
        <v>149</v>
      </c>
      <c r="R248" s="185"/>
    </row>
    <row r="249" spans="1:254" ht="10.7" hidden="1" customHeight="1" x14ac:dyDescent="0.2">
      <c r="B249" s="198" t="s">
        <v>167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7" hidden="1" customHeight="1" x14ac:dyDescent="0.2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7" hidden="1" customHeight="1" x14ac:dyDescent="0.2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7" customHeight="1" x14ac:dyDescent="0.2">
      <c r="A252" s="190"/>
      <c r="F252" s="192"/>
      <c r="I252" s="193"/>
      <c r="N252" s="194"/>
      <c r="P252" s="194"/>
      <c r="R252" s="185"/>
    </row>
    <row r="253" spans="1:254" s="191" customFormat="1" ht="10.7" customHeight="1" x14ac:dyDescent="0.2">
      <c r="A253" s="190"/>
      <c r="F253" s="192"/>
      <c r="I253" s="193"/>
      <c r="N253" s="194"/>
      <c r="P253" s="194"/>
      <c r="R253" s="185"/>
    </row>
    <row r="254" spans="1:254" s="191" customFormat="1" ht="10.7" customHeight="1" x14ac:dyDescent="0.2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7" customHeight="1" x14ac:dyDescent="0.2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7" customHeight="1" x14ac:dyDescent="0.2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44468</v>
      </c>
      <c r="K256" s="33">
        <v>44475</v>
      </c>
      <c r="L256" s="33">
        <v>44482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7" customHeight="1" x14ac:dyDescent="0.2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7" customHeight="1" x14ac:dyDescent="0.2">
      <c r="A258" s="190"/>
      <c r="B258" s="40"/>
      <c r="C258" s="233" t="s">
        <v>119</v>
      </c>
      <c r="D258" s="235"/>
      <c r="E258" s="235"/>
      <c r="F258" s="235"/>
      <c r="G258" s="235"/>
      <c r="H258" s="235"/>
      <c r="I258" s="235"/>
      <c r="J258" s="235"/>
      <c r="K258" s="235"/>
      <c r="L258" s="235"/>
      <c r="M258" s="235"/>
      <c r="N258" s="235"/>
      <c r="O258" s="235"/>
      <c r="P258" s="41" t="s">
        <v>4</v>
      </c>
      <c r="R258" s="185"/>
    </row>
    <row r="259" spans="1:18" s="191" customFormat="1" ht="10.7" customHeight="1" x14ac:dyDescent="0.2">
      <c r="A259" s="190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3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85"/>
    </row>
    <row r="260" spans="1:18" s="191" customFormat="1" ht="10.7" customHeight="1" x14ac:dyDescent="0.2">
      <c r="A260" s="190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3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85"/>
    </row>
    <row r="261" spans="1:18" s="191" customFormat="1" ht="10.7" customHeight="1" x14ac:dyDescent="0.2">
      <c r="A261" s="190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3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85"/>
    </row>
    <row r="262" spans="1:18" s="191" customFormat="1" ht="10.7" customHeight="1" x14ac:dyDescent="0.2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7" customHeight="1" x14ac:dyDescent="0.2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7" customHeight="1" x14ac:dyDescent="0.2">
      <c r="A264" s="190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3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85"/>
    </row>
    <row r="265" spans="1:18" s="191" customFormat="1" ht="10.7" customHeight="1" x14ac:dyDescent="0.2">
      <c r="A265" s="190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3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85"/>
    </row>
    <row r="266" spans="1:18" s="191" customFormat="1" ht="10.7" customHeight="1" x14ac:dyDescent="0.2">
      <c r="A266" s="190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3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85"/>
    </row>
    <row r="267" spans="1:18" s="191" customFormat="1" ht="10.7" customHeight="1" x14ac:dyDescent="0.2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7" customHeight="1" x14ac:dyDescent="0.2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7" customHeight="1" x14ac:dyDescent="0.2">
      <c r="A269" s="190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3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85"/>
    </row>
    <row r="270" spans="1:18" s="191" customFormat="1" ht="10.7" customHeight="1" x14ac:dyDescent="0.2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7" customHeight="1" x14ac:dyDescent="0.2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7" customHeight="1" x14ac:dyDescent="0.2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7" customHeight="1" x14ac:dyDescent="0.2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7" customHeight="1" x14ac:dyDescent="0.2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7" customHeight="1" x14ac:dyDescent="0.2">
      <c r="A275" s="190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3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85"/>
    </row>
    <row r="276" spans="1:18" s="191" customFormat="1" ht="10.7" customHeight="1" x14ac:dyDescent="0.2">
      <c r="A276" s="190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180.3</v>
      </c>
      <c r="H276" s="183">
        <v>82.601086687618547</v>
      </c>
      <c r="I276" s="153">
        <v>37.97799999999998</v>
      </c>
      <c r="J276" s="154">
        <v>0</v>
      </c>
      <c r="K276" s="154">
        <v>0</v>
      </c>
      <c r="L276" s="154">
        <v>180.3</v>
      </c>
      <c r="M276" s="154">
        <v>0</v>
      </c>
      <c r="N276" s="46">
        <v>0</v>
      </c>
      <c r="O276" s="154">
        <v>45.075000000000003</v>
      </c>
      <c r="P276" s="41">
        <v>0</v>
      </c>
      <c r="R276" s="185"/>
    </row>
    <row r="277" spans="1:18" s="191" customFormat="1" ht="10.7" customHeight="1" x14ac:dyDescent="0.2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7" customHeight="1" x14ac:dyDescent="0.2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7" customHeight="1" x14ac:dyDescent="0.2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7" customHeight="1" x14ac:dyDescent="0.2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7" customHeight="1" x14ac:dyDescent="0.2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7" customHeight="1" x14ac:dyDescent="0.2">
      <c r="A282" s="190"/>
      <c r="B282" s="205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3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85"/>
    </row>
    <row r="283" spans="1:18" s="191" customFormat="1" ht="10.7" customHeight="1" x14ac:dyDescent="0.2">
      <c r="A283" s="190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3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85"/>
    </row>
    <row r="284" spans="1:18" s="191" customFormat="1" ht="10.7" customHeight="1" x14ac:dyDescent="0.2">
      <c r="A284" s="190"/>
      <c r="B284" s="196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180.3</v>
      </c>
      <c r="H284" s="183">
        <v>30.932875831010072</v>
      </c>
      <c r="I284" s="153">
        <v>402.5750000000001</v>
      </c>
      <c r="J284" s="154">
        <v>0</v>
      </c>
      <c r="K284" s="154">
        <v>0</v>
      </c>
      <c r="L284" s="154">
        <v>180.3</v>
      </c>
      <c r="M284" s="154">
        <v>0</v>
      </c>
      <c r="N284" s="46">
        <v>0</v>
      </c>
      <c r="O284" s="154">
        <v>45.075000000000003</v>
      </c>
      <c r="P284" s="41">
        <v>6.9312257348863024</v>
      </c>
      <c r="R284" s="185"/>
    </row>
    <row r="285" spans="1:18" s="191" customFormat="1" ht="10.7" customHeight="1" x14ac:dyDescent="0.2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7" customHeight="1" x14ac:dyDescent="0.2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7" customHeight="1" x14ac:dyDescent="0.2">
      <c r="A287" s="190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85"/>
    </row>
    <row r="288" spans="1:18" s="191" customFormat="1" ht="10.7" customHeight="1" x14ac:dyDescent="0.2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7" customHeight="1" x14ac:dyDescent="0.2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2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7" customHeight="1" x14ac:dyDescent="0.2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180.3</v>
      </c>
      <c r="H291" s="188">
        <v>30.927463690677328</v>
      </c>
      <c r="I291" s="156">
        <v>402.67700000000008</v>
      </c>
      <c r="J291" s="155">
        <v>0</v>
      </c>
      <c r="K291" s="155">
        <v>0</v>
      </c>
      <c r="L291" s="155">
        <v>180.3</v>
      </c>
      <c r="M291" s="155">
        <v>0</v>
      </c>
      <c r="N291" s="58" t="s">
        <v>64</v>
      </c>
      <c r="O291" s="155">
        <v>45.075000000000003</v>
      </c>
      <c r="P291" s="54">
        <v>6.9334886300610101</v>
      </c>
      <c r="R291" s="185"/>
    </row>
    <row r="292" spans="1:18" s="191" customFormat="1" ht="10.7" customHeight="1" x14ac:dyDescent="0.2">
      <c r="A292" s="190"/>
      <c r="F292" s="192"/>
      <c r="I292" s="193"/>
      <c r="N292" s="194"/>
      <c r="P292" s="194"/>
      <c r="R292" s="185"/>
    </row>
    <row r="293" spans="1:18" s="191" customFormat="1" ht="10.7" customHeight="1" x14ac:dyDescent="0.2">
      <c r="A293" s="190"/>
      <c r="F293" s="192"/>
      <c r="I293" s="193"/>
      <c r="N293" s="194"/>
      <c r="P293" s="194"/>
      <c r="R293" s="185"/>
    </row>
    <row r="294" spans="1:18" s="191" customFormat="1" ht="10.7" customHeight="1" x14ac:dyDescent="0.2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7" customHeight="1" x14ac:dyDescent="0.2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7" customHeight="1" x14ac:dyDescent="0.2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44468</v>
      </c>
      <c r="K296" s="33">
        <v>44475</v>
      </c>
      <c r="L296" s="33">
        <v>44482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7" customHeight="1" x14ac:dyDescent="0.2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7" customHeight="1" x14ac:dyDescent="0.2">
      <c r="A298" s="190"/>
      <c r="B298" s="40"/>
      <c r="C298" s="233" t="s">
        <v>120</v>
      </c>
      <c r="D298" s="235"/>
      <c r="E298" s="235"/>
      <c r="F298" s="235"/>
      <c r="G298" s="235"/>
      <c r="H298" s="235"/>
      <c r="I298" s="235"/>
      <c r="J298" s="235"/>
      <c r="K298" s="235"/>
      <c r="L298" s="235"/>
      <c r="M298" s="235"/>
      <c r="N298" s="235"/>
      <c r="O298" s="235"/>
      <c r="P298" s="41" t="s">
        <v>4</v>
      </c>
      <c r="R298" s="185"/>
    </row>
    <row r="299" spans="1:18" s="191" customFormat="1" ht="10.7" customHeight="1" x14ac:dyDescent="0.2">
      <c r="A299" s="190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3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7" customHeight="1" x14ac:dyDescent="0.2">
      <c r="A300" s="190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3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7" customHeight="1" x14ac:dyDescent="0.2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7" customHeight="1" x14ac:dyDescent="0.2">
      <c r="A302" s="190"/>
      <c r="B302" s="40" t="s">
        <v>66</v>
      </c>
      <c r="C302" s="151">
        <v>238.2</v>
      </c>
      <c r="D302" s="152">
        <v>0</v>
      </c>
      <c r="E302" s="152">
        <v>-20</v>
      </c>
      <c r="F302" s="153">
        <v>218.2</v>
      </c>
      <c r="G302" s="154">
        <v>0</v>
      </c>
      <c r="H302" s="183">
        <v>0</v>
      </c>
      <c r="I302" s="153">
        <v>218.2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7" customHeight="1" x14ac:dyDescent="0.2">
      <c r="A303" s="190"/>
      <c r="B303" s="40" t="s">
        <v>67</v>
      </c>
      <c r="C303" s="151">
        <v>42.402999999999999</v>
      </c>
      <c r="D303" s="152">
        <v>10</v>
      </c>
      <c r="E303" s="152">
        <v>10</v>
      </c>
      <c r="F303" s="153">
        <v>52.402999999999999</v>
      </c>
      <c r="G303" s="154">
        <v>9.5040000133514422</v>
      </c>
      <c r="H303" s="183">
        <v>18.136366264052519</v>
      </c>
      <c r="I303" s="153">
        <v>42.898999986648555</v>
      </c>
      <c r="J303" s="154">
        <v>8.0000000000001847E-2</v>
      </c>
      <c r="K303" s="154">
        <v>0</v>
      </c>
      <c r="L303" s="154">
        <v>0</v>
      </c>
      <c r="M303" s="154">
        <v>0</v>
      </c>
      <c r="N303" s="46">
        <v>0</v>
      </c>
      <c r="O303" s="154">
        <v>2.0000000000000462E-2</v>
      </c>
      <c r="P303" s="41" t="s">
        <v>150</v>
      </c>
      <c r="R303" s="185"/>
    </row>
    <row r="304" spans="1:18" s="191" customFormat="1" ht="10.7" customHeight="1" x14ac:dyDescent="0.2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7" customHeight="1" x14ac:dyDescent="0.2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7" customHeight="1" x14ac:dyDescent="0.2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7" customHeight="1" x14ac:dyDescent="0.2">
      <c r="A307" s="190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3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7" customHeight="1" x14ac:dyDescent="0.2">
      <c r="A308" s="190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3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7" customHeight="1" x14ac:dyDescent="0.2">
      <c r="A309" s="190"/>
      <c r="B309" s="47" t="s">
        <v>73</v>
      </c>
      <c r="C309" s="151">
        <v>698.803</v>
      </c>
      <c r="D309" s="152">
        <v>10</v>
      </c>
      <c r="E309" s="152">
        <v>-189</v>
      </c>
      <c r="F309" s="153">
        <v>509.803</v>
      </c>
      <c r="G309" s="154">
        <v>9.5040000133514422</v>
      </c>
      <c r="H309" s="183">
        <v>1.8642495264546193</v>
      </c>
      <c r="I309" s="153">
        <v>500.29899998664854</v>
      </c>
      <c r="J309" s="154">
        <v>8.0000000000001847E-2</v>
      </c>
      <c r="K309" s="154">
        <v>0</v>
      </c>
      <c r="L309" s="154">
        <v>0</v>
      </c>
      <c r="M309" s="154">
        <v>0</v>
      </c>
      <c r="N309" s="46">
        <v>0</v>
      </c>
      <c r="O309" s="154">
        <v>2.0000000000000462E-2</v>
      </c>
      <c r="P309" s="41" t="s">
        <v>149</v>
      </c>
      <c r="R309" s="185"/>
    </row>
    <row r="310" spans="1:18" s="191" customFormat="1" ht="10.7" customHeight="1" x14ac:dyDescent="0.2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7" customHeight="1" x14ac:dyDescent="0.2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7" customHeight="1" x14ac:dyDescent="0.2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7" customHeight="1" x14ac:dyDescent="0.2">
      <c r="A313" s="190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3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7" customHeight="1" x14ac:dyDescent="0.2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5"/>
    </row>
    <row r="315" spans="1:18" s="191" customFormat="1" ht="10.7" customHeight="1" x14ac:dyDescent="0.2">
      <c r="A315" s="190"/>
      <c r="B315" s="40" t="s">
        <v>77</v>
      </c>
      <c r="C315" s="151">
        <v>19.631</v>
      </c>
      <c r="D315" s="152">
        <v>0</v>
      </c>
      <c r="E315" s="152">
        <v>-11.1</v>
      </c>
      <c r="F315" s="153">
        <v>8.5310000000000006</v>
      </c>
      <c r="G315" s="154">
        <v>0</v>
      </c>
      <c r="H315" s="183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7" customHeight="1" x14ac:dyDescent="0.2">
      <c r="A316" s="190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0</v>
      </c>
      <c r="H316" s="183">
        <v>0</v>
      </c>
      <c r="I316" s="153">
        <v>4.0690000000000168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7" customHeight="1" x14ac:dyDescent="0.2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7" customHeight="1" x14ac:dyDescent="0.2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0.30259999994188541</v>
      </c>
      <c r="H318" s="183">
        <v>10.427291521084955</v>
      </c>
      <c r="I318" s="153">
        <v>2.5994000000581146</v>
      </c>
      <c r="J318" s="154">
        <v>7.6999998092651123E-3</v>
      </c>
      <c r="K318" s="154">
        <v>1.0199999809265115E-2</v>
      </c>
      <c r="L318" s="154">
        <v>0</v>
      </c>
      <c r="M318" s="154">
        <v>2.5000000000000022E-3</v>
      </c>
      <c r="N318" s="46">
        <v>8.6147484493452872E-2</v>
      </c>
      <c r="O318" s="154">
        <v>5.0999999046325573E-3</v>
      </c>
      <c r="P318" s="41" t="s">
        <v>149</v>
      </c>
      <c r="R318" s="185"/>
    </row>
    <row r="319" spans="1:18" s="191" customFormat="1" ht="10.7" customHeight="1" x14ac:dyDescent="0.2">
      <c r="A319" s="190"/>
      <c r="B319" s="40" t="s">
        <v>81</v>
      </c>
      <c r="C319" s="151">
        <v>4.0679999999999996</v>
      </c>
      <c r="D319" s="152">
        <v>0</v>
      </c>
      <c r="E319" s="152">
        <v>20</v>
      </c>
      <c r="F319" s="153">
        <v>24.067999999999998</v>
      </c>
      <c r="G319" s="154">
        <v>14.294000005722038</v>
      </c>
      <c r="H319" s="183">
        <v>59.390061516212569</v>
      </c>
      <c r="I319" s="153">
        <v>9.7739999942779594</v>
      </c>
      <c r="J319" s="154">
        <v>0</v>
      </c>
      <c r="K319" s="154">
        <v>0</v>
      </c>
      <c r="L319" s="154">
        <v>0.11999999999999922</v>
      </c>
      <c r="M319" s="154">
        <v>0.25999999999999979</v>
      </c>
      <c r="N319" s="46">
        <v>6.3913470993116963</v>
      </c>
      <c r="O319" s="154">
        <v>9.4999999999999751E-2</v>
      </c>
      <c r="P319" s="41" t="s">
        <v>149</v>
      </c>
      <c r="R319" s="185"/>
    </row>
    <row r="320" spans="1:18" s="191" customFormat="1" ht="10.7" customHeight="1" x14ac:dyDescent="0.2">
      <c r="A320" s="190"/>
      <c r="B320" s="184" t="s">
        <v>82</v>
      </c>
      <c r="C320" s="151">
        <v>7.7590000000000003</v>
      </c>
      <c r="D320" s="152">
        <v>0</v>
      </c>
      <c r="E320" s="152">
        <v>68</v>
      </c>
      <c r="F320" s="153">
        <v>75.759</v>
      </c>
      <c r="G320" s="154">
        <v>57.99705902087689</v>
      </c>
      <c r="H320" s="183">
        <v>76.554678679598311</v>
      </c>
      <c r="I320" s="153">
        <v>17.761940979123111</v>
      </c>
      <c r="J320" s="154">
        <v>0.34799999761580125</v>
      </c>
      <c r="K320" s="154">
        <v>0.33199999833107086</v>
      </c>
      <c r="L320" s="154">
        <v>1.5450999927520783</v>
      </c>
      <c r="M320" s="154">
        <v>0.26600000000000534</v>
      </c>
      <c r="N320" s="46">
        <v>3.428276839799012</v>
      </c>
      <c r="O320" s="154">
        <v>0.62277499717473894</v>
      </c>
      <c r="P320" s="41">
        <v>26.520639170970835</v>
      </c>
      <c r="R320" s="185"/>
    </row>
    <row r="321" spans="1:254" s="191" customFormat="1" ht="10.7" customHeight="1" x14ac:dyDescent="0.2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7" customHeight="1" x14ac:dyDescent="0.2">
      <c r="A322" s="190"/>
      <c r="B322" s="205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3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7" customHeight="1" x14ac:dyDescent="0.2">
      <c r="A323" s="190"/>
      <c r="B323" s="40" t="s">
        <v>85</v>
      </c>
      <c r="C323" s="151">
        <v>1423.174</v>
      </c>
      <c r="D323" s="152">
        <v>0</v>
      </c>
      <c r="E323" s="152">
        <v>2420.1</v>
      </c>
      <c r="F323" s="153">
        <v>3843.2739999999999</v>
      </c>
      <c r="G323" s="154">
        <v>3875.1758943758582</v>
      </c>
      <c r="H323" s="183">
        <v>100.83007077756774</v>
      </c>
      <c r="I323" s="153">
        <v>-31.901894375858319</v>
      </c>
      <c r="J323" s="154">
        <v>0</v>
      </c>
      <c r="K323" s="154">
        <v>0.12200000000007094</v>
      </c>
      <c r="L323" s="154">
        <v>9.3999999999823558E-2</v>
      </c>
      <c r="M323" s="154">
        <v>2457.0500000038128</v>
      </c>
      <c r="N323" s="46">
        <v>172.64579032527385</v>
      </c>
      <c r="O323" s="154">
        <v>614.31650000095317</v>
      </c>
      <c r="P323" s="41">
        <v>0</v>
      </c>
      <c r="R323" s="185"/>
    </row>
    <row r="324" spans="1:254" s="191" customFormat="1" ht="10.7" customHeight="1" x14ac:dyDescent="0.2">
      <c r="A324" s="190"/>
      <c r="B324" s="196" t="s">
        <v>86</v>
      </c>
      <c r="C324" s="151">
        <v>3112.2709999999997</v>
      </c>
      <c r="D324" s="154">
        <v>10</v>
      </c>
      <c r="E324" s="152">
        <v>1680</v>
      </c>
      <c r="F324" s="153">
        <v>4792.2709999999997</v>
      </c>
      <c r="G324" s="154">
        <v>3957.3335534157504</v>
      </c>
      <c r="H324" s="183">
        <v>82.577415872678131</v>
      </c>
      <c r="I324" s="153">
        <v>834.9374465842493</v>
      </c>
      <c r="J324" s="154">
        <v>0.43569999742506821</v>
      </c>
      <c r="K324" s="154">
        <v>0.46419999814040691</v>
      </c>
      <c r="L324" s="154">
        <v>1.7590999927519011</v>
      </c>
      <c r="M324" s="154">
        <v>2457.5785000038127</v>
      </c>
      <c r="N324" s="46">
        <v>78.964155113864209</v>
      </c>
      <c r="O324" s="154">
        <v>615.05937499803247</v>
      </c>
      <c r="P324" s="41">
        <v>0</v>
      </c>
      <c r="R324" s="185"/>
    </row>
    <row r="325" spans="1:254" s="191" customFormat="1" ht="10.7" customHeight="1" x14ac:dyDescent="0.2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7" customHeight="1" x14ac:dyDescent="0.2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7" customHeight="1" x14ac:dyDescent="0.2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7" customHeight="1" x14ac:dyDescent="0.2">
      <c r="A328" s="190"/>
      <c r="B328" s="49" t="s">
        <v>89</v>
      </c>
      <c r="C328" s="151">
        <v>1027.2850000000001</v>
      </c>
      <c r="D328" s="152">
        <v>-10</v>
      </c>
      <c r="E328" s="152">
        <v>-1010</v>
      </c>
      <c r="F328" s="153">
        <v>17.285000000000082</v>
      </c>
      <c r="G328" s="154">
        <v>0.92950000108033359</v>
      </c>
      <c r="H328" s="183">
        <v>5.3774949440574442</v>
      </c>
      <c r="I328" s="153">
        <v>16.355499998919747</v>
      </c>
      <c r="J328" s="154">
        <v>0.17499999999999927</v>
      </c>
      <c r="K328" s="154">
        <v>4.6449999988079083E-2</v>
      </c>
      <c r="L328" s="154">
        <v>1.8450000002980249E-2</v>
      </c>
      <c r="M328" s="154">
        <v>2.4900000005960266E-2</v>
      </c>
      <c r="N328" s="46">
        <v>2.423864848212547E-3</v>
      </c>
      <c r="O328" s="154">
        <v>6.6199999999254716E-2</v>
      </c>
      <c r="P328" s="41" t="s">
        <v>150</v>
      </c>
      <c r="R328" s="185"/>
    </row>
    <row r="329" spans="1:254" s="191" customFormat="1" ht="10.7" customHeight="1" x14ac:dyDescent="0.2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7" customHeight="1" x14ac:dyDescent="0.2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7" customHeight="1" x14ac:dyDescent="0.2">
      <c r="A331" s="190"/>
      <c r="B331" s="197" t="s">
        <v>91</v>
      </c>
      <c r="C331" s="226">
        <v>4496.3689999999997</v>
      </c>
      <c r="D331" s="155">
        <v>0</v>
      </c>
      <c r="E331" s="155">
        <v>670</v>
      </c>
      <c r="F331" s="156">
        <v>5166.3689999999997</v>
      </c>
      <c r="G331" s="155">
        <v>3958.2630534168306</v>
      </c>
      <c r="H331" s="188">
        <v>76.615957037076342</v>
      </c>
      <c r="I331" s="156">
        <v>1208.105946583169</v>
      </c>
      <c r="J331" s="155">
        <v>0.61069999742426262</v>
      </c>
      <c r="K331" s="155">
        <v>0.51064999812865608</v>
      </c>
      <c r="L331" s="155">
        <v>1.7775499927549845</v>
      </c>
      <c r="M331" s="155">
        <v>2457.6034000038185</v>
      </c>
      <c r="N331" s="58">
        <v>54.657511427639029</v>
      </c>
      <c r="O331" s="155">
        <v>615.12557499803165</v>
      </c>
      <c r="P331" s="54">
        <v>0</v>
      </c>
      <c r="R331" s="185"/>
    </row>
    <row r="332" spans="1:254" ht="10.7" customHeight="1" x14ac:dyDescent="0.2">
      <c r="B332" s="198" t="s">
        <v>167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7" customHeight="1" x14ac:dyDescent="0.2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7" customHeight="1" x14ac:dyDescent="0.2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7" customHeight="1" x14ac:dyDescent="0.2">
      <c r="A335" s="190"/>
      <c r="F335" s="192"/>
      <c r="I335" s="193"/>
      <c r="N335" s="194"/>
      <c r="P335" s="194"/>
      <c r="R335" s="185"/>
    </row>
    <row r="336" spans="1:254" s="191" customFormat="1" ht="10.7" customHeight="1" x14ac:dyDescent="0.2">
      <c r="A336" s="190"/>
      <c r="F336" s="192"/>
      <c r="I336" s="193"/>
      <c r="N336" s="194"/>
      <c r="P336" s="194"/>
      <c r="R336" s="185"/>
    </row>
    <row r="337" spans="1:18" s="191" customFormat="1" ht="10.7" customHeight="1" x14ac:dyDescent="0.2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7" customHeight="1" x14ac:dyDescent="0.2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7" customHeight="1" x14ac:dyDescent="0.2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44468</v>
      </c>
      <c r="K339" s="33">
        <v>44475</v>
      </c>
      <c r="L339" s="33">
        <v>44482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7" customHeight="1" x14ac:dyDescent="0.2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7" customHeight="1" x14ac:dyDescent="0.2">
      <c r="A341" s="190"/>
      <c r="B341" s="40"/>
      <c r="C341" s="233" t="s">
        <v>141</v>
      </c>
      <c r="D341" s="235"/>
      <c r="E341" s="235"/>
      <c r="F341" s="235"/>
      <c r="G341" s="235"/>
      <c r="H341" s="235"/>
      <c r="I341" s="235"/>
      <c r="J341" s="235"/>
      <c r="K341" s="235"/>
      <c r="L341" s="235"/>
      <c r="M341" s="235"/>
      <c r="N341" s="235"/>
      <c r="O341" s="235"/>
      <c r="P341" s="41" t="s">
        <v>4</v>
      </c>
      <c r="R341" s="185"/>
    </row>
    <row r="342" spans="1:18" s="191" customFormat="1" ht="10.7" customHeight="1" x14ac:dyDescent="0.2">
      <c r="A342" s="190"/>
      <c r="B342" s="40" t="s">
        <v>62</v>
      </c>
      <c r="C342" s="151">
        <v>348.31400000000002</v>
      </c>
      <c r="D342" s="152">
        <v>0</v>
      </c>
      <c r="E342" s="152">
        <v>-262.89999999999998</v>
      </c>
      <c r="F342" s="153">
        <v>85.414000000000044</v>
      </c>
      <c r="G342" s="154">
        <v>15.190000000000001</v>
      </c>
      <c r="H342" s="183">
        <v>17.783969841009664</v>
      </c>
      <c r="I342" s="153">
        <v>70.224000000000046</v>
      </c>
      <c r="J342" s="154">
        <v>0</v>
      </c>
      <c r="K342" s="154">
        <v>0.59999999999999964</v>
      </c>
      <c r="L342" s="154">
        <v>0</v>
      </c>
      <c r="M342" s="154">
        <v>0</v>
      </c>
      <c r="N342" s="46">
        <v>0</v>
      </c>
      <c r="O342" s="154">
        <v>0.14999999999999991</v>
      </c>
      <c r="P342" s="41" t="s">
        <v>149</v>
      </c>
      <c r="R342" s="185"/>
    </row>
    <row r="343" spans="1:18" s="191" customFormat="1" ht="10.7" customHeight="1" x14ac:dyDescent="0.2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3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85"/>
    </row>
    <row r="344" spans="1:18" s="191" customFormat="1" ht="10.7" customHeight="1" x14ac:dyDescent="0.2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7" customHeight="1" x14ac:dyDescent="0.2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7" customHeight="1" x14ac:dyDescent="0.2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7" customHeight="1" x14ac:dyDescent="0.2">
      <c r="A347" s="190"/>
      <c r="B347" s="40" t="s">
        <v>68</v>
      </c>
      <c r="C347" s="151">
        <v>0.1</v>
      </c>
      <c r="D347" s="152">
        <v>0</v>
      </c>
      <c r="E347" s="152">
        <v>-0.1</v>
      </c>
      <c r="F347" s="153">
        <v>0</v>
      </c>
      <c r="G347" s="154">
        <v>0</v>
      </c>
      <c r="H347" s="183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7" customHeight="1" x14ac:dyDescent="0.2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7" customHeight="1" x14ac:dyDescent="0.2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7" customHeight="1" x14ac:dyDescent="0.2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7" customHeight="1" x14ac:dyDescent="0.2">
      <c r="A351" s="190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3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7" customHeight="1" x14ac:dyDescent="0.2">
      <c r="A352" s="190"/>
      <c r="B352" s="47" t="s">
        <v>73</v>
      </c>
      <c r="C352" s="151">
        <v>1646.8509999999999</v>
      </c>
      <c r="D352" s="152">
        <v>0</v>
      </c>
      <c r="E352" s="152">
        <v>-354</v>
      </c>
      <c r="F352" s="153">
        <v>1292.8509999999999</v>
      </c>
      <c r="G352" s="154">
        <v>462.9</v>
      </c>
      <c r="H352" s="183">
        <v>35.804590010759171</v>
      </c>
      <c r="I352" s="153">
        <v>829.95099999999991</v>
      </c>
      <c r="J352" s="154">
        <v>0</v>
      </c>
      <c r="K352" s="154">
        <v>0.59999999999999964</v>
      </c>
      <c r="L352" s="154">
        <v>0</v>
      </c>
      <c r="M352" s="154">
        <v>0</v>
      </c>
      <c r="N352" s="46">
        <v>0</v>
      </c>
      <c r="O352" s="154">
        <v>0.14999999999999991</v>
      </c>
      <c r="P352" s="41" t="s">
        <v>149</v>
      </c>
      <c r="R352" s="185"/>
    </row>
    <row r="353" spans="1:18" s="191" customFormat="1" ht="10.7" customHeight="1" x14ac:dyDescent="0.2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5" customHeight="1" x14ac:dyDescent="0.2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7" customHeight="1" x14ac:dyDescent="0.2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7" customHeight="1" x14ac:dyDescent="0.2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7" customHeight="1" x14ac:dyDescent="0.2">
      <c r="A357" s="190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3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7" customHeight="1" x14ac:dyDescent="0.2">
      <c r="A358" s="190"/>
      <c r="B358" s="40" t="s">
        <v>77</v>
      </c>
      <c r="C358" s="151">
        <v>225.5</v>
      </c>
      <c r="D358" s="152">
        <v>0</v>
      </c>
      <c r="E358" s="152">
        <v>-215</v>
      </c>
      <c r="F358" s="153">
        <v>10.5</v>
      </c>
      <c r="G358" s="154">
        <v>0.35</v>
      </c>
      <c r="H358" s="183">
        <v>3.3333333333333335</v>
      </c>
      <c r="I358" s="153">
        <v>10.15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7" customHeight="1" x14ac:dyDescent="0.2">
      <c r="A359" s="190"/>
      <c r="B359" s="40" t="s">
        <v>78</v>
      </c>
      <c r="C359" s="151">
        <v>1536.114</v>
      </c>
      <c r="D359" s="152">
        <v>0</v>
      </c>
      <c r="E359" s="152">
        <v>289</v>
      </c>
      <c r="F359" s="153">
        <v>1825.114</v>
      </c>
      <c r="G359" s="154">
        <v>1342.5859999999998</v>
      </c>
      <c r="H359" s="183">
        <v>73.561761073554848</v>
      </c>
      <c r="I359" s="153">
        <v>482.52800000000025</v>
      </c>
      <c r="J359" s="154">
        <v>0</v>
      </c>
      <c r="K359" s="154">
        <v>0</v>
      </c>
      <c r="L359" s="154">
        <v>483.38999999999987</v>
      </c>
      <c r="M359" s="154">
        <v>0</v>
      </c>
      <c r="N359" s="46">
        <v>0</v>
      </c>
      <c r="O359" s="154">
        <v>120.84749999999997</v>
      </c>
      <c r="P359" s="41">
        <v>1.9928670431742517</v>
      </c>
      <c r="R359" s="185"/>
    </row>
    <row r="360" spans="1:18" s="191" customFormat="1" ht="10.7" customHeight="1" x14ac:dyDescent="0.2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2.9660815974250432</v>
      </c>
      <c r="H360" s="183">
        <v>37.545336676266366</v>
      </c>
      <c r="I360" s="153">
        <v>4.9339184025749567</v>
      </c>
      <c r="J360" s="154">
        <v>9.399999499319911E-3</v>
      </c>
      <c r="K360" s="154">
        <v>1.1334573179482277E-3</v>
      </c>
      <c r="L360" s="154">
        <v>4.1599999308586266E-2</v>
      </c>
      <c r="M360" s="154">
        <v>0.3158999992832543</v>
      </c>
      <c r="N360" s="46">
        <v>3.9987341681424593</v>
      </c>
      <c r="O360" s="154">
        <v>9.2008363852277175E-2</v>
      </c>
      <c r="P360" s="41" t="s">
        <v>149</v>
      </c>
      <c r="R360" s="185"/>
    </row>
    <row r="361" spans="1:18" s="191" customFormat="1" ht="10.7" customHeight="1" x14ac:dyDescent="0.2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0.20329999899864198</v>
      </c>
      <c r="H361" s="183">
        <v>3.8481922960182087</v>
      </c>
      <c r="I361" s="153">
        <v>5.079700001001358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149</v>
      </c>
      <c r="R361" s="185"/>
    </row>
    <row r="362" spans="1:18" s="191" customFormat="1" ht="10.7" customHeight="1" x14ac:dyDescent="0.2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7" customHeight="1" x14ac:dyDescent="0.2">
      <c r="A363" s="190"/>
      <c r="B363" s="184" t="s">
        <v>82</v>
      </c>
      <c r="C363" s="151">
        <v>0.36799999999999999</v>
      </c>
      <c r="D363" s="152">
        <v>0</v>
      </c>
      <c r="E363" s="152">
        <v>10</v>
      </c>
      <c r="F363" s="153">
        <v>10.368</v>
      </c>
      <c r="G363" s="154">
        <v>7.1043000068664544</v>
      </c>
      <c r="H363" s="183">
        <v>68.52141210326441</v>
      </c>
      <c r="I363" s="153">
        <v>3.263699993133546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5"/>
    </row>
    <row r="364" spans="1:18" s="191" customFormat="1" ht="10.7" customHeight="1" x14ac:dyDescent="0.2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7" customHeight="1" x14ac:dyDescent="0.2">
      <c r="A365" s="190"/>
      <c r="B365" s="207" t="s">
        <v>84</v>
      </c>
      <c r="C365" s="151">
        <v>1558.114</v>
      </c>
      <c r="D365" s="152">
        <v>0</v>
      </c>
      <c r="E365" s="152">
        <v>-130.90000000000009</v>
      </c>
      <c r="F365" s="153">
        <v>1427.2139999999999</v>
      </c>
      <c r="G365" s="154">
        <v>0</v>
      </c>
      <c r="H365" s="183">
        <v>0</v>
      </c>
      <c r="I365" s="153">
        <v>1427.2139999999999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7" customHeight="1" x14ac:dyDescent="0.2">
      <c r="A366" s="190"/>
      <c r="B366" s="40" t="s">
        <v>85</v>
      </c>
      <c r="C366" s="151">
        <v>2326.7469999999998</v>
      </c>
      <c r="D366" s="152">
        <v>0</v>
      </c>
      <c r="E366" s="152">
        <v>490</v>
      </c>
      <c r="F366" s="153">
        <v>2816.7469999999998</v>
      </c>
      <c r="G366" s="154">
        <v>3.5120000000000049</v>
      </c>
      <c r="H366" s="183">
        <v>0.12468283448957274</v>
      </c>
      <c r="I366" s="153">
        <v>2813.2349999999997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5"/>
    </row>
    <row r="367" spans="1:18" s="191" customFormat="1" ht="10.7" customHeight="1" x14ac:dyDescent="0.2">
      <c r="A367" s="190"/>
      <c r="B367" s="196" t="s">
        <v>86</v>
      </c>
      <c r="C367" s="151">
        <v>7336.7769999999991</v>
      </c>
      <c r="D367" s="154">
        <v>0</v>
      </c>
      <c r="E367" s="152">
        <v>85</v>
      </c>
      <c r="F367" s="153">
        <v>7421.7769999999991</v>
      </c>
      <c r="G367" s="154">
        <v>1819.6216816032897</v>
      </c>
      <c r="H367" s="183">
        <v>24.517331652558273</v>
      </c>
      <c r="I367" s="153">
        <v>5602.1553183967098</v>
      </c>
      <c r="J367" s="154">
        <v>9.399999499319911E-3</v>
      </c>
      <c r="K367" s="154">
        <v>0.60113345731794787</v>
      </c>
      <c r="L367" s="154">
        <v>483.43159999930845</v>
      </c>
      <c r="M367" s="154">
        <v>0.3158999992832543</v>
      </c>
      <c r="N367" s="46">
        <v>4.3057053428672337E-3</v>
      </c>
      <c r="O367" s="154">
        <v>121.08950836385225</v>
      </c>
      <c r="P367" s="41">
        <v>44.264580590774536</v>
      </c>
      <c r="R367" s="185"/>
    </row>
    <row r="368" spans="1:18" s="191" customFormat="1" ht="10.7" customHeight="1" x14ac:dyDescent="0.2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7" customHeight="1" x14ac:dyDescent="0.2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7" customHeight="1" x14ac:dyDescent="0.2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7" customHeight="1" x14ac:dyDescent="0.2">
      <c r="A371" s="190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1.7793300024121996</v>
      </c>
      <c r="H371" s="183">
        <v>11.163372874158979</v>
      </c>
      <c r="I371" s="153">
        <v>14.1596699975878</v>
      </c>
      <c r="J371" s="154">
        <v>1.1499999880789868E-2</v>
      </c>
      <c r="K371" s="154">
        <v>5.3890000164508622E-2</v>
      </c>
      <c r="L371" s="154">
        <v>2.5500000000000522E-2</v>
      </c>
      <c r="M371" s="154">
        <v>5.9500001072883224E-2</v>
      </c>
      <c r="N371" s="46">
        <v>6.3365283357703115</v>
      </c>
      <c r="O371" s="154">
        <v>3.7597500279545559E-2</v>
      </c>
      <c r="P371" s="41" t="s">
        <v>149</v>
      </c>
      <c r="R371" s="185"/>
    </row>
    <row r="372" spans="1:18" s="191" customFormat="1" ht="10.7" customHeight="1" x14ac:dyDescent="0.2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7" customHeight="1" x14ac:dyDescent="0.2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7" customHeight="1" x14ac:dyDescent="0.2">
      <c r="A374" s="190"/>
      <c r="B374" s="197" t="s">
        <v>91</v>
      </c>
      <c r="C374" s="226">
        <v>7338.1159999999991</v>
      </c>
      <c r="D374" s="155">
        <v>0</v>
      </c>
      <c r="E374" s="155">
        <v>100</v>
      </c>
      <c r="F374" s="156">
        <v>7438.1159999999982</v>
      </c>
      <c r="G374" s="155">
        <v>1821.401011605702</v>
      </c>
      <c r="H374" s="188">
        <v>24.487397233462108</v>
      </c>
      <c r="I374" s="156">
        <v>5616.7149883942966</v>
      </c>
      <c r="J374" s="155">
        <v>2.0899999380162626E-2</v>
      </c>
      <c r="K374" s="155">
        <v>0.65502345748222979</v>
      </c>
      <c r="L374" s="155">
        <v>483.45709999930864</v>
      </c>
      <c r="M374" s="155">
        <v>0.37540000035613752</v>
      </c>
      <c r="N374" s="58">
        <v>5.115754511868408E-3</v>
      </c>
      <c r="O374" s="155">
        <v>121.12710586413179</v>
      </c>
      <c r="P374" s="54">
        <v>44.370421783994104</v>
      </c>
      <c r="R374" s="189"/>
    </row>
    <row r="375" spans="1:18" s="191" customFormat="1" ht="10.7" customHeight="1" x14ac:dyDescent="0.2">
      <c r="A375" s="190"/>
      <c r="F375" s="192"/>
      <c r="I375" s="192"/>
      <c r="N375" s="194"/>
      <c r="P375" s="194"/>
      <c r="R375" s="185"/>
    </row>
    <row r="376" spans="1:18" s="191" customFormat="1" ht="12.75" x14ac:dyDescent="0.2">
      <c r="A376" s="190"/>
      <c r="F376" s="192"/>
      <c r="I376" s="192"/>
      <c r="N376" s="194"/>
      <c r="P376" s="194"/>
      <c r="R376" s="185"/>
    </row>
    <row r="377" spans="1:18" s="191" customFormat="1" ht="10.7" customHeight="1" x14ac:dyDescent="0.2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7" customHeight="1" x14ac:dyDescent="0.2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7" customHeight="1" x14ac:dyDescent="0.2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44468</v>
      </c>
      <c r="K379" s="33">
        <v>44475</v>
      </c>
      <c r="L379" s="33">
        <v>44482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7" customHeight="1" x14ac:dyDescent="0.2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7" customHeight="1" x14ac:dyDescent="0.2">
      <c r="A381" s="190"/>
      <c r="B381" s="40"/>
      <c r="C381" s="233" t="s">
        <v>96</v>
      </c>
      <c r="D381" s="235"/>
      <c r="E381" s="235"/>
      <c r="F381" s="235"/>
      <c r="G381" s="235"/>
      <c r="H381" s="235"/>
      <c r="I381" s="235"/>
      <c r="J381" s="235"/>
      <c r="K381" s="235"/>
      <c r="L381" s="235"/>
      <c r="M381" s="235"/>
      <c r="N381" s="235"/>
      <c r="O381" s="235"/>
      <c r="P381" s="41" t="s">
        <v>4</v>
      </c>
      <c r="R381" s="185"/>
    </row>
    <row r="382" spans="1:18" s="191" customFormat="1" ht="10.7" customHeight="1" x14ac:dyDescent="0.2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7" customHeight="1" x14ac:dyDescent="0.2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7" customHeight="1" x14ac:dyDescent="0.2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7" customHeight="1" x14ac:dyDescent="0.2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7" customHeight="1" x14ac:dyDescent="0.2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7" customHeight="1" x14ac:dyDescent="0.2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7" customHeight="1" x14ac:dyDescent="0.2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7" customHeight="1" x14ac:dyDescent="0.2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7" customHeight="1" x14ac:dyDescent="0.2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7" customHeight="1" x14ac:dyDescent="0.2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7" customHeight="1" x14ac:dyDescent="0.2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7" customHeight="1" x14ac:dyDescent="0.2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7" customHeight="1" x14ac:dyDescent="0.2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7" customHeight="1" x14ac:dyDescent="0.2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7" customHeight="1" x14ac:dyDescent="0.2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7" customHeight="1" x14ac:dyDescent="0.2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7" customHeight="1" x14ac:dyDescent="0.2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7" customHeight="1" x14ac:dyDescent="0.2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7" customHeight="1" x14ac:dyDescent="0.2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7" customHeight="1" x14ac:dyDescent="0.2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7" customHeight="1" x14ac:dyDescent="0.2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7" customHeight="1" x14ac:dyDescent="0.2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7" customHeight="1" x14ac:dyDescent="0.2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7" customHeight="1" x14ac:dyDescent="0.2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7" customHeight="1" x14ac:dyDescent="0.2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7" customHeight="1" x14ac:dyDescent="0.2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7" customHeight="1" x14ac:dyDescent="0.2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7" customHeight="1" x14ac:dyDescent="0.2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7" customHeight="1" x14ac:dyDescent="0.2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7" customHeight="1" x14ac:dyDescent="0.2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7" customHeight="1" x14ac:dyDescent="0.2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7" customHeight="1" x14ac:dyDescent="0.2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7" customHeight="1" x14ac:dyDescent="0.2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7" customHeight="1" x14ac:dyDescent="0.2">
      <c r="B415" s="198" t="s">
        <v>167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7" customHeight="1" x14ac:dyDescent="0.2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7" customHeight="1" x14ac:dyDescent="0.2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7" customHeight="1" x14ac:dyDescent="0.2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7" customHeight="1" x14ac:dyDescent="0.2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7" customHeight="1" x14ac:dyDescent="0.2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7" customHeight="1" x14ac:dyDescent="0.2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7" customHeight="1" x14ac:dyDescent="0.2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44468</v>
      </c>
      <c r="K422" s="33">
        <v>44475</v>
      </c>
      <c r="L422" s="33">
        <v>44482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7" customHeight="1" x14ac:dyDescent="0.2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7" customHeight="1" x14ac:dyDescent="0.2">
      <c r="A424" s="190"/>
      <c r="B424" s="40"/>
      <c r="C424" s="233" t="s">
        <v>142</v>
      </c>
      <c r="D424" s="235"/>
      <c r="E424" s="235"/>
      <c r="F424" s="235"/>
      <c r="G424" s="235"/>
      <c r="H424" s="235"/>
      <c r="I424" s="235"/>
      <c r="J424" s="235"/>
      <c r="K424" s="235"/>
      <c r="L424" s="235"/>
      <c r="M424" s="235"/>
      <c r="N424" s="235"/>
      <c r="O424" s="235"/>
      <c r="P424" s="41" t="s">
        <v>4</v>
      </c>
      <c r="R424" s="185"/>
    </row>
    <row r="425" spans="1:18" s="191" customFormat="1" ht="10.7" customHeight="1" x14ac:dyDescent="0.2">
      <c r="A425" s="190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3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5"/>
    </row>
    <row r="426" spans="1:18" s="191" customFormat="1" ht="10.7" customHeight="1" x14ac:dyDescent="0.2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7" customHeight="1" x14ac:dyDescent="0.2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7" customHeight="1" x14ac:dyDescent="0.2">
      <c r="A428" s="190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9759.32</v>
      </c>
      <c r="H428" s="183">
        <v>100.90406415298784</v>
      </c>
      <c r="I428" s="153">
        <v>-87.440000000000509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>
        <v>0</v>
      </c>
      <c r="R428" s="185"/>
    </row>
    <row r="429" spans="1:18" s="191" customFormat="1" ht="10.7" customHeight="1" x14ac:dyDescent="0.2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7" customHeight="1" x14ac:dyDescent="0.2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7" customHeight="1" x14ac:dyDescent="0.2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7" customHeight="1" x14ac:dyDescent="0.2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7" customHeight="1" x14ac:dyDescent="0.2">
      <c r="A433" s="195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3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5"/>
    </row>
    <row r="434" spans="1:18" s="191" customFormat="1" ht="10.7" customHeight="1" x14ac:dyDescent="0.2">
      <c r="A434" s="190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3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89"/>
    </row>
    <row r="435" spans="1:18" s="191" customFormat="1" ht="10.7" customHeight="1" x14ac:dyDescent="0.2">
      <c r="A435" s="190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58079.869999999995</v>
      </c>
      <c r="H435" s="183">
        <v>100.40762162630803</v>
      </c>
      <c r="I435" s="153">
        <v>-235.78499999999696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89"/>
    </row>
    <row r="436" spans="1:18" s="191" customFormat="1" ht="10.7" customHeight="1" x14ac:dyDescent="0.2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7" customHeight="1" x14ac:dyDescent="0.2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7" customHeight="1" x14ac:dyDescent="0.2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7" customHeight="1" x14ac:dyDescent="0.2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7" customHeight="1" x14ac:dyDescent="0.2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7" customHeight="1" x14ac:dyDescent="0.2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7" customHeight="1" x14ac:dyDescent="0.2">
      <c r="A442" s="190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3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7" customHeight="1" x14ac:dyDescent="0.2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7" customHeight="1" x14ac:dyDescent="0.2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7" customHeight="1" x14ac:dyDescent="0.2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7" customHeight="1" x14ac:dyDescent="0.2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7" customHeight="1" x14ac:dyDescent="0.2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7" customHeight="1" x14ac:dyDescent="0.2">
      <c r="A448" s="190"/>
      <c r="B448" s="205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3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7" customHeight="1" x14ac:dyDescent="0.2">
      <c r="A449" s="190"/>
      <c r="B449" s="40" t="s">
        <v>85</v>
      </c>
      <c r="C449" s="151">
        <v>1983.6030000000001</v>
      </c>
      <c r="D449" s="152">
        <v>0</v>
      </c>
      <c r="E449" s="152">
        <v>6029</v>
      </c>
      <c r="F449" s="153">
        <v>8012.6030000000001</v>
      </c>
      <c r="G449" s="154">
        <v>7202.1500341720584</v>
      </c>
      <c r="H449" s="183">
        <v>89.885272416118198</v>
      </c>
      <c r="I449" s="153">
        <v>810.45296582794163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5"/>
    </row>
    <row r="450" spans="1:18" s="191" customFormat="1" ht="10.7" customHeight="1" x14ac:dyDescent="0.2">
      <c r="A450" s="190"/>
      <c r="B450" s="196" t="s">
        <v>86</v>
      </c>
      <c r="C450" s="151">
        <v>72430.444000000003</v>
      </c>
      <c r="D450" s="154">
        <v>0</v>
      </c>
      <c r="E450" s="152">
        <v>0</v>
      </c>
      <c r="F450" s="153">
        <v>72430.444000000003</v>
      </c>
      <c r="G450" s="154">
        <v>72103.040034172052</v>
      </c>
      <c r="H450" s="183">
        <v>99.547974652995421</v>
      </c>
      <c r="I450" s="153">
        <v>327.40396582794455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 t="s">
        <v>149</v>
      </c>
      <c r="R450" s="185"/>
    </row>
    <row r="451" spans="1:18" s="191" customFormat="1" ht="10.7" customHeight="1" x14ac:dyDescent="0.2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7" customHeight="1" x14ac:dyDescent="0.2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7" customHeight="1" x14ac:dyDescent="0.2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7" customHeight="1" x14ac:dyDescent="0.2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5"/>
    </row>
    <row r="455" spans="1:18" s="191" customFormat="1" ht="10.7" customHeight="1" x14ac:dyDescent="0.2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7" customHeight="1" x14ac:dyDescent="0.2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7" customHeight="1" x14ac:dyDescent="0.2">
      <c r="A457" s="190"/>
      <c r="B457" s="187" t="s">
        <v>91</v>
      </c>
      <c r="C457" s="224">
        <v>72430.444000000003</v>
      </c>
      <c r="D457" s="155">
        <v>0</v>
      </c>
      <c r="E457" s="155">
        <v>0</v>
      </c>
      <c r="F457" s="156">
        <v>72430.444000000003</v>
      </c>
      <c r="G457" s="156">
        <v>72103.040034172052</v>
      </c>
      <c r="H457" s="188">
        <v>99.547974652995421</v>
      </c>
      <c r="I457" s="156">
        <v>327.40396582795074</v>
      </c>
      <c r="J457" s="155">
        <v>0</v>
      </c>
      <c r="K457" s="155">
        <v>0</v>
      </c>
      <c r="L457" s="155">
        <v>0</v>
      </c>
      <c r="M457" s="155">
        <v>0</v>
      </c>
      <c r="N457" s="58">
        <v>0</v>
      </c>
      <c r="O457" s="155">
        <v>0</v>
      </c>
      <c r="P457" s="54" t="s">
        <v>149</v>
      </c>
      <c r="R457" s="185"/>
    </row>
    <row r="458" spans="1:18" s="191" customFormat="1" ht="12.75" x14ac:dyDescent="0.2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2.75" x14ac:dyDescent="0.2">
      <c r="A459" s="190"/>
      <c r="F459" s="192"/>
      <c r="I459" s="192"/>
      <c r="N459" s="194"/>
      <c r="P459" s="194"/>
      <c r="R459" s="185"/>
    </row>
    <row r="460" spans="1:18" s="191" customFormat="1" ht="12.75" hidden="1" x14ac:dyDescent="0.2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2.75" hidden="1" x14ac:dyDescent="0.2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2.75" hidden="1" x14ac:dyDescent="0.2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2.75" hidden="1" x14ac:dyDescent="0.2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2.75" hidden="1" x14ac:dyDescent="0.2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2.75" hidden="1" x14ac:dyDescent="0.2">
      <c r="A465" s="190"/>
      <c r="B465" s="40"/>
      <c r="C465" s="237" t="s">
        <v>101</v>
      </c>
      <c r="D465" s="234"/>
      <c r="E465" s="234"/>
      <c r="F465" s="234"/>
      <c r="G465" s="234"/>
      <c r="H465" s="234"/>
      <c r="I465" s="234"/>
      <c r="J465" s="234"/>
      <c r="K465" s="234"/>
      <c r="L465" s="234"/>
      <c r="M465" s="234"/>
      <c r="N465" s="234"/>
      <c r="O465" s="234"/>
      <c r="P465" s="41" t="s">
        <v>4</v>
      </c>
      <c r="R465" s="185"/>
    </row>
    <row r="466" spans="1:18" s="191" customFormat="1" ht="12.75" hidden="1" x14ac:dyDescent="0.2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2.75" hidden="1" x14ac:dyDescent="0.2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2.75" hidden="1" x14ac:dyDescent="0.2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2.75" hidden="1" x14ac:dyDescent="0.2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2.75" hidden="1" x14ac:dyDescent="0.2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2.75" hidden="1" x14ac:dyDescent="0.2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2.75" hidden="1" x14ac:dyDescent="0.2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2.75" hidden="1" x14ac:dyDescent="0.2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2.75" hidden="1" x14ac:dyDescent="0.2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2.75" hidden="1" x14ac:dyDescent="0.2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2.75" hidden="1" x14ac:dyDescent="0.2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2.75" hidden="1" x14ac:dyDescent="0.2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2.75" hidden="1" x14ac:dyDescent="0.2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2.75" hidden="1" x14ac:dyDescent="0.2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2.75" hidden="1" x14ac:dyDescent="0.2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2.75" hidden="1" x14ac:dyDescent="0.2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2.75" hidden="1" x14ac:dyDescent="0.2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2.75" hidden="1" x14ac:dyDescent="0.2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2.75" hidden="1" x14ac:dyDescent="0.2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2.75" hidden="1" x14ac:dyDescent="0.2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2.75" hidden="1" x14ac:dyDescent="0.2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2.75" hidden="1" x14ac:dyDescent="0.2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2.75" hidden="1" x14ac:dyDescent="0.2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2.75" hidden="1" x14ac:dyDescent="0.2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2.75" hidden="1" x14ac:dyDescent="0.2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7" hidden="1" customHeight="1" x14ac:dyDescent="0.2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7" hidden="1" customHeight="1" x14ac:dyDescent="0.2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7" hidden="1" customHeight="1" x14ac:dyDescent="0.2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7" hidden="1" customHeight="1" x14ac:dyDescent="0.2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7" hidden="1" customHeight="1" x14ac:dyDescent="0.2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7" hidden="1" customHeight="1" x14ac:dyDescent="0.2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44468</v>
      </c>
      <c r="K496" s="33">
        <v>44475</v>
      </c>
      <c r="L496" s="33">
        <v>44482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7" hidden="1" customHeight="1" x14ac:dyDescent="0.2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7" hidden="1" customHeight="1" x14ac:dyDescent="0.2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7" hidden="1" customHeight="1" x14ac:dyDescent="0.2">
      <c r="A499" s="190"/>
      <c r="B499" s="40"/>
      <c r="C499" s="237" t="s">
        <v>26</v>
      </c>
      <c r="D499" s="234"/>
      <c r="E499" s="234"/>
      <c r="F499" s="234"/>
      <c r="G499" s="234"/>
      <c r="H499" s="234"/>
      <c r="I499" s="234"/>
      <c r="J499" s="234"/>
      <c r="K499" s="234"/>
      <c r="L499" s="234"/>
      <c r="M499" s="234"/>
      <c r="N499" s="234"/>
      <c r="O499" s="234"/>
      <c r="P499" s="41" t="s">
        <v>4</v>
      </c>
      <c r="R499" s="185"/>
    </row>
    <row r="500" spans="1:18" s="191" customFormat="1" ht="10.7" hidden="1" customHeight="1" x14ac:dyDescent="0.2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7" hidden="1" customHeight="1" x14ac:dyDescent="0.2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7" hidden="1" customHeight="1" x14ac:dyDescent="0.2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7" hidden="1" customHeight="1" x14ac:dyDescent="0.2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7" hidden="1" customHeight="1" x14ac:dyDescent="0.2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7" hidden="1" customHeight="1" x14ac:dyDescent="0.2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2.75" hidden="1" x14ac:dyDescent="0.2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7" hidden="1" customHeight="1" x14ac:dyDescent="0.2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7" hidden="1" customHeight="1" x14ac:dyDescent="0.2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7" hidden="1" customHeight="1" x14ac:dyDescent="0.2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7" hidden="1" customHeight="1" x14ac:dyDescent="0.2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7" hidden="1" customHeight="1" x14ac:dyDescent="0.2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7" hidden="1" customHeight="1" x14ac:dyDescent="0.2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7" hidden="1" customHeight="1" x14ac:dyDescent="0.2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7" hidden="1" customHeight="1" x14ac:dyDescent="0.2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7" hidden="1" customHeight="1" x14ac:dyDescent="0.2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7" hidden="1" customHeight="1" x14ac:dyDescent="0.2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7" hidden="1" customHeight="1" x14ac:dyDescent="0.2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2.75" hidden="1" x14ac:dyDescent="0.2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2.75" hidden="1" x14ac:dyDescent="0.2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2.75" hidden="1" x14ac:dyDescent="0.2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2.75" hidden="1" x14ac:dyDescent="0.2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2.75" hidden="1" x14ac:dyDescent="0.2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2.75" hidden="1" x14ac:dyDescent="0.2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2.75" hidden="1" x14ac:dyDescent="0.2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7" hidden="1" customHeight="1" x14ac:dyDescent="0.2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7" hidden="1" customHeight="1" x14ac:dyDescent="0.2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7" hidden="1" customHeight="1" x14ac:dyDescent="0.2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7" customHeight="1" x14ac:dyDescent="0.2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7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7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44468</v>
      </c>
      <c r="K530" s="33">
        <v>44475</v>
      </c>
      <c r="L530" s="33">
        <v>44482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7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7" customHeight="1" x14ac:dyDescent="0.2">
      <c r="A532" s="168"/>
      <c r="B532" s="209"/>
      <c r="C532" s="235" t="s">
        <v>106</v>
      </c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35"/>
      <c r="P532" s="210"/>
      <c r="Q532" s="191"/>
    </row>
    <row r="533" spans="1:17" s="2" customFormat="1" ht="10.7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7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7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7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7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7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7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7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7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7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7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7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7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7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7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7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7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7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7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7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7" customHeight="1" x14ac:dyDescent="0.2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7" customHeight="1" x14ac:dyDescent="0.2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7" customHeight="1" x14ac:dyDescent="0.2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7" customHeight="1" x14ac:dyDescent="0.2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7" customHeight="1" x14ac:dyDescent="0.2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7" customHeight="1" x14ac:dyDescent="0.2">
      <c r="B566" s="198" t="s">
        <v>167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7" customHeight="1" x14ac:dyDescent="0.2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7" customHeight="1" x14ac:dyDescent="0.2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2.75" x14ac:dyDescent="0.2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7" customHeight="1" x14ac:dyDescent="0.2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7" customHeight="1" x14ac:dyDescent="0.2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7" customHeight="1" x14ac:dyDescent="0.2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44468</v>
      </c>
      <c r="K572" s="33">
        <v>44475</v>
      </c>
      <c r="L572" s="33">
        <v>44482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7" customHeight="1" x14ac:dyDescent="0.2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7" customHeight="1" x14ac:dyDescent="0.2">
      <c r="A574" s="190"/>
      <c r="B574" s="40"/>
      <c r="C574" s="233" t="s">
        <v>143</v>
      </c>
      <c r="D574" s="235"/>
      <c r="E574" s="235"/>
      <c r="F574" s="235"/>
      <c r="G574" s="235"/>
      <c r="H574" s="235"/>
      <c r="I574" s="235"/>
      <c r="J574" s="235"/>
      <c r="K574" s="235"/>
      <c r="L574" s="235"/>
      <c r="M574" s="235"/>
      <c r="N574" s="235"/>
      <c r="O574" s="235"/>
      <c r="P574" s="41" t="s">
        <v>4</v>
      </c>
      <c r="R574" s="185"/>
    </row>
    <row r="575" spans="1:20" ht="10.7" customHeight="1" x14ac:dyDescent="0.2">
      <c r="A575" s="195"/>
      <c r="B575" s="40" t="s">
        <v>62</v>
      </c>
      <c r="C575" s="151">
        <v>3612.8</v>
      </c>
      <c r="D575" s="152">
        <v>0</v>
      </c>
      <c r="E575" s="152">
        <v>-3612</v>
      </c>
      <c r="F575" s="153">
        <v>0.8000000000001819</v>
      </c>
      <c r="G575" s="154">
        <v>0</v>
      </c>
      <c r="H575" s="183">
        <v>0</v>
      </c>
      <c r="I575" s="153">
        <v>0.8000000000001819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7" customHeight="1" x14ac:dyDescent="0.2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7" customHeight="1" x14ac:dyDescent="0.2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7" customHeight="1" x14ac:dyDescent="0.2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7" customHeight="1" x14ac:dyDescent="0.2">
      <c r="A579" s="190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3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5"/>
    </row>
    <row r="580" spans="1:18" s="191" customFormat="1" ht="10.7" customHeight="1" x14ac:dyDescent="0.2">
      <c r="A580" s="190"/>
      <c r="B580" s="47" t="s">
        <v>73</v>
      </c>
      <c r="C580" s="151">
        <v>11910.06</v>
      </c>
      <c r="D580" s="152">
        <v>0</v>
      </c>
      <c r="E580" s="152">
        <v>-4250.8999999999996</v>
      </c>
      <c r="F580" s="153">
        <v>7659.16</v>
      </c>
      <c r="G580" s="154">
        <v>0</v>
      </c>
      <c r="H580" s="183">
        <v>0</v>
      </c>
      <c r="I580" s="153">
        <v>7659.16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7" customHeight="1" x14ac:dyDescent="0.2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7" customHeight="1" x14ac:dyDescent="0.2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7" customHeight="1" x14ac:dyDescent="0.2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7" customHeight="1" x14ac:dyDescent="0.2">
      <c r="A584" s="190"/>
      <c r="B584" s="40" t="s">
        <v>78</v>
      </c>
      <c r="C584" s="151">
        <v>231.2</v>
      </c>
      <c r="D584" s="152">
        <v>0</v>
      </c>
      <c r="E584" s="152">
        <v>-231</v>
      </c>
      <c r="F584" s="153">
        <v>0.19999999999998863</v>
      </c>
      <c r="G584" s="154">
        <v>0</v>
      </c>
      <c r="H584" s="183">
        <v>0</v>
      </c>
      <c r="I584" s="153">
        <v>0.19999999999998863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7" customHeight="1" x14ac:dyDescent="0.2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7" customHeight="1" x14ac:dyDescent="0.2">
      <c r="A586" s="190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3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7" customHeight="1" x14ac:dyDescent="0.2">
      <c r="A587" s="190"/>
      <c r="B587" s="40" t="s">
        <v>85</v>
      </c>
      <c r="C587" s="151">
        <v>0</v>
      </c>
      <c r="D587" s="152">
        <v>-230</v>
      </c>
      <c r="E587" s="152">
        <v>1</v>
      </c>
      <c r="F587" s="153">
        <v>1</v>
      </c>
      <c r="G587" s="154">
        <v>0</v>
      </c>
      <c r="H587" s="183">
        <v>0</v>
      </c>
      <c r="I587" s="153">
        <v>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85"/>
    </row>
    <row r="588" spans="1:18" s="191" customFormat="1" ht="10.7" customHeight="1" x14ac:dyDescent="0.2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7" customHeight="1" x14ac:dyDescent="0.2">
      <c r="A589" s="190"/>
      <c r="B589" s="197" t="s">
        <v>91</v>
      </c>
      <c r="C589" s="157">
        <v>12976.859999999999</v>
      </c>
      <c r="D589" s="155">
        <v>-208</v>
      </c>
      <c r="E589" s="155">
        <v>-5293.9</v>
      </c>
      <c r="F589" s="156">
        <v>7682.96</v>
      </c>
      <c r="G589" s="155">
        <v>0</v>
      </c>
      <c r="H589" s="188">
        <v>0</v>
      </c>
      <c r="I589" s="156">
        <v>7682.96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7" customHeight="1" x14ac:dyDescent="0.2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7" customHeight="1" x14ac:dyDescent="0.2">
      <c r="A591" s="190"/>
      <c r="B591" s="214"/>
      <c r="C591" s="238"/>
      <c r="D591" s="238"/>
      <c r="E591" s="238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16"/>
      <c r="R591" s="185"/>
    </row>
    <row r="592" spans="1:18" s="191" customFormat="1" ht="10.7" customHeight="1" x14ac:dyDescent="0.2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7" customHeight="1" x14ac:dyDescent="0.2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7" customHeight="1" x14ac:dyDescent="0.2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44468</v>
      </c>
      <c r="K594" s="33">
        <v>44475</v>
      </c>
      <c r="L594" s="33">
        <v>44482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7" customHeight="1" x14ac:dyDescent="0.2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7" customHeight="1" x14ac:dyDescent="0.2">
      <c r="A596" s="190"/>
      <c r="B596" s="40"/>
      <c r="C596" s="233" t="s">
        <v>107</v>
      </c>
      <c r="D596" s="235"/>
      <c r="E596" s="235"/>
      <c r="F596" s="235"/>
      <c r="G596" s="235"/>
      <c r="H596" s="235"/>
      <c r="I596" s="235"/>
      <c r="J596" s="235"/>
      <c r="K596" s="235"/>
      <c r="L596" s="235"/>
      <c r="M596" s="235"/>
      <c r="N596" s="235"/>
      <c r="O596" s="235"/>
      <c r="P596" s="41" t="s">
        <v>4</v>
      </c>
      <c r="R596" s="185"/>
    </row>
    <row r="597" spans="1:18" ht="10.7" customHeight="1" x14ac:dyDescent="0.2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7" customHeight="1" x14ac:dyDescent="0.2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7" customHeight="1" x14ac:dyDescent="0.2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7" customHeight="1" x14ac:dyDescent="0.2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7" customHeight="1" x14ac:dyDescent="0.2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7" customHeight="1" x14ac:dyDescent="0.2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7" customHeight="1" x14ac:dyDescent="0.2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7" customHeight="1" x14ac:dyDescent="0.2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7" customHeight="1" x14ac:dyDescent="0.2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7" customHeight="1" x14ac:dyDescent="0.2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7" customHeight="1" x14ac:dyDescent="0.2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7" customHeight="1" x14ac:dyDescent="0.2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7" customHeight="1" x14ac:dyDescent="0.2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7" customHeight="1" x14ac:dyDescent="0.2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7" customHeight="1" x14ac:dyDescent="0.2">
      <c r="A611" s="190"/>
      <c r="B611" s="214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16"/>
      <c r="R611" s="185"/>
    </row>
    <row r="612" spans="1:18" s="191" customFormat="1" ht="10.7" customHeight="1" x14ac:dyDescent="0.2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7" customHeight="1" x14ac:dyDescent="0.2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7" customHeight="1" x14ac:dyDescent="0.2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44468</v>
      </c>
      <c r="K614" s="33">
        <v>44475</v>
      </c>
      <c r="L614" s="33">
        <v>44482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7" customHeight="1" x14ac:dyDescent="0.2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7" customHeight="1" x14ac:dyDescent="0.2">
      <c r="A616" s="190"/>
      <c r="B616" s="40"/>
      <c r="C616" s="233" t="s">
        <v>108</v>
      </c>
      <c r="D616" s="235"/>
      <c r="E616" s="235"/>
      <c r="F616" s="235"/>
      <c r="G616" s="235"/>
      <c r="H616" s="235"/>
      <c r="I616" s="235"/>
      <c r="J616" s="235"/>
      <c r="K616" s="235"/>
      <c r="L616" s="235"/>
      <c r="M616" s="235"/>
      <c r="N616" s="235"/>
      <c r="O616" s="235"/>
      <c r="P616" s="41" t="s">
        <v>4</v>
      </c>
      <c r="R616" s="185"/>
    </row>
    <row r="617" spans="1:18" ht="10.7" customHeight="1" x14ac:dyDescent="0.2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7" customHeight="1" x14ac:dyDescent="0.2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7" customHeight="1" x14ac:dyDescent="0.2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7" customHeight="1" x14ac:dyDescent="0.2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7" customHeight="1" x14ac:dyDescent="0.2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7" customHeight="1" x14ac:dyDescent="0.2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7" customHeight="1" x14ac:dyDescent="0.2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7" customHeight="1" x14ac:dyDescent="0.2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7" customHeight="1" x14ac:dyDescent="0.2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7" customHeight="1" x14ac:dyDescent="0.2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7" customHeight="1" x14ac:dyDescent="0.2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7" customHeight="1" x14ac:dyDescent="0.2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7" customHeight="1" x14ac:dyDescent="0.2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7" customHeight="1" x14ac:dyDescent="0.2">
      <c r="A630" s="190"/>
      <c r="B630" s="214"/>
      <c r="C630" s="238"/>
      <c r="D630" s="238"/>
      <c r="E630" s="238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16"/>
      <c r="R630" s="185"/>
    </row>
    <row r="631" spans="1:254" s="191" customFormat="1" ht="10.7" customHeight="1" x14ac:dyDescent="0.2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7" customHeight="1" x14ac:dyDescent="0.2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7" customHeight="1" x14ac:dyDescent="0.2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44468</v>
      </c>
      <c r="K633" s="33">
        <v>44475</v>
      </c>
      <c r="L633" s="33">
        <v>44482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7" customHeight="1" x14ac:dyDescent="0.2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7" customHeight="1" x14ac:dyDescent="0.2">
      <c r="A635" s="190"/>
      <c r="B635" s="40"/>
      <c r="C635" s="233" t="s">
        <v>109</v>
      </c>
      <c r="D635" s="235"/>
      <c r="E635" s="235"/>
      <c r="F635" s="235"/>
      <c r="G635" s="235"/>
      <c r="H635" s="235"/>
      <c r="I635" s="235"/>
      <c r="J635" s="235"/>
      <c r="K635" s="235"/>
      <c r="L635" s="235"/>
      <c r="M635" s="235"/>
      <c r="N635" s="235"/>
      <c r="O635" s="235"/>
      <c r="P635" s="41" t="s">
        <v>4</v>
      </c>
      <c r="R635" s="185"/>
    </row>
    <row r="636" spans="1:254" ht="10.7" customHeight="1" x14ac:dyDescent="0.2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7" customHeight="1" x14ac:dyDescent="0.2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7" customHeight="1" x14ac:dyDescent="0.2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7" customHeight="1" x14ac:dyDescent="0.2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7" customHeight="1" x14ac:dyDescent="0.2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7" customHeight="1" x14ac:dyDescent="0.2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7" customHeight="1" x14ac:dyDescent="0.2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7" customHeight="1" x14ac:dyDescent="0.2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7" customHeight="1" x14ac:dyDescent="0.2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7" customHeight="1" x14ac:dyDescent="0.2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7" customHeight="1" x14ac:dyDescent="0.2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7" customHeight="1" x14ac:dyDescent="0.2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7" customHeight="1" x14ac:dyDescent="0.2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2.75" x14ac:dyDescent="0.2">
      <c r="A649" s="190"/>
      <c r="B649" s="198" t="s">
        <v>167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2.75" x14ac:dyDescent="0.2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2.75" x14ac:dyDescent="0.2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7" customHeight="1" x14ac:dyDescent="0.2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7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7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1.25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44468</v>
      </c>
      <c r="K655" s="33">
        <v>44475</v>
      </c>
      <c r="L655" s="33">
        <v>44482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1.25" x14ac:dyDescent="0.2">
      <c r="B657" s="40"/>
      <c r="C657" s="239" t="s">
        <v>110</v>
      </c>
      <c r="D657" s="240"/>
      <c r="E657" s="240"/>
      <c r="F657" s="240"/>
      <c r="G657" s="240"/>
      <c r="H657" s="240"/>
      <c r="I657" s="240"/>
      <c r="J657" s="240"/>
      <c r="K657" s="240"/>
      <c r="L657" s="240"/>
      <c r="M657" s="240"/>
      <c r="N657" s="240"/>
      <c r="O657" s="240"/>
      <c r="P657" s="41" t="s">
        <v>4</v>
      </c>
      <c r="Q657" s="191"/>
      <c r="R657" s="191"/>
    </row>
    <row r="658" spans="2:18" s="2" customFormat="1" ht="11.25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1.25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1.25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1.25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1.25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1.25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1.25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1.25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1.25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1.25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1.25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1.25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1.25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1.25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1.25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1.25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1.25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1.25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1.25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1.25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1.25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1.25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1.25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1.25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1.25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1.25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1.25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1.25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1.25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1.25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1.25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1.25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1.25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1.25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1.25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1.25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1.25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1.25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44468</v>
      </c>
      <c r="K695" s="33">
        <v>44475</v>
      </c>
      <c r="L695" s="33">
        <v>44482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1.25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1.25" x14ac:dyDescent="0.2">
      <c r="B697" s="40"/>
      <c r="C697" s="233" t="s">
        <v>112</v>
      </c>
      <c r="D697" s="235"/>
      <c r="E697" s="235"/>
      <c r="F697" s="235"/>
      <c r="G697" s="235"/>
      <c r="H697" s="235"/>
      <c r="I697" s="235"/>
      <c r="J697" s="235"/>
      <c r="K697" s="235"/>
      <c r="L697" s="235"/>
      <c r="M697" s="235"/>
      <c r="N697" s="235"/>
      <c r="O697" s="235"/>
      <c r="P697" s="41" t="s">
        <v>4</v>
      </c>
      <c r="Q697" s="191"/>
      <c r="R697" s="191"/>
    </row>
    <row r="698" spans="2:18" s="2" customFormat="1" ht="11.25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1.25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1.25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1.25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1.25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1.25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1.25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1.25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1.25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1.25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1.25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1.25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1.25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1.25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1.25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1.25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1.25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1.25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1.25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1.25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1.25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1.25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1.25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1.25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1.25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1.25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1.25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1.25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1.25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1.25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1.25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1.25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1.25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1.25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1.25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1.25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1.25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1.25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44468</v>
      </c>
      <c r="K735" s="33">
        <v>44475</v>
      </c>
      <c r="L735" s="33">
        <v>44482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7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7" customHeight="1" x14ac:dyDescent="0.2">
      <c r="B737" s="40"/>
      <c r="C737" s="233" t="s">
        <v>113</v>
      </c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235"/>
      <c r="P737" s="41" t="s">
        <v>4</v>
      </c>
      <c r="Q737" s="191"/>
      <c r="R737" s="191"/>
    </row>
    <row r="738" spans="2:18" s="2" customFormat="1" ht="10.7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7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7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7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7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7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7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7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7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7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7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7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7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7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7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7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7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7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7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7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7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7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7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7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7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7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7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7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7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7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7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7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7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7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7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7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7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7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44468</v>
      </c>
      <c r="K775" s="33">
        <v>44475</v>
      </c>
      <c r="L775" s="33">
        <v>44482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7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7" customHeight="1" x14ac:dyDescent="0.2">
      <c r="B777" s="40"/>
      <c r="C777" s="233" t="s">
        <v>114</v>
      </c>
      <c r="D777" s="235"/>
      <c r="E777" s="235"/>
      <c r="F777" s="235"/>
      <c r="G777" s="235"/>
      <c r="H777" s="235"/>
      <c r="I777" s="235"/>
      <c r="J777" s="235"/>
      <c r="K777" s="235"/>
      <c r="L777" s="235"/>
      <c r="M777" s="235"/>
      <c r="N777" s="235"/>
      <c r="O777" s="235"/>
      <c r="P777" s="41" t="s">
        <v>4</v>
      </c>
      <c r="Q777" s="191"/>
      <c r="R777" s="191"/>
    </row>
    <row r="778" spans="2:18" s="2" customFormat="1" ht="10.7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7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7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7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7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7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7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7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7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7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7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7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7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7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7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7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7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7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7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7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7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7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7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7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7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7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7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7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7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7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7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7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7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7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7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7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7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7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44468</v>
      </c>
      <c r="K815" s="33">
        <v>44475</v>
      </c>
      <c r="L815" s="33">
        <v>44482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7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7" customHeight="1" x14ac:dyDescent="0.2">
      <c r="B817" s="40"/>
      <c r="C817" s="233" t="s">
        <v>115</v>
      </c>
      <c r="D817" s="235"/>
      <c r="E817" s="235"/>
      <c r="F817" s="235"/>
      <c r="G817" s="235"/>
      <c r="H817" s="235"/>
      <c r="I817" s="235"/>
      <c r="J817" s="235"/>
      <c r="K817" s="235"/>
      <c r="L817" s="235"/>
      <c r="M817" s="235"/>
      <c r="N817" s="235"/>
      <c r="O817" s="235"/>
      <c r="P817" s="41" t="s">
        <v>4</v>
      </c>
      <c r="Q817" s="191"/>
      <c r="R817" s="191"/>
    </row>
    <row r="818" spans="2:18" s="2" customFormat="1" ht="10.7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7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7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7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7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7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7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7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7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7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7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7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7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7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7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7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7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7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7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7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7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7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7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7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7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7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7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7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7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7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7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7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7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7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7" customHeight="1" x14ac:dyDescent="0.2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7" customHeight="1" x14ac:dyDescent="0.2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7" customHeight="1" x14ac:dyDescent="0.2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44468</v>
      </c>
      <c r="K855" s="33">
        <v>44475</v>
      </c>
      <c r="L855" s="33">
        <v>44482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7" customHeight="1" x14ac:dyDescent="0.2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7" customHeight="1" x14ac:dyDescent="0.2">
      <c r="A857" s="2"/>
      <c r="B857" s="40"/>
      <c r="C857" s="233" t="s">
        <v>144</v>
      </c>
      <c r="D857" s="234"/>
      <c r="E857" s="234"/>
      <c r="F857" s="234"/>
      <c r="G857" s="234"/>
      <c r="H857" s="234"/>
      <c r="I857" s="234"/>
      <c r="J857" s="234"/>
      <c r="K857" s="234"/>
      <c r="L857" s="234"/>
      <c r="M857" s="234"/>
      <c r="N857" s="234"/>
      <c r="O857" s="234"/>
      <c r="P857" s="41" t="s">
        <v>4</v>
      </c>
    </row>
    <row r="858" spans="1:18" ht="10.7" customHeight="1" x14ac:dyDescent="0.2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7" customHeight="1" x14ac:dyDescent="0.2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7" customHeight="1" x14ac:dyDescent="0.2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7" customHeight="1" x14ac:dyDescent="0.2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7" customHeight="1" x14ac:dyDescent="0.2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7" customHeight="1" x14ac:dyDescent="0.2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7" customHeight="1" x14ac:dyDescent="0.2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7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7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7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7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7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7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7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7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7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7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7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7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7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7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7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7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7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7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7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7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7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7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7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7" customHeight="1" x14ac:dyDescent="0.2">
      <c r="A891" s="168"/>
      <c r="B891" s="198" t="s">
        <v>167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7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7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28515625" defaultRowHeight="12.75" x14ac:dyDescent="0.2"/>
  <cols>
    <col min="1" max="1" width="1.7109375" style="2" customWidth="1"/>
    <col min="2" max="2" width="14" style="2" customWidth="1"/>
    <col min="3" max="3" width="7.28515625" style="4" customWidth="1"/>
    <col min="4" max="4" width="7" style="4" customWidth="1"/>
    <col min="5" max="5" width="6.5703125" style="4" customWidth="1"/>
    <col min="6" max="6" width="7.28515625" style="6" customWidth="1"/>
    <col min="7" max="7" width="6.7109375" style="4" customWidth="1"/>
    <col min="8" max="8" width="7" style="10" customWidth="1"/>
    <col min="9" max="9" width="6.42578125" style="6" customWidth="1"/>
    <col min="10" max="13" width="6.140625" style="4" customWidth="1"/>
    <col min="14" max="14" width="5.28515625" style="11" customWidth="1"/>
    <col min="15" max="15" width="6.140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9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f>[4]Cumulative!A3</f>
        <v>44489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f>[4]Weeks!A122</f>
        <v>44468</v>
      </c>
      <c r="K7" s="33">
        <f>[4]Weeks!A82</f>
        <v>44475</v>
      </c>
      <c r="L7" s="33">
        <f>[4]Weeks!A42</f>
        <v>44482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161"/>
      <c r="C9" s="233" t="s">
        <v>118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7" customHeight="1" x14ac:dyDescent="0.2">
      <c r="B10" s="222" t="s">
        <v>121</v>
      </c>
      <c r="C10" s="151">
        <f>'[5]Maj Pel Combined'!B29</f>
        <v>0</v>
      </c>
      <c r="D10" s="152">
        <f>F10-VLOOKUP(B10,[4]quotas!$B$85:$W$120,2,FALSE)</f>
        <v>0</v>
      </c>
      <c r="E10" s="152">
        <f>F10-C10</f>
        <v>0</v>
      </c>
      <c r="F10" s="153">
        <f>VLOOKUP(B10,[4]quotas!$B$46:$W$84,2,FALSE)</f>
        <v>0</v>
      </c>
      <c r="G10" s="154">
        <f>VLOOKUP(B10,[4]Cumulative!$A$56:$X$91,2,FALSE)</f>
        <v>0</v>
      </c>
      <c r="H10" s="183">
        <f>IF(AND(F10=0,G10&gt;0),"n/a",IF(F10=0,0,100*G10/F10))</f>
        <v>0</v>
      </c>
      <c r="I10" s="153">
        <f>IF(F10="*","*",F10-G10)</f>
        <v>0</v>
      </c>
      <c r="J10" s="154">
        <f>VLOOKUP(B10,[4]Weeks!$A$125:$X$161,2,FALSE)-VLOOKUP(B10,[4]Weeks!$A$165:$X$200,2,FALSE)</f>
        <v>0</v>
      </c>
      <c r="K10" s="154">
        <f>VLOOKUP(B10,[4]Weeks!$A$85:$X$121,2,FALSE)-VLOOKUP(B10,[4]Weeks!$A$125:$X$161,2,FALSE)</f>
        <v>0</v>
      </c>
      <c r="L10" s="154">
        <f>VLOOKUP(B10,[4]Weeks!$A$44:$X$81,2,FALSE)-VLOOKUP(B10,[4]Weeks!$A$85:$X$121,2,FALSE)</f>
        <v>0</v>
      </c>
      <c r="M10" s="154">
        <f>VLOOKUP(B10,[4]Weeks!$A$3:$X$39,2,FALSE)-VLOOKUP(B10,[4]Weeks!$A$44:$X$81,2,FALSE)</f>
        <v>0</v>
      </c>
      <c r="N10" s="46" t="str">
        <f>IF(C10="*","*",IF(C10&gt;0,M10/C10*100,"-"))</f>
        <v>-</v>
      </c>
      <c r="O10" s="45">
        <f>IF(C10="*","*",SUM(J10:M10)/4)</f>
        <v>0</v>
      </c>
      <c r="P10" s="41" t="str">
        <f>IF(ISNUMBER(VLOOKUP(B10,[4]CLOSURES!B:BI,2,FALSE)),TEXT(VLOOKUP(B10,[4]CLOSURES!B:BI,2,FALSE),"ddmmm"),IF(F10&lt;=0,0,IF(I10&lt;=0,0,IF(AND(F10&gt;0,O10&lt;=0),"&gt;52",IF(I10/O10&gt;52,"&gt;52", MAX(0,I10/O10-2))))))</f>
        <v>01Jan</v>
      </c>
    </row>
    <row r="11" spans="1:17" s="2" customFormat="1" ht="10.7" customHeight="1" x14ac:dyDescent="0.2">
      <c r="B11" s="222" t="s">
        <v>122</v>
      </c>
      <c r="C11" s="151">
        <f>'[5]Maj Pel Combined'!B30</f>
        <v>0</v>
      </c>
      <c r="D11" s="152">
        <f>F11-VLOOKUP(B11,[4]quotas!$B$85:$W$120,2,FALSE)</f>
        <v>0</v>
      </c>
      <c r="E11" s="152">
        <f t="shared" ref="E11:E24" si="0">F11-C11</f>
        <v>0</v>
      </c>
      <c r="F11" s="153">
        <f>VLOOKUP(B11,[4]quotas!$B$46:$W$84,2,FALSE)</f>
        <v>0</v>
      </c>
      <c r="G11" s="154">
        <f>VLOOKUP(B11,[4]Cumulative!$A$56:$X$91,2,FALSE)</f>
        <v>0</v>
      </c>
      <c r="H11" s="183">
        <f t="shared" ref="H11:H20" si="1">IF(AND(F11=0,G11&gt;0),"n/a",IF(F11=0,0,100*G11/F11))</f>
        <v>0</v>
      </c>
      <c r="I11" s="153">
        <f>IF(F11="*","*",F11-G11)</f>
        <v>0</v>
      </c>
      <c r="J11" s="154">
        <f>VLOOKUP(B11,[4]Weeks!$A$125:$X$161,2,FALSE)-VLOOKUP(B11,[4]Weeks!$A$165:$X$200,2,FALSE)</f>
        <v>0</v>
      </c>
      <c r="K11" s="154">
        <f>VLOOKUP(B11,[4]Weeks!$A$85:$X$121,2,FALSE)-VLOOKUP(B11,[4]Weeks!$A$125:$X$161,2,FALSE)</f>
        <v>0</v>
      </c>
      <c r="L11" s="154">
        <f>VLOOKUP(B11,[4]Weeks!$A$44:$X$81,2,FALSE)-VLOOKUP(B11,[4]Weeks!$A$85:$X$121,2,FALSE)</f>
        <v>0</v>
      </c>
      <c r="M11" s="154">
        <f>VLOOKUP(B11,[4]Weeks!$A$3:$X$39,2,FALSE)-VLOOKUP(B11,[4]Weeks!$A$44:$X$81,2,FALSE)</f>
        <v>0</v>
      </c>
      <c r="N11" s="46" t="str">
        <f>IF(C11="*","*",IF(C11&gt;0,M11/C11*100,"-"))</f>
        <v>-</v>
      </c>
      <c r="O11" s="45">
        <f>IF(C11="*","*",SUM(J11:M11)/4)</f>
        <v>0</v>
      </c>
      <c r="P11" s="41" t="str">
        <f>IF(ISNUMBER(VLOOKUP(B11,[4]CLOSURES!B:BI,2,FALSE)),TEXT(VLOOKUP(B11,[4]CLOSURES!B:BI,2,FALSE),"ddmmm"),IF(F11&lt;=0,0,IF(I11&lt;=0,0,IF(AND(F11&gt;0,O11&lt;=0),"&gt;52",IF(I11/O11&gt;52,"&gt;52", MAX(0,I11/O11-2))))))</f>
        <v>01Jan</v>
      </c>
    </row>
    <row r="12" spans="1:17" s="2" customFormat="1" ht="10.7" customHeight="1" x14ac:dyDescent="0.2">
      <c r="B12" s="222" t="s">
        <v>123</v>
      </c>
      <c r="C12" s="151">
        <f>'[5]Maj Pel Combined'!B31</f>
        <v>0</v>
      </c>
      <c r="D12" s="152">
        <f>F12-VLOOKUP(B12,[4]quotas!$B$85:$W$120,2,FALSE)</f>
        <v>0</v>
      </c>
      <c r="E12" s="152">
        <f t="shared" si="0"/>
        <v>0</v>
      </c>
      <c r="F12" s="153">
        <f>VLOOKUP(B12,[4]quotas!$B$46:$W$84,2,FALSE)</f>
        <v>0</v>
      </c>
      <c r="G12" s="154">
        <f>VLOOKUP(B12,[4]Cumulative!$A$56:$X$91,2,FALSE)</f>
        <v>0</v>
      </c>
      <c r="H12" s="183">
        <f t="shared" si="1"/>
        <v>0</v>
      </c>
      <c r="I12" s="153">
        <f t="shared" ref="I12:I24" si="2">IF(F12="*","*",F12-G12)</f>
        <v>0</v>
      </c>
      <c r="J12" s="154">
        <f>VLOOKUP(B12,[4]Weeks!$A$125:$X$161,2,FALSE)-VLOOKUP(B12,[4]Weeks!$A$165:$X$200,2,FALSE)</f>
        <v>0</v>
      </c>
      <c r="K12" s="154">
        <f>VLOOKUP(B12,[4]Weeks!$A$85:$X$121,2,FALSE)-VLOOKUP(B12,[4]Weeks!$A$125:$X$161,2,FALSE)</f>
        <v>0</v>
      </c>
      <c r="L12" s="154">
        <f>VLOOKUP(B12,[4]Weeks!$A$44:$X$81,2,FALSE)-VLOOKUP(B12,[4]Weeks!$A$85:$X$121,2,FALSE)</f>
        <v>0</v>
      </c>
      <c r="M12" s="154">
        <f>VLOOKUP(B12,[4]Weeks!$A$3:$X$39,2,FALSE)-VLOOKUP(B12,[4]Weeks!$A$44:$X$81,2,FALSE)</f>
        <v>0</v>
      </c>
      <c r="N12" s="46" t="str">
        <f>IF(C12="*","*",IF(C12&gt;0,M12/C12*100,"-"))</f>
        <v>-</v>
      </c>
      <c r="O12" s="45">
        <f>IF(C12="*","*",SUM(J12:M12)/4)</f>
        <v>0</v>
      </c>
      <c r="P12" s="41" t="str">
        <f>IF(ISNUMBER(VLOOKUP(B12,[4]CLOSURES!B:BI,2,FALSE)),TEXT(VLOOKUP(B12,[4]CLOSURES!B:BI,2,FALSE),"ddmmm"),IF(F12&lt;=0,0,IF(I12&lt;=0,0,IF(AND(F12&gt;0,O12&lt;=0),"&gt;52",IF(I12/O12&gt;52,"&gt;52", MAX(0,I12/O12-2))))))</f>
        <v>01Jan</v>
      </c>
    </row>
    <row r="13" spans="1:17" s="2" customFormat="1" ht="10.7" customHeight="1" x14ac:dyDescent="0.2">
      <c r="B13" s="222" t="s">
        <v>124</v>
      </c>
      <c r="C13" s="151">
        <f>'[5]Maj Pel Combined'!B32</f>
        <v>0</v>
      </c>
      <c r="D13" s="152">
        <f>F13-VLOOKUP(B13,[4]quotas!$B$85:$W$120,2,FALSE)</f>
        <v>0</v>
      </c>
      <c r="E13" s="152">
        <f t="shared" si="0"/>
        <v>0</v>
      </c>
      <c r="F13" s="153">
        <f>VLOOKUP(B13,[4]quotas!$B$46:$W$84,2,FALSE)</f>
        <v>0</v>
      </c>
      <c r="G13" s="154">
        <f>VLOOKUP(B13,[4]Cumulative!$A$56:$X$91,2,FALSE)</f>
        <v>0</v>
      </c>
      <c r="H13" s="183">
        <f t="shared" si="1"/>
        <v>0</v>
      </c>
      <c r="I13" s="153">
        <f t="shared" si="2"/>
        <v>0</v>
      </c>
      <c r="J13" s="154">
        <f>VLOOKUP(B13,[4]Weeks!$A$125:$X$161,2,FALSE)-VLOOKUP(B13,[4]Weeks!$A$165:$X$200,2,FALSE)</f>
        <v>0</v>
      </c>
      <c r="K13" s="154">
        <f>VLOOKUP(B13,[4]Weeks!$A$85:$X$121,2,FALSE)-VLOOKUP(B13,[4]Weeks!$A$125:$X$161,2,FALSE)</f>
        <v>0</v>
      </c>
      <c r="L13" s="154">
        <f>VLOOKUP(B13,[4]Weeks!$A$44:$X$81,2,FALSE)-VLOOKUP(B13,[4]Weeks!$A$85:$X$121,2,FALSE)</f>
        <v>0</v>
      </c>
      <c r="M13" s="154">
        <f>VLOOKUP(B13,[4]Weeks!$A$3:$X$39,2,FALSE)-VLOOKUP(B13,[4]Weeks!$A$44:$X$81,2,FALSE)</f>
        <v>0</v>
      </c>
      <c r="N13" s="46" t="str">
        <f>IF(C13="*","*",IF(C13&gt;0,M13/C13*100,"-"))</f>
        <v>-</v>
      </c>
      <c r="O13" s="45">
        <f>IF(C13="*","*",SUM(J13:M13)/4)</f>
        <v>0</v>
      </c>
      <c r="P13" s="41" t="str">
        <f>IF(ISNUMBER(VLOOKUP(B13,[4]CLOSURES!B:BI,2,FALSE)),TEXT(VLOOKUP(B13,[4]CLOSURES!B:BI,2,FALSE),"ddmmm"),IF(F13&lt;=0,0,IF(I13&lt;=0,0,IF(AND(F13&gt;0,O13&lt;=0),"&gt;52",IF(I13/O13&gt;52,"&gt;52", MAX(0,I13/O13-2))))))</f>
        <v>01Jan</v>
      </c>
    </row>
    <row r="14" spans="1:17" s="2" customFormat="1" ht="10.7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" customHeight="1" x14ac:dyDescent="0.2">
      <c r="B15" s="162" t="s">
        <v>125</v>
      </c>
      <c r="C15" s="151">
        <f>SUM(C10:C13)</f>
        <v>0</v>
      </c>
      <c r="D15" s="152">
        <f>SUM(D10:D14)</f>
        <v>0</v>
      </c>
      <c r="E15" s="152">
        <f t="shared" si="0"/>
        <v>0</v>
      </c>
      <c r="F15" s="153">
        <f>SUM(F10:F13)</f>
        <v>0</v>
      </c>
      <c r="G15" s="154">
        <f>SUM(G10:G13)</f>
        <v>0</v>
      </c>
      <c r="H15" s="183">
        <f t="shared" si="1"/>
        <v>0</v>
      </c>
      <c r="I15" s="153">
        <f t="shared" si="2"/>
        <v>0</v>
      </c>
      <c r="J15" s="154">
        <f t="shared" ref="J15:O15" si="3">SUM(J10:J13)</f>
        <v>0</v>
      </c>
      <c r="K15" s="154">
        <f t="shared" si="3"/>
        <v>0</v>
      </c>
      <c r="L15" s="154">
        <f t="shared" si="3"/>
        <v>0</v>
      </c>
      <c r="M15" s="154">
        <f t="shared" si="3"/>
        <v>0</v>
      </c>
      <c r="N15" s="48">
        <f t="shared" si="3"/>
        <v>0</v>
      </c>
      <c r="O15" s="45">
        <f t="shared" si="3"/>
        <v>0</v>
      </c>
      <c r="P15" s="41">
        <f>IF(ISNUMBER(VLOOKUP(B15,[4]CLOSURES!B:BI,2,FALSE)),TEXT(VLOOKUP(B15,[4]CLOSURES!B:BI,2,FALSE),"ddmmm"),IF(F15&lt;=0,0,IF(I15&lt;=0,0,IF(AND(F15&gt;0,O15&lt;=0),"&gt;52",IF(I15/O15&gt;52,"&gt;52", MAX(0,I15/O15-2))))))</f>
        <v>0</v>
      </c>
    </row>
    <row r="16" spans="1:17" s="2" customFormat="1" ht="10.7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" customHeight="1" x14ac:dyDescent="0.2">
      <c r="B17" s="223" t="s">
        <v>126</v>
      </c>
      <c r="C17" s="151">
        <f>'[5]Maj Pel Combined'!$B36</f>
        <v>1312.3810000000001</v>
      </c>
      <c r="D17" s="152">
        <f>F17-VLOOKUP(B17,[4]quotas!$B$85:$W$120,2,FALSE)</f>
        <v>0</v>
      </c>
      <c r="E17" s="152">
        <f t="shared" si="0"/>
        <v>-1258.5</v>
      </c>
      <c r="F17" s="153">
        <f>VLOOKUP(B17,[4]quotas!$B$46:$W$84,2,FALSE)</f>
        <v>53.881000000000085</v>
      </c>
      <c r="G17" s="154">
        <f>VLOOKUP(B17,[4]Cumulative!$A$56:$X$91,2,FALSE)</f>
        <v>3.3722499999999993</v>
      </c>
      <c r="H17" s="183">
        <f>IF(AND(F17=0,G17&gt;0),0,IF(F17=0,0,100*G17/F17))</f>
        <v>6.2586997271765439</v>
      </c>
      <c r="I17" s="153">
        <f t="shared" si="2"/>
        <v>50.508750000000084</v>
      </c>
      <c r="J17" s="154">
        <f>VLOOKUP(B17,[4]Weeks!$A$125:$X$161,2,FALSE)-VLOOKUP(B17,[4]Weeks!$A$165:$X$200,2,FALSE)</f>
        <v>0</v>
      </c>
      <c r="K17" s="154">
        <f>VLOOKUP(B17,[4]Weeks!$A$85:$X$121,2,FALSE)-VLOOKUP(B17,[4]Weeks!$A$125:$X$161,2,FALSE)</f>
        <v>9.8999999999999755E-2</v>
      </c>
      <c r="L17" s="154">
        <f>VLOOKUP(B17,[4]Weeks!$A$44:$X$81,2,FALSE)-VLOOKUP(B17,[4]Weeks!$A$85:$X$121,2,FALSE)</f>
        <v>0</v>
      </c>
      <c r="M17" s="154">
        <f>VLOOKUP(B17,[4]Weeks!$A$3:$X$39,2,FALSE)-VLOOKUP(B17,[4]Weeks!$A$44:$X$81,2,FALSE)</f>
        <v>0</v>
      </c>
      <c r="N17" s="46">
        <f>IF(C17="*","*",IF(C17&gt;0,M17/C17*100,"-"))</f>
        <v>0</v>
      </c>
      <c r="O17" s="45">
        <f>IF(C17="*","*",SUM(J17:M17)/4)</f>
        <v>2.4749999999999939E-2</v>
      </c>
      <c r="P17" s="41" t="str">
        <f>IF(ISNUMBER(VLOOKUP(B17,[4]CLOSURES!B:BI,2,FALSE)),TEXT(VLOOKUP(B17,[4]CLOSURES!B:BI,2,FALSE),"ddmmm"),IF(F17&lt;=0,0,IF(I17&lt;=0,0,IF(AND(F17&gt;0,O17&lt;=0),"&gt;52",IF(I17/O17&gt;52,"&gt;52", MAX(0,I17/O17-2))))))</f>
        <v>01Jan</v>
      </c>
    </row>
    <row r="18" spans="1:16" s="2" customFormat="1" ht="10.7" customHeight="1" x14ac:dyDescent="0.2">
      <c r="B18" s="223" t="s">
        <v>127</v>
      </c>
      <c r="C18" s="151">
        <f>'[5]Maj Pel Combined'!$B37</f>
        <v>0</v>
      </c>
      <c r="D18" s="152">
        <f>F18-VLOOKUP(B18,[4]quotas!$B$85:$W$120,2,FALSE)</f>
        <v>0</v>
      </c>
      <c r="E18" s="152">
        <f t="shared" si="0"/>
        <v>0</v>
      </c>
      <c r="F18" s="153">
        <f>VLOOKUP(B18,[4]quotas!$B$46:$W$84,2,FALSE)</f>
        <v>0</v>
      </c>
      <c r="G18" s="154">
        <f>VLOOKUP(B18,[4]Cumulative!$A$56:$X$91,2,FALSE)</f>
        <v>0</v>
      </c>
      <c r="H18" s="183">
        <f>IF(AND(F18=0,G18&gt;0),"n/a",IF(F18=0,0,100*G18/F18))</f>
        <v>0</v>
      </c>
      <c r="I18" s="153">
        <f>IF(F18="*","*",F18-G18)</f>
        <v>0</v>
      </c>
      <c r="J18" s="154">
        <f>VLOOKUP(B18,[4]Weeks!$A$125:$X$161,2,FALSE)-VLOOKUP(B18,[4]Weeks!$A$165:$X$200,2,FALSE)</f>
        <v>0</v>
      </c>
      <c r="K18" s="154">
        <f>VLOOKUP(B18,[4]Weeks!$A$85:$X$121,2,FALSE)-VLOOKUP(B18,[4]Weeks!$A$125:$X$161,2,FALSE)</f>
        <v>0</v>
      </c>
      <c r="L18" s="154">
        <f>VLOOKUP(B18,[4]Weeks!$A$44:$X$81,2,FALSE)-VLOOKUP(B18,[4]Weeks!$A$85:$X$121,2,FALSE)</f>
        <v>0</v>
      </c>
      <c r="M18" s="154">
        <f>VLOOKUP(B18,[4]Weeks!$A$3:$X$39,2,FALSE)-VLOOKUP(B18,[4]Weeks!$A$44:$X$81,2,FALSE)</f>
        <v>0</v>
      </c>
      <c r="N18" s="46" t="str">
        <f>IF(C18="*","*",IF(C18&gt;0,M18/C18*100,"-"))</f>
        <v>-</v>
      </c>
      <c r="O18" s="45">
        <f>IF(C18="*","*",SUM(J18:M18)/4)</f>
        <v>0</v>
      </c>
      <c r="P18" s="41" t="str">
        <f>IF(ISNUMBER(VLOOKUP(B18,[4]CLOSURES!B:BI,2,FALSE)),TEXT(VLOOKUP(B18,[4]CLOSURES!B:BI,2,FALSE),"ddmmm"),IF(F18&lt;=0,0,IF(I18&lt;=0,0,IF(AND(F18&gt;0,O18&lt;=0),"&gt;52",IF(I18/O18&gt;52,"&gt;52", MAX(0,I18/O18-2))))))</f>
        <v>01Jan</v>
      </c>
    </row>
    <row r="19" spans="1:16" s="2" customFormat="1" ht="10.7" customHeight="1" x14ac:dyDescent="0.2">
      <c r="B19" s="223" t="s">
        <v>128</v>
      </c>
      <c r="C19" s="151">
        <f>'[5]Maj Pel Combined'!$B38</f>
        <v>0</v>
      </c>
      <c r="D19" s="152">
        <f>F19-VLOOKUP(B19,[4]quotas!$B$85:$W$120,2,FALSE)</f>
        <v>0</v>
      </c>
      <c r="E19" s="152">
        <f t="shared" si="0"/>
        <v>0</v>
      </c>
      <c r="F19" s="153">
        <f>VLOOKUP(B19,[4]quotas!$B$46:$W$84,2,FALSE)</f>
        <v>0</v>
      </c>
      <c r="G19" s="154">
        <f>VLOOKUP(B19,[4]Cumulative!$A$56:$X$91,2,FALSE)</f>
        <v>0.1</v>
      </c>
      <c r="H19" s="183" t="str">
        <f>IF(AND(F19=0,G19&gt;0),"n/a",IF(F19=0,0,100*G19/F19))</f>
        <v>n/a</v>
      </c>
      <c r="I19" s="153">
        <f>IF(F19="*","*",F19-G19)</f>
        <v>-0.1</v>
      </c>
      <c r="J19" s="154">
        <f>VLOOKUP(B19,[4]Weeks!$A$125:$X$161,2,FALSE)-VLOOKUP(B19,[4]Weeks!$A$165:$X$200,2,FALSE)</f>
        <v>0</v>
      </c>
      <c r="K19" s="154">
        <f>VLOOKUP(B19,[4]Weeks!$A$85:$X$121,2,FALSE)-VLOOKUP(B19,[4]Weeks!$A$125:$X$161,2,FALSE)</f>
        <v>0</v>
      </c>
      <c r="L19" s="154">
        <f>VLOOKUP(B19,[4]Weeks!$A$44:$X$81,2,FALSE)-VLOOKUP(B19,[4]Weeks!$A$85:$X$121,2,FALSE)</f>
        <v>0</v>
      </c>
      <c r="M19" s="154">
        <f>VLOOKUP(B19,[4]Weeks!$A$3:$X$39,2,FALSE)-VLOOKUP(B19,[4]Weeks!$A$44:$X$81,2,FALSE)</f>
        <v>0.1</v>
      </c>
      <c r="N19" s="46" t="str">
        <f>IF(C19="*","*",IF(C19&gt;0,M19/C19*100,"-"))</f>
        <v>-</v>
      </c>
      <c r="O19" s="45">
        <f>IF(C19="*","*",SUM(J19:M19)/4)</f>
        <v>2.5000000000000001E-2</v>
      </c>
      <c r="P19" s="41" t="str">
        <f>IF(ISNUMBER(VLOOKUP(B19,[4]CLOSURES!B:BI,2,FALSE)),TEXT(VLOOKUP(B19,[4]CLOSURES!B:BI,2,FALSE),"ddmmm"),IF(F19&lt;=0,0,IF(I19&lt;=0,0,IF(AND(F19&gt;0,O19&lt;=0),"&gt;52",IF(I19/O19&gt;52,"&gt;52", MAX(0,I19/O19-2))))))</f>
        <v>01Jan</v>
      </c>
    </row>
    <row r="20" spans="1:16" s="2" customFormat="1" ht="10.7" customHeight="1" x14ac:dyDescent="0.2">
      <c r="B20" s="223" t="s">
        <v>129</v>
      </c>
      <c r="C20" s="151">
        <f>'[5]Maj Pel Combined'!$B39</f>
        <v>0</v>
      </c>
      <c r="D20" s="152">
        <f>F20-VLOOKUP(B20,[4]quotas!$B$85:$W$120,2,FALSE)</f>
        <v>0</v>
      </c>
      <c r="E20" s="152">
        <f t="shared" si="0"/>
        <v>0</v>
      </c>
      <c r="F20" s="153">
        <f>VLOOKUP(B20,[4]quotas!$B$46:$W$84,2,FALSE)</f>
        <v>0</v>
      </c>
      <c r="G20" s="154">
        <f>VLOOKUP(B20,[4]Cumulative!$A$56:$X$91,2,FALSE)</f>
        <v>0</v>
      </c>
      <c r="H20" s="183">
        <f t="shared" si="1"/>
        <v>0</v>
      </c>
      <c r="I20" s="153">
        <f t="shared" si="2"/>
        <v>0</v>
      </c>
      <c r="J20" s="154">
        <f>VLOOKUP(B20,[4]Weeks!$A$125:$X$161,2,FALSE)-VLOOKUP(B20,[4]Weeks!$A$165:$X$200,2,FALSE)</f>
        <v>0</v>
      </c>
      <c r="K20" s="154">
        <f>VLOOKUP(B20,[4]Weeks!$A$85:$X$121,2,FALSE)-VLOOKUP(B20,[4]Weeks!$A$125:$X$161,2,FALSE)</f>
        <v>0</v>
      </c>
      <c r="L20" s="154">
        <f>VLOOKUP(B20,[4]Weeks!$A$44:$X$81,2,FALSE)-VLOOKUP(B20,[4]Weeks!$A$85:$X$121,2,FALSE)</f>
        <v>0</v>
      </c>
      <c r="M20" s="154">
        <f>VLOOKUP(B20,[4]Weeks!$A$3:$X$39,2,FALSE)-VLOOKUP(B20,[4]Weeks!$A$44:$X$81,2,FALSE)</f>
        <v>0</v>
      </c>
      <c r="N20" s="46" t="str">
        <f>IF(C20="*","*",IF(C20&gt;0,M20/C20*100,"-"))</f>
        <v>-</v>
      </c>
      <c r="O20" s="45">
        <f>IF(C20="*","*",SUM(J20:M20)/4)</f>
        <v>0</v>
      </c>
      <c r="P20" s="41" t="str">
        <f>IF(ISNUMBER(VLOOKUP(B20,[4]CLOSURES!B:BI,2,FALSE)),TEXT(VLOOKUP(B20,[4]CLOSURES!B:BI,2,FALSE),"ddmmm"),IF(F20&lt;=0,0,IF(I20&lt;=0,0,IF(AND(F20&gt;0,O20&lt;=0),"&gt;52",IF(I20/O20&gt;52,"&gt;52", MAX(0,I20/O20-2))))))</f>
        <v>01Jan</v>
      </c>
    </row>
    <row r="21" spans="1:16" s="2" customFormat="1" ht="10.7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" customHeight="1" x14ac:dyDescent="0.2">
      <c r="B22" s="196" t="s">
        <v>130</v>
      </c>
      <c r="C22" s="151">
        <f>SUM(C17:C20)</f>
        <v>1312.3810000000001</v>
      </c>
      <c r="D22" s="154">
        <f>SUM(D17:D21)</f>
        <v>0</v>
      </c>
      <c r="E22" s="152">
        <f t="shared" si="0"/>
        <v>-1258.5</v>
      </c>
      <c r="F22" s="153">
        <f>SUM(F17:F20)</f>
        <v>53.881000000000085</v>
      </c>
      <c r="G22" s="154">
        <f>SUM(G10:G13)+SUM(G17:G20)</f>
        <v>3.4722499999999994</v>
      </c>
      <c r="H22" s="183">
        <f>IF(AND(F22=0,G22&gt;0),0,IF(F22=0,0,100*G22/F22))</f>
        <v>6.4442939069430674</v>
      </c>
      <c r="I22" s="153">
        <f>IF(F22="*","*",F22-G22)</f>
        <v>50.408750000000083</v>
      </c>
      <c r="J22" s="154">
        <f>SUM(J17:J20)</f>
        <v>0</v>
      </c>
      <c r="K22" s="154">
        <f>SUM(K17:K20)</f>
        <v>9.8999999999999755E-2</v>
      </c>
      <c r="L22" s="154">
        <f>SUM(L17:L20)</f>
        <v>0</v>
      </c>
      <c r="M22" s="154">
        <f>SUM(M17:M20)</f>
        <v>0.1</v>
      </c>
      <c r="N22" s="46">
        <f>IF(C22="*","*",IF(C22&gt;0,M22/C22*100,"-"))</f>
        <v>7.6197384753360492E-3</v>
      </c>
      <c r="O22" s="45">
        <f>IF(C22="*","*",SUM(J22:M22)/4)</f>
        <v>4.974999999999994E-2</v>
      </c>
      <c r="P22" s="41" t="str">
        <f>IF(ISNUMBER(VLOOKUP(B22,[4]CLOSURES!B:BI,2,FALSE)),TEXT(VLOOKUP(B22,[4]CLOSURES!B:BI,2,FALSE),"ddmmm"),IF(F22&lt;=0,0,IF(I22&lt;=0,0,IF(AND(F22&gt;0,O22&lt;=0),"&gt;52",IF(I22/O22&gt;52,"&gt;52", MAX(0,I22/O22-2))))))</f>
        <v>&gt;52</v>
      </c>
    </row>
    <row r="23" spans="1:16" s="2" customFormat="1" ht="10.7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" customHeight="1" x14ac:dyDescent="0.2">
      <c r="B24" s="187" t="s">
        <v>91</v>
      </c>
      <c r="C24" s="157">
        <f>C22+C15</f>
        <v>1312.3810000000001</v>
      </c>
      <c r="D24" s="160">
        <f>D15+D22</f>
        <v>0</v>
      </c>
      <c r="E24" s="160">
        <f t="shared" si="0"/>
        <v>-1258.5</v>
      </c>
      <c r="F24" s="156">
        <f>F22+F15</f>
        <v>53.881000000000085</v>
      </c>
      <c r="G24" s="155">
        <f>G22+G15</f>
        <v>3.4722499999999994</v>
      </c>
      <c r="H24" s="188">
        <f>H22+H15</f>
        <v>6.4442939069430674</v>
      </c>
      <c r="I24" s="156">
        <f t="shared" si="2"/>
        <v>50.408750000000083</v>
      </c>
      <c r="J24" s="155">
        <f>J15+J22</f>
        <v>0</v>
      </c>
      <c r="K24" s="155">
        <f>K15+K22</f>
        <v>9.8999999999999755E-2</v>
      </c>
      <c r="L24" s="155">
        <f>L15+L22</f>
        <v>0</v>
      </c>
      <c r="M24" s="155">
        <f>M15+M22</f>
        <v>0.1</v>
      </c>
      <c r="N24" s="53">
        <f>IF(C24="*","*",IF(C24&gt;0,M24/C24*100,"-"))</f>
        <v>7.6197384753360492E-3</v>
      </c>
      <c r="O24" s="52">
        <f>IF(C24="*","*",SUM(J24:M24)/4)</f>
        <v>4.974999999999994E-2</v>
      </c>
      <c r="P24" s="54" t="str">
        <f>IF(ISNUMBER(VLOOKUP(B24,[4]CLOSURES!B:BI,2,FALSE)),TEXT(VLOOKUP(B24,[4]CLOSURES!B:BI,2,FALSE),"ddmmm"),IF(F24&lt;=0,0,IF(I24&lt;=0,0,IF(AND(F24&gt;0,O24&lt;=0),"&gt;52",IF(I24/O24&gt;52,"&gt;52", MAX(0,I24/O24-2))))))</f>
        <v>&gt;52</v>
      </c>
    </row>
    <row r="25" spans="1:16" s="2" customFormat="1" ht="10.7" customHeight="1" x14ac:dyDescent="0.2">
      <c r="F25" s="55"/>
      <c r="I25" s="6"/>
      <c r="N25" s="56"/>
      <c r="P25" s="56"/>
    </row>
    <row r="26" spans="1:16" s="2" customFormat="1" ht="10.7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7" customHeight="1" x14ac:dyDescent="0.2">
      <c r="A27" s="191"/>
      <c r="B27" s="14"/>
      <c r="C27" s="15" t="str">
        <f>C5</f>
        <v>Initial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f>$J7</f>
        <v>44468</v>
      </c>
      <c r="K29" s="33">
        <f>$K7</f>
        <v>44475</v>
      </c>
      <c r="L29" s="33">
        <f>$L7</f>
        <v>44482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 x14ac:dyDescent="0.2">
      <c r="A31" s="191"/>
      <c r="B31" s="40"/>
      <c r="C31" s="233" t="s">
        <v>131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41" t="s">
        <v>4</v>
      </c>
    </row>
    <row r="32" spans="1:16" s="2" customFormat="1" ht="10.7" customHeight="1" x14ac:dyDescent="0.2">
      <c r="A32" s="191"/>
      <c r="B32" s="222" t="s">
        <v>121</v>
      </c>
      <c r="C32" s="151">
        <f>'[5]Maj Pel Combined'!C29</f>
        <v>0</v>
      </c>
      <c r="D32" s="152">
        <f>F32-VLOOKUP(B32,[4]quotas!$B$85:$W$120,3,FALSE)</f>
        <v>0</v>
      </c>
      <c r="E32" s="152">
        <f>F32-C32</f>
        <v>0</v>
      </c>
      <c r="F32" s="153">
        <f>VLOOKUP(B32,[4]quotas!$B$46:$W$84,3,FALSE)</f>
        <v>0</v>
      </c>
      <c r="G32" s="154">
        <f>VLOOKUP(B32,[4]Cumulative!$A$56:$X$91,3,FALSE)</f>
        <v>0</v>
      </c>
      <c r="H32" s="183">
        <f>IF(AND(F32=0,G32&gt;0),"n/a",IF(F32=0,0,100*G32/F32))</f>
        <v>0</v>
      </c>
      <c r="I32" s="153">
        <f>IF(F32="*","*",F32-G32)</f>
        <v>0</v>
      </c>
      <c r="J32" s="154">
        <f>VLOOKUP(B32,[4]Weeks!$A$125:$X$161,3,FALSE)-VLOOKUP(B32,[4]Weeks!$A$165:$X$200,3,FALSE)</f>
        <v>0</v>
      </c>
      <c r="K32" s="154">
        <f>VLOOKUP(B32,[4]Weeks!$A$85:$X$121,3,FALSE)-VLOOKUP(B32,[4]Weeks!$A$125:$X$161,3,FALSE)</f>
        <v>0</v>
      </c>
      <c r="L32" s="154">
        <f>VLOOKUP(B32,[4]Weeks!$A$44:$X$81,3,FALSE)-VLOOKUP(B32,[4]Weeks!$A$85:$X$121,3,FALSE)</f>
        <v>0</v>
      </c>
      <c r="M32" s="154">
        <f>VLOOKUP(B32,[4]Weeks!$A$3:$X$39,3,FALSE)-VLOOKUP(B32,[4]Weeks!$A$44:$X$81,3,FALSE)</f>
        <v>0</v>
      </c>
      <c r="N32" s="46" t="str">
        <f t="shared" ref="N32:N41" si="4">IF(C32="*","*",IF(C32&gt;0,M32/C32*100,"-"))</f>
        <v>-</v>
      </c>
      <c r="O32" s="45">
        <f t="shared" ref="O32:O41" si="5">IF(C32="*","*",SUM(J32:M32)/4)</f>
        <v>0</v>
      </c>
      <c r="P32" s="41">
        <f>IF(ISNUMBER(VLOOKUP(B32,[4]CLOSURES!B:BI,3,FALSE)),TEXT(VLOOKUP(B32,[4]CLOSURES!B:BI,3,FALSE),"ddmmm"),IF(F32&lt;=0,0,IF(I32&lt;=0,0,IF(AND(F32&gt;0,O32&lt;=0),"&gt;52",IF(I32/O32&gt;52,"&gt;52", MAX(0,I32/O32-2))))))</f>
        <v>0</v>
      </c>
    </row>
    <row r="33" spans="1:17" s="2" customFormat="1" ht="10.7" customHeight="1" x14ac:dyDescent="0.2">
      <c r="A33" s="191"/>
      <c r="B33" s="222" t="s">
        <v>122</v>
      </c>
      <c r="C33" s="151">
        <f>'[5]Maj Pel Combined'!C30</f>
        <v>0</v>
      </c>
      <c r="D33" s="152">
        <f>F33-VLOOKUP(B33,[4]quotas!$B$85:$W$120,3,FALSE)</f>
        <v>0</v>
      </c>
      <c r="E33" s="152">
        <f t="shared" ref="E33:E46" si="6">F33-C33</f>
        <v>0</v>
      </c>
      <c r="F33" s="153">
        <f>VLOOKUP(B33,[4]quotas!$B$46:$W$84,3,FALSE)</f>
        <v>0</v>
      </c>
      <c r="G33" s="154">
        <f>VLOOKUP(B33,[4]Cumulative!$A$56:$X$91,3,FALSE)</f>
        <v>0</v>
      </c>
      <c r="H33" s="183">
        <f t="shared" ref="H33:H44" si="7">IF(AND(F33=0,G33&gt;0),"n/a",IF(F33=0,0,100*G33/F33))</f>
        <v>0</v>
      </c>
      <c r="I33" s="153">
        <f>IF(F33="*","*",F33-G33)</f>
        <v>0</v>
      </c>
      <c r="J33" s="154">
        <f>VLOOKUP(B33,[4]Weeks!$A$125:$X$161,3,FALSE)-VLOOKUP(B33,[4]Weeks!$A$165:$X$200,3,FALSE)</f>
        <v>0</v>
      </c>
      <c r="K33" s="154">
        <f>VLOOKUP(B33,[4]Weeks!$A$85:$X$121,3,FALSE)-VLOOKUP(B33,[4]Weeks!$A$125:$X$161,3,FALSE)</f>
        <v>0</v>
      </c>
      <c r="L33" s="154">
        <f>VLOOKUP(B33,[4]Weeks!$A$44:$X$81,3,FALSE)-VLOOKUP(B33,[4]Weeks!$A$85:$X$121,3,FALSE)</f>
        <v>0</v>
      </c>
      <c r="M33" s="154">
        <f>VLOOKUP(B33,[4]Weeks!$A$3:$X$39,3,FALSE)-VLOOKUP(B33,[4]Weeks!$A$44:$X$81,3,FALSE)</f>
        <v>0</v>
      </c>
      <c r="N33" s="46" t="str">
        <f>IF(C33="*","*",IF(C33&gt;0,M33/C33*100,"-"))</f>
        <v>-</v>
      </c>
      <c r="O33" s="45">
        <f t="shared" si="5"/>
        <v>0</v>
      </c>
      <c r="P33" s="41">
        <f>IF(ISNUMBER(VLOOKUP(B33,[4]CLOSURES!B:BI,3,FALSE)),TEXT(VLOOKUP(B33,[4]CLOSURES!B:BI,3,FALSE),"ddmmm"),IF(F33&lt;=0,0,IF(I33&lt;=0,0,IF(AND(F33&gt;0,O33&lt;=0),"&gt;52",IF(I33/O33&gt;52,"&gt;52", MAX(0,I33/O33-2))))))</f>
        <v>0</v>
      </c>
    </row>
    <row r="34" spans="1:17" s="2" customFormat="1" ht="10.7" customHeight="1" x14ac:dyDescent="0.2">
      <c r="A34" s="191"/>
      <c r="B34" s="222" t="s">
        <v>123</v>
      </c>
      <c r="C34" s="151">
        <f>'[5]Maj Pel Combined'!C31</f>
        <v>0</v>
      </c>
      <c r="D34" s="152">
        <f>F34-VLOOKUP(B34,[4]quotas!$B$85:$W$120,3,FALSE)</f>
        <v>0</v>
      </c>
      <c r="E34" s="152">
        <f t="shared" si="6"/>
        <v>0</v>
      </c>
      <c r="F34" s="153">
        <f>VLOOKUP(B34,[4]quotas!$B$46:$W$84,3,FALSE)</f>
        <v>0</v>
      </c>
      <c r="G34" s="154">
        <f>VLOOKUP(B34,[4]Cumulative!$A$56:$X$91,3,FALSE)</f>
        <v>0</v>
      </c>
      <c r="H34" s="183">
        <f t="shared" si="7"/>
        <v>0</v>
      </c>
      <c r="I34" s="153">
        <f t="shared" ref="I34:I44" si="8">IF(F34="*","*",F34-G34)</f>
        <v>0</v>
      </c>
      <c r="J34" s="154">
        <f>VLOOKUP(B34,[4]Weeks!$A$125:$X$161,3,FALSE)-VLOOKUP(B34,[4]Weeks!$A$165:$X$200,3,FALSE)</f>
        <v>0</v>
      </c>
      <c r="K34" s="154">
        <f>VLOOKUP(B34,[4]Weeks!$A$85:$X$121,3,FALSE)-VLOOKUP(B34,[4]Weeks!$A$125:$X$161,3,FALSE)</f>
        <v>0</v>
      </c>
      <c r="L34" s="154">
        <f>VLOOKUP(B34,[4]Weeks!$A$44:$X$81,3,FALSE)-VLOOKUP(B34,[4]Weeks!$A$85:$X$121,3,FALSE)</f>
        <v>0</v>
      </c>
      <c r="M34" s="154">
        <f>VLOOKUP(B34,[4]Weeks!$A$3:$X$39,3,FALSE)-VLOOKUP(B34,[4]Weeks!$A$44:$X$81,3,FALSE)</f>
        <v>0</v>
      </c>
      <c r="N34" s="46" t="str">
        <f t="shared" si="4"/>
        <v>-</v>
      </c>
      <c r="O34" s="45">
        <f t="shared" si="5"/>
        <v>0</v>
      </c>
      <c r="P34" s="41">
        <f>IF(ISNUMBER(VLOOKUP(B34,[4]CLOSURES!B:BI,3,FALSE)),TEXT(VLOOKUP(B34,[4]CLOSURES!B:BI,3,FALSE),"ddmmm"),IF(F34&lt;=0,0,IF(I34&lt;=0,0,IF(AND(F34&gt;0,O34&lt;=0),"&gt;52",IF(I34/O34&gt;52,"&gt;52", MAX(0,I34/O34-2))))))</f>
        <v>0</v>
      </c>
    </row>
    <row r="35" spans="1:17" s="2" customFormat="1" ht="10.7" customHeight="1" x14ac:dyDescent="0.2">
      <c r="A35" s="191"/>
      <c r="B35" s="222" t="s">
        <v>124</v>
      </c>
      <c r="C35" s="151">
        <f>'[5]Maj Pel Combined'!C32</f>
        <v>0</v>
      </c>
      <c r="D35" s="152">
        <f>F35-VLOOKUP(B35,[4]quotas!$B$85:$W$120,3,FALSE)</f>
        <v>0</v>
      </c>
      <c r="E35" s="152">
        <f t="shared" si="6"/>
        <v>0</v>
      </c>
      <c r="F35" s="153">
        <f>VLOOKUP(B35,[4]quotas!$B$46:$W$84,3,FALSE)</f>
        <v>0</v>
      </c>
      <c r="G35" s="154">
        <f>VLOOKUP(B35,[4]Cumulative!$A$56:$X$91,3,FALSE)</f>
        <v>0</v>
      </c>
      <c r="H35" s="183">
        <f>SUM(H30:H33)</f>
        <v>0</v>
      </c>
      <c r="I35" s="153">
        <f t="shared" si="8"/>
        <v>0</v>
      </c>
      <c r="J35" s="154">
        <f>VLOOKUP(B35,[4]Weeks!$A$125:$X$161,3,FALSE)-VLOOKUP(B35,[4]Weeks!$A$165:$X$200,3,FALSE)</f>
        <v>0</v>
      </c>
      <c r="K35" s="154">
        <f>VLOOKUP(B35,[4]Weeks!$A$85:$X$121,3,FALSE)-VLOOKUP(B35,[4]Weeks!$A$125:$X$161,3,FALSE)</f>
        <v>0</v>
      </c>
      <c r="L35" s="154">
        <f>VLOOKUP(B35,[4]Weeks!$A$44:$X$81,3,FALSE)-VLOOKUP(B35,[4]Weeks!$A$85:$X$121,3,FALSE)</f>
        <v>0</v>
      </c>
      <c r="M35" s="154">
        <f>VLOOKUP(B35,[4]Weeks!$A$3:$X$39,3,FALSE)-VLOOKUP(B35,[4]Weeks!$A$44:$X$81,3,FALSE)</f>
        <v>0</v>
      </c>
      <c r="N35" s="46" t="str">
        <f t="shared" si="4"/>
        <v>-</v>
      </c>
      <c r="O35" s="45">
        <f t="shared" si="5"/>
        <v>0</v>
      </c>
      <c r="P35" s="41">
        <f>IF(ISNUMBER(VLOOKUP(B35,[4]CLOSURES!B:BI,3,FALSE)),TEXT(VLOOKUP(B35,[4]CLOSURES!B:BI,3,FALSE),"ddmmm"),IF(F35&lt;=0,0,IF(I35&lt;=0,0,IF(AND(F35&gt;0,O35&lt;=0),"&gt;52",IF(I35/O35&gt;52,"&gt;52", MAX(0,I35/O35-2))))))</f>
        <v>0</v>
      </c>
    </row>
    <row r="36" spans="1:17" s="2" customFormat="1" ht="10.7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" customHeight="1" x14ac:dyDescent="0.2">
      <c r="A37" s="191"/>
      <c r="B37" s="162" t="s">
        <v>125</v>
      </c>
      <c r="C37" s="151">
        <f>SUM(C32:C35)</f>
        <v>0</v>
      </c>
      <c r="D37" s="152">
        <f>SUM(D32:D36)</f>
        <v>0</v>
      </c>
      <c r="E37" s="152">
        <f t="shared" si="6"/>
        <v>0</v>
      </c>
      <c r="F37" s="153">
        <f>SUM(F32:F35)</f>
        <v>0</v>
      </c>
      <c r="G37" s="153">
        <f>SUM(G32:G35)</f>
        <v>0</v>
      </c>
      <c r="H37" s="183">
        <f t="shared" si="7"/>
        <v>0</v>
      </c>
      <c r="I37" s="153">
        <f t="shared" si="8"/>
        <v>0</v>
      </c>
      <c r="J37" s="154">
        <f>SUM(J32:J35)</f>
        <v>0</v>
      </c>
      <c r="K37" s="154">
        <f>SUM(K32:K35)</f>
        <v>0</v>
      </c>
      <c r="L37" s="154">
        <f>SUM(L32:L35)</f>
        <v>0</v>
      </c>
      <c r="M37" s="154">
        <f>SUM(M32:M35)</f>
        <v>0</v>
      </c>
      <c r="N37" s="46" t="str">
        <f t="shared" si="4"/>
        <v>-</v>
      </c>
      <c r="O37" s="45">
        <f t="shared" si="5"/>
        <v>0</v>
      </c>
      <c r="P37" s="41">
        <f>IF(ISNUMBER(VLOOKUP(B37,[4]CLOSURES!B:BI,3,FALSE)),TEXT(VLOOKUP(B37,[4]CLOSURES!B:BI,3,FALSE),"ddmmm"),IF(F37&lt;=0,0,IF(I37&lt;=0,0,IF(AND(F37&gt;0,O37&lt;=0),"&gt;52",IF(I37/O37&gt;52,"&gt;52", MAX(0,I37/O37-2))))))</f>
        <v>0</v>
      </c>
    </row>
    <row r="38" spans="1:17" s="2" customFormat="1" ht="10.7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" customHeight="1" x14ac:dyDescent="0.2">
      <c r="A39" s="191"/>
      <c r="B39" s="223" t="s">
        <v>126</v>
      </c>
      <c r="C39" s="151">
        <f>'[5]Maj Pel Combined'!$C36</f>
        <v>0</v>
      </c>
      <c r="D39" s="152">
        <f>F39-VLOOKUP(B39,[4]quotas!$B$85:$W$120,3,FALSE)</f>
        <v>0</v>
      </c>
      <c r="E39" s="152">
        <f t="shared" si="6"/>
        <v>0</v>
      </c>
      <c r="F39" s="153">
        <f>VLOOKUP(B39,[4]quotas!$B$46:$W$84,3,FALSE)</f>
        <v>0</v>
      </c>
      <c r="G39" s="154">
        <f>VLOOKUP(B39,[4]Cumulative!$A$56:$X$91,3,FALSE)</f>
        <v>0</v>
      </c>
      <c r="H39" s="183">
        <f t="shared" si="7"/>
        <v>0</v>
      </c>
      <c r="I39" s="153">
        <f t="shared" si="8"/>
        <v>0</v>
      </c>
      <c r="J39" s="154">
        <f>VLOOKUP(B39,[4]Weeks!$A$125:$X$161,3,FALSE)-VLOOKUP(B39,[4]Weeks!$A$165:$X$200,3,FALSE)</f>
        <v>0</v>
      </c>
      <c r="K39" s="154">
        <f>VLOOKUP(B39,[4]Weeks!$A$85:$X$121,3,FALSE)-VLOOKUP(B39,[4]Weeks!$A$125:$X$161,3,FALSE)</f>
        <v>0</v>
      </c>
      <c r="L39" s="154">
        <f>VLOOKUP(B39,[4]Weeks!$A$44:$X$81,3,FALSE)-VLOOKUP(B39,[4]Weeks!$A$85:$X$121,3,FALSE)</f>
        <v>0</v>
      </c>
      <c r="M39" s="154">
        <f>VLOOKUP(B39,[4]Weeks!$A$3:$X$39,3,FALSE)-VLOOKUP(B39,[4]Weeks!$A$44:$X$81,3,FALSE)</f>
        <v>0</v>
      </c>
      <c r="N39" s="46" t="str">
        <f t="shared" si="4"/>
        <v>-</v>
      </c>
      <c r="O39" s="45">
        <f t="shared" si="5"/>
        <v>0</v>
      </c>
      <c r="P39" s="41" t="str">
        <f>IF(ISNUMBER(VLOOKUP(B39,[4]CLOSURES!B:BI,3,FALSE)),TEXT(VLOOKUP(B39,[4]CLOSURES!B:BI,3,FALSE),"ddmmm"),IF(F39&lt;=0,0,IF(I39&lt;=0,0,IF(AND(F39&gt;0,O39&lt;=0),"&gt;52",IF(I39/O39&gt;52,"&gt;52", MAX(0,I39/O39-2))))))</f>
        <v>01Jan</v>
      </c>
    </row>
    <row r="40" spans="1:17" s="2" customFormat="1" ht="10.7" customHeight="1" x14ac:dyDescent="0.2">
      <c r="A40" s="191"/>
      <c r="B40" s="223" t="s">
        <v>127</v>
      </c>
      <c r="C40" s="151">
        <f>'[5]Maj Pel Combined'!$C37</f>
        <v>0</v>
      </c>
      <c r="D40" s="152">
        <f>F40-VLOOKUP(B40,[4]quotas!$B$85:$W$120,3,FALSE)</f>
        <v>0</v>
      </c>
      <c r="E40" s="152">
        <f t="shared" si="6"/>
        <v>0</v>
      </c>
      <c r="F40" s="153">
        <f>VLOOKUP(B40,[4]quotas!$B$46:$W$84,3,FALSE)</f>
        <v>0</v>
      </c>
      <c r="G40" s="154">
        <f>VLOOKUP(B40,[4]Cumulative!$A$56:$X$91,3,FALSE)</f>
        <v>0</v>
      </c>
      <c r="H40" s="183">
        <f t="shared" si="7"/>
        <v>0</v>
      </c>
      <c r="I40" s="153">
        <f t="shared" si="8"/>
        <v>0</v>
      </c>
      <c r="J40" s="154">
        <f>VLOOKUP(B40,[4]Weeks!$A$125:$X$161,3,FALSE)-VLOOKUP(B40,[4]Weeks!$A$165:$X$200,3,FALSE)</f>
        <v>0</v>
      </c>
      <c r="K40" s="154">
        <f>VLOOKUP(B40,[4]Weeks!$A$85:$X$121,3,FALSE)-VLOOKUP(B40,[4]Weeks!$A$125:$X$161,3,FALSE)</f>
        <v>0</v>
      </c>
      <c r="L40" s="154">
        <f>VLOOKUP(B40,[4]Weeks!$A$44:$X$81,3,FALSE)-VLOOKUP(B40,[4]Weeks!$A$85:$X$121,3,FALSE)</f>
        <v>0</v>
      </c>
      <c r="M40" s="154">
        <f>VLOOKUP(B40,[4]Weeks!$A$3:$X$39,3,FALSE)-VLOOKUP(B40,[4]Weeks!$A$44:$X$81,3,FALSE)</f>
        <v>0</v>
      </c>
      <c r="N40" s="46" t="str">
        <f t="shared" si="4"/>
        <v>-</v>
      </c>
      <c r="O40" s="45">
        <f t="shared" si="5"/>
        <v>0</v>
      </c>
      <c r="P40" s="41" t="str">
        <f>IF(ISNUMBER(VLOOKUP(B40,[4]CLOSURES!B:BI,3,FALSE)),TEXT(VLOOKUP(B40,[4]CLOSURES!B:BI,3,FALSE),"ddmmm"),IF(F40&lt;=0,0,IF(I40&lt;=0,0,IF(AND(F40&gt;0,O40&lt;=0),"&gt;52",IF(I40/O40&gt;52,"&gt;52", MAX(0,I40/O40-2))))))</f>
        <v>01Jan</v>
      </c>
    </row>
    <row r="41" spans="1:17" s="2" customFormat="1" ht="10.7" customHeight="1" x14ac:dyDescent="0.2">
      <c r="A41" s="191"/>
      <c r="B41" s="223" t="s">
        <v>128</v>
      </c>
      <c r="C41" s="151">
        <f>'[5]Maj Pel Combined'!$C38</f>
        <v>0</v>
      </c>
      <c r="D41" s="152">
        <f>F41-VLOOKUP(B41,[4]quotas!$B$85:$W$120,3,FALSE)</f>
        <v>0</v>
      </c>
      <c r="E41" s="152">
        <f t="shared" si="6"/>
        <v>0</v>
      </c>
      <c r="F41" s="153">
        <f>VLOOKUP(B41,[4]quotas!$B$46:$W$84,3,FALSE)</f>
        <v>0</v>
      </c>
      <c r="G41" s="154">
        <f>VLOOKUP(B41,[4]Cumulative!$A$56:$X$91,3,FALSE)</f>
        <v>0</v>
      </c>
      <c r="H41" s="183">
        <f t="shared" si="7"/>
        <v>0</v>
      </c>
      <c r="I41" s="153">
        <f t="shared" si="8"/>
        <v>0</v>
      </c>
      <c r="J41" s="154">
        <f>VLOOKUP(B41,[4]Weeks!$A$125:$X$161,3,FALSE)-VLOOKUP(B41,[4]Weeks!$A$165:$X$200,3,FALSE)</f>
        <v>0</v>
      </c>
      <c r="K41" s="154">
        <f>VLOOKUP(B41,[4]Weeks!$A$85:$X$121,3,FALSE)-VLOOKUP(B41,[4]Weeks!$A$125:$X$161,3,FALSE)</f>
        <v>0</v>
      </c>
      <c r="L41" s="154">
        <f>VLOOKUP(B41,[4]Weeks!$A$44:$X$81,3,FALSE)-VLOOKUP(B41,[4]Weeks!$A$85:$X$121,3,FALSE)</f>
        <v>0</v>
      </c>
      <c r="M41" s="154">
        <f>VLOOKUP(B41,[4]Weeks!$A$3:$X$39,3,FALSE)-VLOOKUP(B41,[4]Weeks!$A$44:$X$81,3,FALSE)</f>
        <v>0</v>
      </c>
      <c r="N41" s="46" t="str">
        <f t="shared" si="4"/>
        <v>-</v>
      </c>
      <c r="O41" s="45">
        <f t="shared" si="5"/>
        <v>0</v>
      </c>
      <c r="P41" s="41" t="str">
        <f>IF(ISNUMBER(VLOOKUP(B41,[4]CLOSURES!B:BI,3,FALSE)),TEXT(VLOOKUP(B41,[4]CLOSURES!B:BI,3,FALSE),"ddmmm"),IF(F41&lt;=0,0,IF(I41&lt;=0,0,IF(AND(F41&gt;0,O41&lt;=0),"&gt;52",IF(I41/O41&gt;52,"&gt;52", MAX(0,I41/O41-2))))))</f>
        <v>01Jan</v>
      </c>
    </row>
    <row r="42" spans="1:17" s="2" customFormat="1" ht="10.7" customHeight="1" x14ac:dyDescent="0.2">
      <c r="A42" s="191"/>
      <c r="B42" s="223" t="s">
        <v>129</v>
      </c>
      <c r="C42" s="151">
        <f>'[5]Maj Pel Combined'!$C39</f>
        <v>0</v>
      </c>
      <c r="D42" s="152">
        <f>F42-VLOOKUP(B42,[4]quotas!$B$85:$W$120,3,FALSE)</f>
        <v>0</v>
      </c>
      <c r="E42" s="152">
        <f t="shared" si="6"/>
        <v>0</v>
      </c>
      <c r="F42" s="153">
        <f>VLOOKUP(B42,[4]quotas!$B$46:$W$84,3,FALSE)</f>
        <v>0</v>
      </c>
      <c r="G42" s="154">
        <f>VLOOKUP(B42,[4]Cumulative!$A$56:$X$91,3,FALSE)</f>
        <v>0</v>
      </c>
      <c r="H42" s="183">
        <f t="shared" si="7"/>
        <v>0</v>
      </c>
      <c r="I42" s="153">
        <f t="shared" si="8"/>
        <v>0</v>
      </c>
      <c r="J42" s="154">
        <f>VLOOKUP(B42,[4]Weeks!$A$125:$X$161,3,FALSE)-VLOOKUP(B42,[4]Weeks!$A$165:$X$200,3,FALSE)</f>
        <v>0</v>
      </c>
      <c r="K42" s="154">
        <f>VLOOKUP(B42,[4]Weeks!$A$85:$X$121,3,FALSE)-VLOOKUP(B42,[4]Weeks!$A$125:$X$161,3,FALSE)</f>
        <v>0</v>
      </c>
      <c r="L42" s="154">
        <f>VLOOKUP(B42,[4]Weeks!$A$44:$X$81,3,FALSE)-VLOOKUP(B42,[4]Weeks!$A$85:$X$121,3,FALSE)</f>
        <v>0</v>
      </c>
      <c r="M42" s="154">
        <f>VLOOKUP(B42,[4]Weeks!$A$3:$X$39,3,FALSE)-VLOOKUP(B42,[4]Weeks!$A$44:$X$81,3,FALSE)</f>
        <v>0</v>
      </c>
      <c r="N42" s="48">
        <f>SUM(N32:N41)</f>
        <v>0</v>
      </c>
      <c r="O42" s="45">
        <f>SUM(O32:O41)</f>
        <v>0</v>
      </c>
      <c r="P42" s="41" t="str">
        <f>IF(ISNUMBER(VLOOKUP(B42,[4]CLOSURES!B:BI,3,FALSE)),TEXT(VLOOKUP(B42,[4]CLOSURES!B:BI,3,FALSE),"ddmmm"),IF(F42&lt;=0,0,IF(I42&lt;=0,0,IF(AND(F42&gt;0,O42&lt;=0),"&gt;52",IF(I42/O42&gt;52,"&gt;52", MAX(0,I42/O42-2))))))</f>
        <v>01Jan</v>
      </c>
    </row>
    <row r="43" spans="1:17" s="2" customFormat="1" ht="10.7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" customHeight="1" x14ac:dyDescent="0.2">
      <c r="A44" s="191"/>
      <c r="B44" s="196" t="s">
        <v>130</v>
      </c>
      <c r="C44" s="151">
        <f>SUM(C39:C42)</f>
        <v>0</v>
      </c>
      <c r="D44" s="152">
        <f>SUM(D39:D43)</f>
        <v>0</v>
      </c>
      <c r="E44" s="152">
        <f t="shared" si="6"/>
        <v>0</v>
      </c>
      <c r="F44" s="153">
        <f>SUM(F39:F42)</f>
        <v>0</v>
      </c>
      <c r="G44" s="153">
        <f>SUM(G39:G42)</f>
        <v>0</v>
      </c>
      <c r="H44" s="183">
        <f t="shared" si="7"/>
        <v>0</v>
      </c>
      <c r="I44" s="153">
        <f t="shared" si="8"/>
        <v>0</v>
      </c>
      <c r="J44" s="154">
        <f>SUM(J39:J42)</f>
        <v>0</v>
      </c>
      <c r="K44" s="154">
        <f>SUM(K39:K42)</f>
        <v>0</v>
      </c>
      <c r="L44" s="154">
        <f>SUM(L39:L42)</f>
        <v>0</v>
      </c>
      <c r="M44" s="154">
        <f>SUM(M39:M42)</f>
        <v>0</v>
      </c>
      <c r="N44" s="46" t="str">
        <f>IF(C44="*","*",IF(C44&gt;0,M44/C44*100,"-"))</f>
        <v>-</v>
      </c>
      <c r="O44" s="45">
        <f>IF(C44="*","*",SUM(J44:M44)/4)</f>
        <v>0</v>
      </c>
      <c r="P44" s="41">
        <f>IF(ISNUMBER(VLOOKUP(B44,[4]CLOSURES!B:BI,3,FALSE)),TEXT(VLOOKUP(B44,[4]CLOSURES!B:BI,3,FALSE),"ddmmm"),IF(F44&lt;=0,0,IF(I44&lt;=0,0,IF(AND(F44&gt;0,O44&lt;=0),"&gt;52",IF(I44/O44&gt;52,"&gt;52", MAX(0,I44/O44-2))))))</f>
        <v>0</v>
      </c>
    </row>
    <row r="45" spans="1:17" s="2" customFormat="1" ht="10.7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" customHeight="1" x14ac:dyDescent="0.2">
      <c r="A46" s="191"/>
      <c r="B46" s="187" t="s">
        <v>91</v>
      </c>
      <c r="C46" s="157">
        <f>C44+C37</f>
        <v>0</v>
      </c>
      <c r="D46" s="160">
        <f>D37+D44</f>
        <v>0</v>
      </c>
      <c r="E46" s="160">
        <f t="shared" si="6"/>
        <v>0</v>
      </c>
      <c r="F46" s="156">
        <f>F44+F37</f>
        <v>0</v>
      </c>
      <c r="G46" s="155">
        <f>G44+G37</f>
        <v>0</v>
      </c>
      <c r="H46" s="188">
        <f>IF(AND(F46=0,G46&gt;0),"n/a",IF(F46=0,0,100*G46/F46))</f>
        <v>0</v>
      </c>
      <c r="I46" s="156">
        <f>IF(F46="*","*",F46-G46)</f>
        <v>0</v>
      </c>
      <c r="J46" s="155">
        <f>J37+J44</f>
        <v>0</v>
      </c>
      <c r="K46" s="155">
        <f>K37+K44</f>
        <v>0</v>
      </c>
      <c r="L46" s="155">
        <f>L37+L44</f>
        <v>0</v>
      </c>
      <c r="M46" s="155">
        <f>M37+M44</f>
        <v>0</v>
      </c>
      <c r="N46" s="58" t="str">
        <f>IF(C46="*","*",IF(C46&gt;0,M46/C46*100,"-"))</f>
        <v>-</v>
      </c>
      <c r="O46" s="52">
        <f>IF(C46="*","*",SUM(J46:M46)/4)</f>
        <v>0</v>
      </c>
      <c r="P46" s="54">
        <f>IF(ISNUMBER(VLOOKUP(B46,[4]CLOSURES!B:BI,3,FALSE)),TEXT(VLOOKUP(B46,[4]CLOSURES!B:BI,3,FALSE),"ddmmm"),IF(F46&lt;=0,0,IF(I46&lt;=0,0,IF(AND(F46&gt;0,O46&lt;=0),"&gt;52",IF(I46/O46&gt;52,"&gt;52", MAX(0,I46/O46-2))))))</f>
        <v>0</v>
      </c>
    </row>
    <row r="47" spans="1:17" s="2" customFormat="1" ht="10.7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7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7" customHeight="1" x14ac:dyDescent="0.2">
      <c r="B49" s="14"/>
      <c r="C49" s="15" t="str">
        <f>C5</f>
        <v>Initial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7" customHeight="1" x14ac:dyDescent="0.2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7" customHeight="1" x14ac:dyDescent="0.2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f>$J7</f>
        <v>44468</v>
      </c>
      <c r="K51" s="33">
        <f>$K7</f>
        <v>44475</v>
      </c>
      <c r="L51" s="33">
        <f>$L7</f>
        <v>44482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7" customHeight="1" x14ac:dyDescent="0.2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7" customHeight="1" x14ac:dyDescent="0.2">
      <c r="B53" s="40"/>
      <c r="C53" s="233" t="s">
        <v>132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41" t="s">
        <v>4</v>
      </c>
      <c r="Q53" s="191"/>
    </row>
    <row r="54" spans="1:20" ht="10.7" customHeight="1" x14ac:dyDescent="0.2">
      <c r="B54" s="222" t="s">
        <v>121</v>
      </c>
      <c r="C54" s="151">
        <f>'[5]Maj Pel Combined'!D29</f>
        <v>352.197</v>
      </c>
      <c r="D54" s="152">
        <f>F54-VLOOKUP(B54,[4]quotas!$B$85:$W$120,4,FALSE)</f>
        <v>0</v>
      </c>
      <c r="E54" s="152">
        <f>F54-C54</f>
        <v>-200</v>
      </c>
      <c r="F54" s="153">
        <f>VLOOKUP(B54,[4]quotas!$B$46:$W$84,4,FALSE)</f>
        <v>152.197</v>
      </c>
      <c r="G54" s="154">
        <f>VLOOKUP(B54,[4]Cumulative!$A$56:$X$91,4,FALSE)+VLOOKUP(B54,[4]Cumulative!$A$56:$X$91,6,FALSE)</f>
        <v>0</v>
      </c>
      <c r="H54" s="183">
        <f>IF(AND(F54=0,G54&gt;0),"n/a",IF(F54=0,0,100*G54/F54))</f>
        <v>0</v>
      </c>
      <c r="I54" s="153">
        <f>IF(F54="*","*",F54-G54)</f>
        <v>152.197</v>
      </c>
      <c r="J54" s="154">
        <f>VLOOKUP(B54,[4]Weeks!$A$125:$X$161,6,FALSE)-VLOOKUP(B54,[4]Weeks!$A$165:$X$200,6,FALSE)+ VLOOKUP(B54,[4]Weeks!$A$125:$X$161,4,FALSE)-VLOOKUP(B54,[4]Weeks!$A$165:$X$200,4,FALSE)</f>
        <v>0</v>
      </c>
      <c r="K54" s="154">
        <f>VLOOKUP(B54,[4]Weeks!$A$85:$X$121,6,FALSE)-VLOOKUP(B54,[4]Weeks!$A$125:$X$161,6,FALSE)+ VLOOKUP(B54,[4]Weeks!$A$85:$X$121,4,FALSE)-VLOOKUP(B54,[4]Weeks!$A$125:$X$161,4,FALSE)</f>
        <v>0</v>
      </c>
      <c r="L54" s="154">
        <f>VLOOKUP(B54,[4]Weeks!$A$44:$X$81,6,FALSE)-VLOOKUP(B54,[4]Weeks!$A$85:$X$121,6,FALSE)+ VLOOKUP(B54,[4]Weeks!$A$44:$X$81,4,FALSE)-VLOOKUP(B54,[4]Weeks!$A$85:$X$121,4,FALSE)</f>
        <v>0</v>
      </c>
      <c r="M54" s="154">
        <f>VLOOKUP(B54,[4]Weeks!$A$3:$X$39,6,FALSE)-VLOOKUP(B54,[4]Weeks!$A$44:$X$81,6,FALSE)+ VLOOKUP(B54,[4]Weeks!$A$3:$X$39,4,FALSE)-VLOOKUP(B54,[4]Weeks!$A$44:$X$81,4,FALSE)</f>
        <v>0</v>
      </c>
      <c r="N54" s="46">
        <f t="shared" ref="N54:N63" si="9">IF(C54="*","*",IF(C54&gt;0,M54/C54*100,"-"))</f>
        <v>0</v>
      </c>
      <c r="O54" s="45">
        <f t="shared" ref="O54:O64" si="10">IF(C54="*","*",SUM(J54:M54)/4)</f>
        <v>0</v>
      </c>
      <c r="P54" s="41" t="str">
        <f>IF(ISNUMBER(VLOOKUP(B54,[4]CLOSURES!B:BI,4,FALSE)),TEXT(VLOOKUP(B54,[4]CLOSURES!B:BI,4,FALSE),"ddmmm"),IF(F54&lt;=0,0,IF(I54&lt;=0,0,IF(AND(F54&gt;0,O54&lt;=0),"&gt;52",IF(I54/O54&gt;52,"&gt;52", MAX(0,I54/O54-2))))))</f>
        <v>&gt;52</v>
      </c>
      <c r="Q54" s="191"/>
      <c r="T54" s="4"/>
    </row>
    <row r="55" spans="1:20" ht="10.7" customHeight="1" x14ac:dyDescent="0.2">
      <c r="B55" s="222" t="s">
        <v>122</v>
      </c>
      <c r="C55" s="151">
        <f>'[5]Maj Pel Combined'!D30</f>
        <v>0</v>
      </c>
      <c r="D55" s="152">
        <f>F55-VLOOKUP(B55,[4]quotas!$B$85:$W$120,4,FALSE)</f>
        <v>0</v>
      </c>
      <c r="E55" s="152">
        <f t="shared" ref="E55:E68" si="11">F55-C55</f>
        <v>0</v>
      </c>
      <c r="F55" s="153">
        <f>VLOOKUP(B55,[4]quotas!$B$46:$W$84,4,FALSE)</f>
        <v>0</v>
      </c>
      <c r="G55" s="154">
        <f>VLOOKUP(B55,[4]Cumulative!$A$56:$X$91,4,FALSE)+VLOOKUP(B55,[4]Cumulative!$A$56:$X$91,6,FALSE)</f>
        <v>0</v>
      </c>
      <c r="H55" s="183">
        <f t="shared" ref="H55:H66" si="12">IF(AND(F55=0,G55&gt;0),"n/a",IF(F55=0,0,100*G55/F55))</f>
        <v>0</v>
      </c>
      <c r="I55" s="153">
        <f t="shared" ref="I55:I66" si="13">IF(F55="*","*",F55-G55)</f>
        <v>0</v>
      </c>
      <c r="J55" s="154">
        <f>VLOOKUP(B55,[4]Weeks!$A$125:$X$161,6,FALSE)-VLOOKUP(B55,[4]Weeks!$A$165:$X$200,6,FALSE)+ VLOOKUP(B55,[4]Weeks!$A$125:$X$161,4,FALSE)-VLOOKUP(B55,[4]Weeks!$A$165:$X$200,4,FALSE)</f>
        <v>0</v>
      </c>
      <c r="K55" s="154">
        <f>VLOOKUP(B55,[4]Weeks!$A$85:$X$121,6,FALSE)-VLOOKUP(B55,[4]Weeks!$A$125:$X$161,6,FALSE)+ VLOOKUP(B55,[4]Weeks!$A$85:$X$121,4,FALSE)-VLOOKUP(B55,[4]Weeks!$A$125:$X$161,4,FALSE)</f>
        <v>0</v>
      </c>
      <c r="L55" s="154">
        <f>VLOOKUP(B55,[4]Weeks!$A$44:$X$81,6,FALSE)-VLOOKUP(B55,[4]Weeks!$A$85:$X$121,6,FALSE)+ VLOOKUP(B55,[4]Weeks!$A$44:$X$81,4,FALSE)-VLOOKUP(B55,[4]Weeks!$A$85:$X$121,4,FALSE)</f>
        <v>0</v>
      </c>
      <c r="M55" s="154">
        <f>VLOOKUP(B55,[4]Weeks!$A$3:$X$39,6,FALSE)-VLOOKUP(B55,[4]Weeks!$A$44:$X$81,6,FALSE)+ VLOOKUP(B55,[4]Weeks!$A$3:$X$39,4,FALSE)-VLOOKUP(B55,[4]Weeks!$A$44:$X$81,4,FALSE)</f>
        <v>0</v>
      </c>
      <c r="N55" s="46" t="str">
        <f t="shared" si="9"/>
        <v>-</v>
      </c>
      <c r="O55" s="45">
        <f t="shared" si="10"/>
        <v>0</v>
      </c>
      <c r="P55" s="41">
        <f>IF(ISNUMBER(VLOOKUP(B55,[4]CLOSURES!B:BI,4,FALSE)),TEXT(VLOOKUP(B55,[4]CLOSURES!B:BI,4,FALSE),"ddmmm"),IF(F55&lt;=0,0,IF(I55&lt;=0,0,IF(AND(F55&gt;0,O55&lt;=0),"&gt;52",IF(I55/O55&gt;52,"&gt;52", MAX(0,I55/O55-2))))))</f>
        <v>0</v>
      </c>
      <c r="Q55" s="191"/>
      <c r="T55" s="4"/>
    </row>
    <row r="56" spans="1:20" ht="10.7" customHeight="1" x14ac:dyDescent="0.2">
      <c r="B56" s="222" t="s">
        <v>123</v>
      </c>
      <c r="C56" s="151">
        <f>'[5]Maj Pel Combined'!D31</f>
        <v>100</v>
      </c>
      <c r="D56" s="152">
        <f>F56-VLOOKUP(B56,[4]quotas!$B$85:$W$120,4,FALSE)</f>
        <v>-90</v>
      </c>
      <c r="E56" s="152">
        <f t="shared" si="11"/>
        <v>-90</v>
      </c>
      <c r="F56" s="153">
        <f>VLOOKUP(B56,[4]quotas!$B$46:$W$84,4,FALSE)</f>
        <v>10</v>
      </c>
      <c r="G56" s="154">
        <f>VLOOKUP(B56,[4]Cumulative!$A$56:$X$91,4,FALSE)+VLOOKUP(B56,[4]Cumulative!$A$56:$X$91,6,FALSE)</f>
        <v>0.1</v>
      </c>
      <c r="H56" s="183">
        <f t="shared" si="12"/>
        <v>1</v>
      </c>
      <c r="I56" s="153">
        <f t="shared" si="13"/>
        <v>9.9</v>
      </c>
      <c r="J56" s="154">
        <f>VLOOKUP(B56,[4]Weeks!$A$125:$X$161,6,FALSE)-VLOOKUP(B56,[4]Weeks!$A$165:$X$200,6,FALSE)+ VLOOKUP(B56,[4]Weeks!$A$125:$X$161,4,FALSE)-VLOOKUP(B56,[4]Weeks!$A$165:$X$200,4,FALSE)</f>
        <v>0</v>
      </c>
      <c r="K56" s="154">
        <f>VLOOKUP(B56,[4]Weeks!$A$85:$X$121,6,FALSE)-VLOOKUP(B56,[4]Weeks!$A$125:$X$161,6,FALSE)+ VLOOKUP(B56,[4]Weeks!$A$85:$X$121,4,FALSE)-VLOOKUP(B56,[4]Weeks!$A$125:$X$161,4,FALSE)</f>
        <v>0</v>
      </c>
      <c r="L56" s="154">
        <f>VLOOKUP(B56,[4]Weeks!$A$44:$X$81,6,FALSE)-VLOOKUP(B56,[4]Weeks!$A$85:$X$121,6,FALSE)+ VLOOKUP(B56,[4]Weeks!$A$44:$X$81,4,FALSE)-VLOOKUP(B56,[4]Weeks!$A$85:$X$121,4,FALSE)</f>
        <v>0</v>
      </c>
      <c r="M56" s="154">
        <f>VLOOKUP(B56,[4]Weeks!$A$3:$X$39,6,FALSE)-VLOOKUP(B56,[4]Weeks!$A$44:$X$81,6,FALSE)+ VLOOKUP(B56,[4]Weeks!$A$3:$X$39,4,FALSE)-VLOOKUP(B56,[4]Weeks!$A$44:$X$81,4,FALSE)</f>
        <v>0</v>
      </c>
      <c r="N56" s="46">
        <f t="shared" si="9"/>
        <v>0</v>
      </c>
      <c r="O56" s="45">
        <f t="shared" si="10"/>
        <v>0</v>
      </c>
      <c r="P56" s="41" t="str">
        <f>IF(ISNUMBER(VLOOKUP(B56,[4]CLOSURES!B:BI,4,FALSE)),TEXT(VLOOKUP(B56,[4]CLOSURES!B:BI,4,FALSE),"ddmmm"),IF(F56&lt;=0,0,IF(I56&lt;=0,0,IF(AND(F56&gt;0,O56&lt;=0),"&gt;52",IF(I56/O56&gt;52,"&gt;52", MAX(0,I56/O56-2))))))</f>
        <v>01Jan</v>
      </c>
      <c r="Q56" s="191"/>
      <c r="T56" s="4"/>
    </row>
    <row r="57" spans="1:20" ht="10.7" customHeight="1" x14ac:dyDescent="0.2">
      <c r="B57" s="222" t="s">
        <v>124</v>
      </c>
      <c r="C57" s="151">
        <f>'[5]Maj Pel Combined'!D32</f>
        <v>0</v>
      </c>
      <c r="D57" s="152">
        <f>F57-VLOOKUP(B57,[4]quotas!$B$85:$W$120,4,FALSE)</f>
        <v>0</v>
      </c>
      <c r="E57" s="152">
        <f t="shared" si="11"/>
        <v>0</v>
      </c>
      <c r="F57" s="153">
        <f>VLOOKUP(B57,[4]quotas!$B$46:$W$84,4,FALSE)</f>
        <v>0</v>
      </c>
      <c r="G57" s="154">
        <f>VLOOKUP(B57,[4]Cumulative!$A$56:$X$91,4,FALSE)+VLOOKUP(B57,[4]Cumulative!$A$56:$X$91,6,FALSE)</f>
        <v>0</v>
      </c>
      <c r="H57" s="183">
        <f t="shared" si="12"/>
        <v>0</v>
      </c>
      <c r="I57" s="153">
        <f t="shared" si="13"/>
        <v>0</v>
      </c>
      <c r="J57" s="154">
        <f>VLOOKUP(B57,[4]Weeks!$A$125:$X$161,6,FALSE)-VLOOKUP(B57,[4]Weeks!$A$165:$X$200,6,FALSE)+ VLOOKUP(B57,[4]Weeks!$A$125:$X$161,4,FALSE)-VLOOKUP(B57,[4]Weeks!$A$165:$X$200,4,FALSE)</f>
        <v>0</v>
      </c>
      <c r="K57" s="154">
        <f>VLOOKUP(B57,[4]Weeks!$A$85:$X$121,6,FALSE)-VLOOKUP(B57,[4]Weeks!$A$125:$X$161,6,FALSE)+ VLOOKUP(B57,[4]Weeks!$A$85:$X$121,4,FALSE)-VLOOKUP(B57,[4]Weeks!$A$125:$X$161,4,FALSE)</f>
        <v>0</v>
      </c>
      <c r="L57" s="154">
        <f>VLOOKUP(B57,[4]Weeks!$A$44:$X$81,6,FALSE)-VLOOKUP(B57,[4]Weeks!$A$85:$X$121,6,FALSE)+ VLOOKUP(B57,[4]Weeks!$A$44:$X$81,4,FALSE)-VLOOKUP(B57,[4]Weeks!$A$85:$X$121,4,FALSE)</f>
        <v>0</v>
      </c>
      <c r="M57" s="154">
        <f>VLOOKUP(B57,[4]Weeks!$A$3:$X$39,6,FALSE)-VLOOKUP(B57,[4]Weeks!$A$44:$X$81,6,FALSE)+ VLOOKUP(B57,[4]Weeks!$A$3:$X$39,4,FALSE)-VLOOKUP(B57,[4]Weeks!$A$44:$X$81,4,FALSE)</f>
        <v>0</v>
      </c>
      <c r="N57" s="46" t="str">
        <f t="shared" si="9"/>
        <v>-</v>
      </c>
      <c r="O57" s="45">
        <f t="shared" si="10"/>
        <v>0</v>
      </c>
      <c r="P57" s="41">
        <f>IF(ISNUMBER(VLOOKUP(B57,[4]CLOSURES!B:BI,4,FALSE)),TEXT(VLOOKUP(B57,[4]CLOSURES!B:BI,4,FALSE),"ddmmm"),IF(F57&lt;=0,0,IF(I57&lt;=0,0,IF(AND(F57&gt;0,O57&lt;=0),"&gt;52",IF(I57/O57&gt;52,"&gt;52", MAX(0,I57/O57-2))))))</f>
        <v>0</v>
      </c>
      <c r="Q57" s="191"/>
      <c r="T57" s="4"/>
    </row>
    <row r="58" spans="1:20" ht="10.7" customHeight="1" x14ac:dyDescent="0.2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7" customHeight="1" x14ac:dyDescent="0.2">
      <c r="B59" s="162" t="s">
        <v>125</v>
      </c>
      <c r="C59" s="151">
        <f>SUM(C54:C57)</f>
        <v>452.197</v>
      </c>
      <c r="D59" s="152">
        <f>SUM(D54:D58)</f>
        <v>-90</v>
      </c>
      <c r="E59" s="152">
        <f t="shared" si="11"/>
        <v>-290</v>
      </c>
      <c r="F59" s="153">
        <f>SUM(F54:F57)</f>
        <v>162.197</v>
      </c>
      <c r="G59" s="153">
        <f>SUM(G54:G57)</f>
        <v>0.1</v>
      </c>
      <c r="H59" s="183">
        <f t="shared" si="12"/>
        <v>6.1653421456623732E-2</v>
      </c>
      <c r="I59" s="153">
        <f t="shared" si="13"/>
        <v>162.09700000000001</v>
      </c>
      <c r="J59" s="154">
        <f>SUM(J54:J57)</f>
        <v>0</v>
      </c>
      <c r="K59" s="154">
        <f>SUM(K54:K57)</f>
        <v>0</v>
      </c>
      <c r="L59" s="154">
        <f>SUM(L54:L57)</f>
        <v>0</v>
      </c>
      <c r="M59" s="154">
        <f>SUM(M54:M57)</f>
        <v>0</v>
      </c>
      <c r="N59" s="46">
        <f t="shared" si="9"/>
        <v>0</v>
      </c>
      <c r="O59" s="45">
        <f t="shared" si="10"/>
        <v>0</v>
      </c>
      <c r="P59" s="41" t="str">
        <f>IF(ISNUMBER(VLOOKUP(B59,[4]CLOSURES!B:BI,4,FALSE)),TEXT(VLOOKUP(B59,[4]CLOSURES!B:BI,4,FALSE),"ddmmm"),IF(F59&lt;=0,0,IF(I59&lt;=0,0,IF(AND(F59&gt;0,O59&lt;=0),"&gt;52",IF(I59/O59&gt;52,"&gt;52", MAX(0,I59/O59-2))))))</f>
        <v>&gt;52</v>
      </c>
      <c r="Q59" s="191"/>
      <c r="T59" s="4"/>
    </row>
    <row r="60" spans="1:20" s="191" customFormat="1" ht="10.7" customHeight="1" x14ac:dyDescent="0.2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7" customHeight="1" x14ac:dyDescent="0.2">
      <c r="B61" s="223" t="s">
        <v>126</v>
      </c>
      <c r="C61" s="151">
        <f>'[5]Maj Pel Combined'!D36</f>
        <v>1069.7850000000001</v>
      </c>
      <c r="D61" s="152">
        <f>F61-VLOOKUP(B61,[4]quotas!$B$85:$W$120,4,FALSE)</f>
        <v>500</v>
      </c>
      <c r="E61" s="152">
        <f t="shared" si="11"/>
        <v>-1130.9000000000001</v>
      </c>
      <c r="F61" s="153">
        <f>VLOOKUP(B61,[4]quotas!$B$46:$W$84,4,FALSE)</f>
        <v>-61.115000000000009</v>
      </c>
      <c r="G61" s="154">
        <f>VLOOKUP(B61,[4]Cumulative!$A$56:$X$91,4,FALSE)+VLOOKUP(B61,[4]Cumulative!$A$56:$X$91,6,FALSE)</f>
        <v>51.196377097859838</v>
      </c>
      <c r="H61" s="183">
        <f t="shared" si="12"/>
        <v>-83.770558942747002</v>
      </c>
      <c r="I61" s="153">
        <f t="shared" si="13"/>
        <v>-112.31137709785985</v>
      </c>
      <c r="J61" s="154">
        <f>VLOOKUP(B61,[4]Weeks!$A$125:$X$161,6,FALSE)-VLOOKUP(B61,[4]Weeks!$A$165:$X$200,6,FALSE)+ VLOOKUP(B61,[4]Weeks!$A$125:$X$161,4,FALSE)-VLOOKUP(B61,[4]Weeks!$A$165:$X$200,4,FALSE)</f>
        <v>3.8009800024404967</v>
      </c>
      <c r="K61" s="154">
        <f>VLOOKUP(B61,[4]Weeks!$A$85:$X$121,6,FALSE)-VLOOKUP(B61,[4]Weeks!$A$125:$X$161,6,FALSE)+ VLOOKUP(B61,[4]Weeks!$A$85:$X$121,4,FALSE)-VLOOKUP(B61,[4]Weeks!$A$125:$X$161,4,FALSE)</f>
        <v>1.673029998049067</v>
      </c>
      <c r="L61" s="154">
        <f>VLOOKUP(B61,[4]Weeks!$A$44:$X$81,6,FALSE)-VLOOKUP(B61,[4]Weeks!$A$85:$X$121,6,FALSE)+ VLOOKUP(B61,[4]Weeks!$A$44:$X$81,4,FALSE)-VLOOKUP(B61,[4]Weeks!$A$85:$X$121,4,FALSE)</f>
        <v>2.1834050021022477</v>
      </c>
      <c r="M61" s="154">
        <f>VLOOKUP(B61,[4]Weeks!$A$3:$X$39,6,FALSE)-VLOOKUP(B61,[4]Weeks!$A$44:$X$81,6,FALSE)+ VLOOKUP(B61,[4]Weeks!$A$3:$X$39,4,FALSE)-VLOOKUP(B61,[4]Weeks!$A$44:$X$81,4,FALSE)</f>
        <v>3.0164699912964963</v>
      </c>
      <c r="N61" s="46">
        <f t="shared" si="9"/>
        <v>0.28196974077001419</v>
      </c>
      <c r="O61" s="45">
        <f t="shared" si="10"/>
        <v>2.668471248472077</v>
      </c>
      <c r="P61" s="41">
        <f>IF(ISNUMBER(VLOOKUP(B61,[4]CLOSURES!B:BI,4,FALSE)),TEXT(VLOOKUP(B61,[4]CLOSURES!B:BI,4,FALSE),"ddmmm"),IF(F61&lt;=0,0,IF(I61&lt;=0,0,IF(AND(F61&gt;0,O61&lt;=0),"&gt;52",IF(I61/O61&gt;52,"&gt;52", MAX(0,I61/O61-2))))))</f>
        <v>0</v>
      </c>
      <c r="Q61" s="191"/>
      <c r="T61" s="4"/>
    </row>
    <row r="62" spans="1:20" ht="10.7" customHeight="1" x14ac:dyDescent="0.2">
      <c r="B62" s="223" t="s">
        <v>127</v>
      </c>
      <c r="C62" s="151">
        <f>'[5]Maj Pel Combined'!D37</f>
        <v>48.677</v>
      </c>
      <c r="D62" s="152">
        <f>F62-VLOOKUP(B62,[4]quotas!$B$85:$W$120,4,FALSE)</f>
        <v>0</v>
      </c>
      <c r="E62" s="152">
        <f t="shared" si="11"/>
        <v>-45</v>
      </c>
      <c r="F62" s="153">
        <f>VLOOKUP(B62,[4]quotas!$B$46:$W$84,4,FALSE)</f>
        <v>3.6769999999999996</v>
      </c>
      <c r="G62" s="154">
        <f>VLOOKUP(B62,[4]Cumulative!$A$56:$X$91,4,FALSE)+VLOOKUP(B62,[4]Cumulative!$A$56:$X$91,6,FALSE)</f>
        <v>0.58765999993681939</v>
      </c>
      <c r="H62" s="183">
        <f t="shared" si="12"/>
        <v>15.982050582997537</v>
      </c>
      <c r="I62" s="153">
        <f t="shared" si="13"/>
        <v>3.0893400000631801</v>
      </c>
      <c r="J62" s="154">
        <f>VLOOKUP(B62,[4]Weeks!$A$125:$X$161,6,FALSE)-VLOOKUP(B62,[4]Weeks!$A$165:$X$200,6,FALSE)+ VLOOKUP(B62,[4]Weeks!$A$125:$X$161,4,FALSE)-VLOOKUP(B62,[4]Weeks!$A$165:$X$200,4,FALSE)</f>
        <v>8.9999997615830551E-4</v>
      </c>
      <c r="K62" s="154">
        <f>VLOOKUP(B62,[4]Weeks!$A$85:$X$121,6,FALSE)-VLOOKUP(B62,[4]Weeks!$A$125:$X$161,6,FALSE)+ VLOOKUP(B62,[4]Weeks!$A$85:$X$121,4,FALSE)-VLOOKUP(B62,[4]Weeks!$A$125:$X$161,4,FALSE)</f>
        <v>0</v>
      </c>
      <c r="L62" s="154">
        <f>VLOOKUP(B62,[4]Weeks!$A$44:$X$81,6,FALSE)-VLOOKUP(B62,[4]Weeks!$A$85:$X$121,6,FALSE)+ VLOOKUP(B62,[4]Weeks!$A$44:$X$81,4,FALSE)-VLOOKUP(B62,[4]Weeks!$A$85:$X$121,4,FALSE)</f>
        <v>2.100000000000013E-2</v>
      </c>
      <c r="M62" s="154">
        <f>VLOOKUP(B62,[4]Weeks!$A$3:$X$39,6,FALSE)-VLOOKUP(B62,[4]Weeks!$A$44:$X$81,6,FALSE)+ VLOOKUP(B62,[4]Weeks!$A$3:$X$39,4,FALSE)-VLOOKUP(B62,[4]Weeks!$A$44:$X$81,4,FALSE)</f>
        <v>0</v>
      </c>
      <c r="N62" s="46">
        <f t="shared" si="9"/>
        <v>0</v>
      </c>
      <c r="O62" s="45">
        <f t="shared" si="10"/>
        <v>5.4749999940396088E-3</v>
      </c>
      <c r="P62" s="41" t="str">
        <f>IF(ISNUMBER(VLOOKUP(B62,[4]CLOSURES!B:BI,4,FALSE)),TEXT(VLOOKUP(B62,[4]CLOSURES!B:BI,4,FALSE),"ddmmm"),IF(F62&lt;=0,0,IF(I62&lt;=0,0,IF(AND(F62&gt;0,O62&lt;=0),"&gt;52",IF(I62/O62&gt;52,"&gt;52", MAX(0,I62/O62-2))))))</f>
        <v>&gt;52</v>
      </c>
      <c r="Q62" s="191"/>
      <c r="T62" s="4"/>
    </row>
    <row r="63" spans="1:20" s="191" customFormat="1" ht="10.7" customHeight="1" x14ac:dyDescent="0.2">
      <c r="A63" s="2"/>
      <c r="B63" s="223" t="s">
        <v>128</v>
      </c>
      <c r="C63" s="151">
        <f>'[5]Maj Pel Combined'!D38</f>
        <v>324.39999999999998</v>
      </c>
      <c r="D63" s="152">
        <f>F63-VLOOKUP(B63,[4]quotas!$B$85:$W$120,4,FALSE)</f>
        <v>90</v>
      </c>
      <c r="E63" s="152">
        <f t="shared" si="11"/>
        <v>246</v>
      </c>
      <c r="F63" s="153">
        <f>VLOOKUP(B63,[4]quotas!$B$46:$W$84,4,FALSE)</f>
        <v>570.4</v>
      </c>
      <c r="G63" s="154">
        <f>VLOOKUP(B63,[4]Cumulative!$A$56:$X$91,4,FALSE)+VLOOKUP(B63,[4]Cumulative!$A$56:$X$91,6,FALSE)+'[4]Special Conditions stocks'!C147</f>
        <v>312.83</v>
      </c>
      <c r="H63" s="183">
        <f t="shared" si="12"/>
        <v>54.843969144460033</v>
      </c>
      <c r="I63" s="153">
        <f t="shared" si="13"/>
        <v>257.57</v>
      </c>
      <c r="J63" s="154">
        <f>VLOOKUP(B63,[4]Weeks!$A$125:$X$161,6,FALSE)-VLOOKUP(B63,[4]Weeks!$A$165:$X$200,6,FALSE)+ VLOOKUP(B63,[4]Weeks!$A$125:$X$161,4,FALSE)-VLOOKUP(B63,[4]Weeks!$A$165:$X$200,4,FALSE)</f>
        <v>0.46000000000000085</v>
      </c>
      <c r="K63" s="154">
        <f>VLOOKUP(B63,[4]Weeks!$A$85:$X$121,6,FALSE)-VLOOKUP(B63,[4]Weeks!$A$125:$X$161,6,FALSE)+ VLOOKUP(B63,[4]Weeks!$A$85:$X$121,4,FALSE)-VLOOKUP(B63,[4]Weeks!$A$125:$X$161,4,FALSE)</f>
        <v>1.4199999999999982</v>
      </c>
      <c r="L63" s="154">
        <f>VLOOKUP(B63,[4]Weeks!$A$44:$X$81,6,FALSE)-VLOOKUP(B63,[4]Weeks!$A$85:$X$121,6,FALSE)+ VLOOKUP(B63,[4]Weeks!$A$44:$X$81,4,FALSE)-VLOOKUP(B63,[4]Weeks!$A$85:$X$121,4,FALSE)</f>
        <v>0.11999999999999922</v>
      </c>
      <c r="M63" s="154">
        <f>VLOOKUP(B63,[4]Weeks!$A$3:$X$39,6,FALSE)-VLOOKUP(B63,[4]Weeks!$A$44:$X$81,6,FALSE)+ VLOOKUP(B63,[4]Weeks!$A$3:$X$39,4,FALSE)-VLOOKUP(B63,[4]Weeks!$A$44:$X$81,4,FALSE)</f>
        <v>0.32000000000000028</v>
      </c>
      <c r="N63" s="46">
        <f t="shared" si="9"/>
        <v>9.8643649815043255E-2</v>
      </c>
      <c r="O63" s="45">
        <f t="shared" si="10"/>
        <v>0.57999999999999963</v>
      </c>
      <c r="P63" s="41" t="str">
        <f>IF(ISNUMBER(VLOOKUP(B63,[4]CLOSURES!B:BI,4,FALSE)),TEXT(VLOOKUP(B63,[4]CLOSURES!B:BI,4,FALSE),"ddmmm"),IF(F63&lt;=0,0,IF(I63&lt;=0,0,IF(AND(F63&gt;0,O63&lt;=0),"&gt;52",IF(I63/O63&gt;52,"&gt;52", MAX(0,I63/O63-2))))))</f>
        <v>&gt;52</v>
      </c>
      <c r="R63" s="185"/>
      <c r="T63" s="4"/>
    </row>
    <row r="64" spans="1:20" s="191" customFormat="1" ht="10.7" customHeight="1" x14ac:dyDescent="0.2">
      <c r="A64" s="2"/>
      <c r="B64" s="223" t="s">
        <v>129</v>
      </c>
      <c r="C64" s="151">
        <f>'[5]Maj Pel Combined'!D39</f>
        <v>17.600000000000001</v>
      </c>
      <c r="D64" s="152">
        <f>F64-VLOOKUP(B64,[4]quotas!$B$85:$W$120,4,FALSE)</f>
        <v>0</v>
      </c>
      <c r="E64" s="152">
        <f t="shared" si="11"/>
        <v>0</v>
      </c>
      <c r="F64" s="153">
        <f>VLOOKUP(B64,[4]quotas!$B$46:$W$84,4,FALSE)</f>
        <v>17.600000000000001</v>
      </c>
      <c r="G64" s="154">
        <f>VLOOKUP(B64,[4]Cumulative!$A$56:$X$91,4,FALSE)+VLOOKUP(B64,[4]Cumulative!$A$56:$X$91,6,FALSE)</f>
        <v>0.126</v>
      </c>
      <c r="H64" s="183">
        <f t="shared" si="12"/>
        <v>0.71590909090909083</v>
      </c>
      <c r="I64" s="153">
        <f t="shared" si="13"/>
        <v>17.474</v>
      </c>
      <c r="J64" s="154">
        <f>VLOOKUP(B64,[4]Weeks!$A$125:$X$161,6,FALSE)-VLOOKUP(B64,[4]Weeks!$A$165:$X$200,6,FALSE)+ VLOOKUP(B64,[4]Weeks!$A$125:$X$161,4,FALSE)-VLOOKUP(B64,[4]Weeks!$A$165:$X$200,4,FALSE)</f>
        <v>0</v>
      </c>
      <c r="K64" s="154">
        <f>VLOOKUP(B64,[4]Weeks!$A$85:$X$121,6,FALSE)-VLOOKUP(B64,[4]Weeks!$A$125:$X$161,6,FALSE)+ VLOOKUP(B64,[4]Weeks!$A$85:$X$121,4,FALSE)-VLOOKUP(B64,[4]Weeks!$A$125:$X$161,4,FALSE)</f>
        <v>0</v>
      </c>
      <c r="L64" s="154">
        <f>VLOOKUP(B64,[4]Weeks!$A$44:$X$81,6,FALSE)-VLOOKUP(B64,[4]Weeks!$A$85:$X$121,6,FALSE)+ VLOOKUP(B64,[4]Weeks!$A$44:$X$81,4,FALSE)-VLOOKUP(B64,[4]Weeks!$A$85:$X$121,4,FALSE)</f>
        <v>0</v>
      </c>
      <c r="M64" s="154">
        <f>VLOOKUP(B64,[4]Weeks!$A$3:$X$39,6,FALSE)-VLOOKUP(B64,[4]Weeks!$A$44:$X$81,6,FALSE)+ VLOOKUP(B64,[4]Weeks!$A$3:$X$39,4,FALSE)-VLOOKUP(B64,[4]Weeks!$A$44:$X$81,4,FALSE)</f>
        <v>0</v>
      </c>
      <c r="N64" s="48">
        <f>SUM(N54:N63)</f>
        <v>0.38061339058505744</v>
      </c>
      <c r="O64" s="45">
        <f t="shared" si="10"/>
        <v>0</v>
      </c>
      <c r="P64" s="41" t="str">
        <f>IF(ISNUMBER(VLOOKUP(B64,[4]CLOSURES!B:BI,4,FALSE)),TEXT(VLOOKUP(B64,[4]CLOSURES!B:BI,4,FALSE),"ddmmm"),IF(F64&lt;=0,0,IF(I64&lt;=0,0,IF(AND(F64&gt;0,O64&lt;=0),"&gt;52",IF(I64/O64&gt;52,"&gt;52", MAX(0,I64/O64-2))))))</f>
        <v>&gt;52</v>
      </c>
      <c r="R64" s="185"/>
      <c r="T64" s="4"/>
    </row>
    <row r="65" spans="1:20" s="191" customFormat="1" ht="10.7" customHeight="1" x14ac:dyDescent="0.2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7" customHeight="1" x14ac:dyDescent="0.2">
      <c r="B66" s="196" t="s">
        <v>130</v>
      </c>
      <c r="C66" s="151">
        <f>SUM(C61:C64)</f>
        <v>1460.462</v>
      </c>
      <c r="D66" s="152">
        <f>SUM(D61:D65)</f>
        <v>590</v>
      </c>
      <c r="E66" s="152">
        <f t="shared" si="11"/>
        <v>-929.9</v>
      </c>
      <c r="F66" s="153">
        <f>SUM(F61:F64)</f>
        <v>530.56200000000001</v>
      </c>
      <c r="G66" s="153">
        <f>SUM(G61:G64)</f>
        <v>364.74003709779663</v>
      </c>
      <c r="H66" s="183">
        <f t="shared" si="12"/>
        <v>68.745978245293969</v>
      </c>
      <c r="I66" s="153">
        <f t="shared" si="13"/>
        <v>165.82196290220338</v>
      </c>
      <c r="J66" s="154">
        <f>SUM(J61:J64)</f>
        <v>4.2618800024166559</v>
      </c>
      <c r="K66" s="154">
        <f>SUM(K61:K64)</f>
        <v>3.0930299980490652</v>
      </c>
      <c r="L66" s="154">
        <f>SUM(L61:L64)</f>
        <v>2.3244050021022469</v>
      </c>
      <c r="M66" s="154">
        <f>SUM(M61:M64)</f>
        <v>3.3364699912964966</v>
      </c>
      <c r="N66" s="46">
        <f>IF(C66="*","*",IF(C66&gt;0,M66/C66*100,"-"))</f>
        <v>0.22845305056184251</v>
      </c>
      <c r="O66" s="45">
        <f>IF(C66="*","*",SUM(J66:M66)/4)</f>
        <v>3.2539462484661161</v>
      </c>
      <c r="P66" s="41">
        <f>IF(ISNUMBER(VLOOKUP(B66,[4]CLOSURES!B:BI,4,FALSE)),TEXT(VLOOKUP(B66,[4]CLOSURES!B:BI,4,FALSE),"ddmmm"),IF(F66&lt;=0,0,IF(I66&lt;=0,0,IF(AND(F66&gt;0,O66&lt;=0),"&gt;52",IF(I66/O66&gt;52,"&gt;52", MAX(0,I66/O66-2))))))</f>
        <v>48.960264933807835</v>
      </c>
      <c r="Q66" s="191"/>
      <c r="T66" s="4"/>
    </row>
    <row r="67" spans="1:20" ht="10.7" customHeight="1" x14ac:dyDescent="0.2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7" customHeight="1" x14ac:dyDescent="0.2">
      <c r="B68" s="187" t="s">
        <v>91</v>
      </c>
      <c r="C68" s="157">
        <f>SUM(C66+C59)</f>
        <v>1912.6590000000001</v>
      </c>
      <c r="D68" s="160">
        <f>D59+D66</f>
        <v>500</v>
      </c>
      <c r="E68" s="160">
        <f t="shared" si="11"/>
        <v>-1219.9000000000001</v>
      </c>
      <c r="F68" s="156">
        <f>F66+F59</f>
        <v>692.75900000000001</v>
      </c>
      <c r="G68" s="156">
        <f>G66+G59</f>
        <v>364.84003709779665</v>
      </c>
      <c r="H68" s="188">
        <f>IF(AND(F68=0,G68&gt;0),"n/a",IF(F68=0,0,100*G68/F68))</f>
        <v>52.66478488158171</v>
      </c>
      <c r="I68" s="156">
        <f>IF(F68="*","*",F68-G68)</f>
        <v>327.91896290220336</v>
      </c>
      <c r="J68" s="155">
        <f>J59+J66</f>
        <v>4.2618800024166559</v>
      </c>
      <c r="K68" s="155">
        <f>K59+K66</f>
        <v>3.0930299980490652</v>
      </c>
      <c r="L68" s="155">
        <f>L59+L66</f>
        <v>2.3244050021022469</v>
      </c>
      <c r="M68" s="155">
        <f>M59+M66</f>
        <v>3.3364699912964966</v>
      </c>
      <c r="N68" s="58">
        <f>IF(C68="*","*",IF(C68&gt;0,M68/C68*100,"-"))</f>
        <v>0.17444144467448178</v>
      </c>
      <c r="O68" s="52">
        <f>IF(C68="*","*",SUM(J68:M68)/4)</f>
        <v>3.2539462484661161</v>
      </c>
      <c r="P68" s="54" t="str">
        <f>IF(ISNUMBER(VLOOKUP(B68,[4]CLOSURES!B:BI,4,FALSE)),TEXT(VLOOKUP(B68,[4]CLOSURES!B:BI,4,FALSE),"ddmmm"),IF(F68&lt;=0,0,IF(I68&lt;=0,0,IF(AND(F68&gt;0,O68&lt;=0),"&gt;52",IF(I68/O68&gt;52,"&gt;52", MAX(0,I68/O68-2))))))</f>
        <v>&gt;52</v>
      </c>
      <c r="Q68" s="191"/>
      <c r="T68" s="4"/>
    </row>
    <row r="69" spans="1:20" ht="10.7" customHeight="1" x14ac:dyDescent="0.2">
      <c r="B69" s="198" t="str">
        <f>"Number of Weeks to end of year is "&amp;TEXT(("31-Dec-2021"-'[4]Landings '!$B$2)/7,"0")</f>
        <v>Number of Weeks to end of year is 10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7" customHeight="1" x14ac:dyDescent="0.2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7" customHeight="1" x14ac:dyDescent="0.2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7" customHeight="1" x14ac:dyDescent="0.2">
      <c r="A72" s="2"/>
      <c r="F72" s="193"/>
      <c r="I72" s="193"/>
      <c r="N72" s="194"/>
      <c r="P72" s="194"/>
      <c r="R72" s="185"/>
    </row>
    <row r="73" spans="1:20" s="191" customFormat="1" ht="10.7" customHeight="1" x14ac:dyDescent="0.2">
      <c r="A73" s="2"/>
      <c r="F73" s="192"/>
      <c r="I73" s="193"/>
      <c r="N73" s="194"/>
      <c r="P73" s="194"/>
      <c r="R73" s="185"/>
    </row>
    <row r="74" spans="1:20" s="191" customFormat="1" ht="10.7" customHeight="1" x14ac:dyDescent="0.2">
      <c r="A74" s="2"/>
      <c r="B74" s="14"/>
      <c r="C74" s="15" t="str">
        <f>C5</f>
        <v>Initial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7" customHeight="1" x14ac:dyDescent="0.2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7" customHeight="1" x14ac:dyDescent="0.2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f>$J7</f>
        <v>44468</v>
      </c>
      <c r="K76" s="33">
        <f>$K7</f>
        <v>44475</v>
      </c>
      <c r="L76" s="33">
        <f>$L7</f>
        <v>44482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7" customHeight="1" x14ac:dyDescent="0.2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7" customHeight="1" x14ac:dyDescent="0.2">
      <c r="A78" s="2"/>
      <c r="B78" s="40"/>
      <c r="C78" s="231" t="s">
        <v>146</v>
      </c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41" t="s">
        <v>4</v>
      </c>
      <c r="R78" s="185"/>
    </row>
    <row r="79" spans="1:20" s="191" customFormat="1" ht="10.7" customHeight="1" x14ac:dyDescent="0.2">
      <c r="A79" s="2"/>
      <c r="B79" s="222" t="s">
        <v>121</v>
      </c>
      <c r="C79" s="151">
        <f>'[5]Maj Pel Combined'!E29</f>
        <v>352.197</v>
      </c>
      <c r="D79" s="152">
        <f>F79-VLOOKUP(B79,[4]quotas!$B$85:$W$120,5,FALSE)</f>
        <v>0</v>
      </c>
      <c r="E79" s="152">
        <f>F79-C79</f>
        <v>0</v>
      </c>
      <c r="F79" s="153">
        <f>VLOOKUP(B79,[4]quotas!$B$46:$W$84,5,FALSE)</f>
        <v>352.197</v>
      </c>
      <c r="G79" s="154">
        <f>VLOOKUP(B79,[4]Cumulative!$A$56:$X$91,6,FALSE)</f>
        <v>0</v>
      </c>
      <c r="H79" s="183">
        <f>IF(AND(F79=0,G79&gt;0),"n/a",IF(F79=0,0,100*G79/F79))</f>
        <v>0</v>
      </c>
      <c r="I79" s="153">
        <f>IF(F79="*","*",F79-G79)</f>
        <v>352.197</v>
      </c>
      <c r="J79" s="154">
        <f>VLOOKUP(B79,[4]Weeks!$A$125:$X$161,6,FALSE)-VLOOKUP(B79,[4]Weeks!$A$165:$X$200,6,FALSE)</f>
        <v>0</v>
      </c>
      <c r="K79" s="154">
        <f>VLOOKUP(B79,[4]Weeks!$A$85:$X$121,6,FALSE)-VLOOKUP(B79,[4]Weeks!$A$125:$X$161,6,FALSE)</f>
        <v>0</v>
      </c>
      <c r="L79" s="154">
        <f>VLOOKUP(B79,[4]Weeks!$A$44:$X$81,6,FALSE)-VLOOKUP(B79,[4]Weeks!$A$85:$X$121,6,FALSE)</f>
        <v>0</v>
      </c>
      <c r="M79" s="154">
        <f>VLOOKUP(B79,[4]Weeks!$A$3:$X$39,6,FALSE)-VLOOKUP(B79,[4]Weeks!$A$44:$X$81,6,FALSE)</f>
        <v>0</v>
      </c>
      <c r="N79" s="46">
        <f>IF(C79="*","*",IF(C79&gt;0,M79/C79*100,"-"))</f>
        <v>0</v>
      </c>
      <c r="O79" s="45">
        <f t="shared" ref="O79:O89" si="14">IF(C79="*","*",SUM(J79:M79)/4)</f>
        <v>0</v>
      </c>
      <c r="P79" s="41" t="str">
        <f>IF(ISNUMBER(VLOOKUP(B79,[4]CLOSURES!B:BI,5,FALSE)),TEXT(VLOOKUP(B79,[4]CLOSURES!B:BI,5,FALSE),"ddmmm"),IF(F79&lt;=0,0,IF(I79&lt;=0,0,IF(AND(F79&gt;0,O79&lt;=0),"&gt;52",IF(I79/O79&gt;52,"&gt;52", MAX(0,I79/O79-2))))))</f>
        <v>01Jan</v>
      </c>
      <c r="R79" s="185"/>
    </row>
    <row r="80" spans="1:20" s="191" customFormat="1" ht="10.7" customHeight="1" x14ac:dyDescent="0.2">
      <c r="A80" s="2"/>
      <c r="B80" s="222" t="s">
        <v>122</v>
      </c>
      <c r="C80" s="151">
        <f>'[5]Maj Pel Combined'!E30</f>
        <v>0</v>
      </c>
      <c r="D80" s="152">
        <f>F80-VLOOKUP(B80,[4]quotas!$B$85:$W$120,5,FALSE)</f>
        <v>0</v>
      </c>
      <c r="E80" s="152">
        <f t="shared" ref="E80:E93" si="15">F80-C80</f>
        <v>0</v>
      </c>
      <c r="F80" s="153">
        <f>VLOOKUP(B80,[4]quotas!$B$46:$W$84,5,FALSE)</f>
        <v>0</v>
      </c>
      <c r="G80" s="154">
        <f>VLOOKUP(B80,[4]Cumulative!$A$56:$X$91,6,FALSE)</f>
        <v>0</v>
      </c>
      <c r="H80" s="183">
        <f t="shared" ref="H80:H91" si="16">IF(AND(F80=0,G80&gt;0),"n/a",IF(F80=0,0,100*G80/F80))</f>
        <v>0</v>
      </c>
      <c r="I80" s="153">
        <f t="shared" ref="I80:I91" si="17">IF(F80="*","*",F80-G80)</f>
        <v>0</v>
      </c>
      <c r="J80" s="154">
        <f>VLOOKUP(B80,[4]Weeks!$A$125:$X$161,6,FALSE)-VLOOKUP(B80,[4]Weeks!$A$165:$X$200,6,FALSE)</f>
        <v>0</v>
      </c>
      <c r="K80" s="154">
        <f>VLOOKUP(B80,[4]Weeks!$A$85:$X$121,6,FALSE)-VLOOKUP(B80,[4]Weeks!$A$125:$X$161,6,FALSE)</f>
        <v>0</v>
      </c>
      <c r="L80" s="154">
        <f>VLOOKUP(B80,[4]Weeks!$A$44:$X$81,6,FALSE)-VLOOKUP(B80,[4]Weeks!$A$85:$X$121,6,FALSE)</f>
        <v>0</v>
      </c>
      <c r="M80" s="154">
        <f>VLOOKUP(B80,[4]Weeks!$A$3:$X$39,6,FALSE)-VLOOKUP(B80,[4]Weeks!$A$44:$X$81,6,FALSE)</f>
        <v>0</v>
      </c>
      <c r="N80" s="46">
        <v>0</v>
      </c>
      <c r="O80" s="45">
        <f t="shared" si="14"/>
        <v>0</v>
      </c>
      <c r="P80" s="41" t="str">
        <f>IF(ISNUMBER(VLOOKUP(B80,[4]CLOSURES!B:BI,5,FALSE)),TEXT(VLOOKUP(B80,[4]CLOSURES!B:BI,5,FALSE),"ddmmm"),IF(F80&lt;=0,0,IF(I80&lt;=0,0,IF(AND(F80&gt;0,O80&lt;=0),"&gt;52",IF(I80/O80&gt;52,"&gt;52", MAX(0,I80/O80-2))))))</f>
        <v>01Jan</v>
      </c>
      <c r="R80" s="185"/>
    </row>
    <row r="81" spans="1:254" s="191" customFormat="1" ht="10.7" customHeight="1" x14ac:dyDescent="0.2">
      <c r="A81" s="2"/>
      <c r="B81" s="222" t="s">
        <v>123</v>
      </c>
      <c r="C81" s="151">
        <f>'[5]Maj Pel Combined'!E31</f>
        <v>100</v>
      </c>
      <c r="D81" s="152">
        <f>F81-VLOOKUP(B81,[4]quotas!$B$85:$W$120,5,FALSE)</f>
        <v>-90</v>
      </c>
      <c r="E81" s="152">
        <f t="shared" si="15"/>
        <v>-90</v>
      </c>
      <c r="F81" s="153">
        <f>VLOOKUP(B81,[4]quotas!$B$46:$W$84,5,FALSE)</f>
        <v>10</v>
      </c>
      <c r="G81" s="154">
        <f>VLOOKUP(B81,[4]Cumulative!$A$56:$X$91,6,FALSE)</f>
        <v>0.1</v>
      </c>
      <c r="H81" s="183">
        <f t="shared" si="16"/>
        <v>1</v>
      </c>
      <c r="I81" s="153">
        <f t="shared" si="17"/>
        <v>9.9</v>
      </c>
      <c r="J81" s="154">
        <f>VLOOKUP(B81,[4]Weeks!$A$125:$X$161,6,FALSE)-VLOOKUP(B81,[4]Weeks!$A$165:$X$200,6,FALSE)</f>
        <v>0</v>
      </c>
      <c r="K81" s="154">
        <f>VLOOKUP(B81,[4]Weeks!$A$85:$X$121,6,FALSE)-VLOOKUP(B81,[4]Weeks!$A$125:$X$161,6,FALSE)</f>
        <v>0</v>
      </c>
      <c r="L81" s="154">
        <f>VLOOKUP(B81,[4]Weeks!$A$44:$X$81,6,FALSE)-VLOOKUP(B81,[4]Weeks!$A$85:$X$121,6,FALSE)</f>
        <v>0</v>
      </c>
      <c r="M81" s="154">
        <f>VLOOKUP(B81,[4]Weeks!$A$3:$X$39,6,FALSE)-VLOOKUP(B81,[4]Weeks!$A$44:$X$81,6,FALSE)</f>
        <v>0</v>
      </c>
      <c r="N81" s="46">
        <f t="shared" ref="N81:N88" si="18">IF(C81="*","*",IF(C81&gt;0,M81/C81*100,"-"))</f>
        <v>0</v>
      </c>
      <c r="O81" s="45">
        <f t="shared" si="14"/>
        <v>0</v>
      </c>
      <c r="P81" s="41" t="str">
        <f>IF(ISNUMBER(VLOOKUP(B81,[4]CLOSURES!B:BI,5,FALSE)),TEXT(VLOOKUP(B81,[4]CLOSURES!B:BI,5,FALSE),"ddmmm"),IF(F81&lt;=0,0,IF(I81&lt;=0,0,IF(AND(F81&gt;0,O81&lt;=0),"&gt;52",IF(I81/O81&gt;52,"&gt;52", MAX(0,I81/O81-2))))))</f>
        <v>01Jan</v>
      </c>
      <c r="R81" s="185"/>
    </row>
    <row r="82" spans="1:254" s="191" customFormat="1" ht="10.7" customHeight="1" x14ac:dyDescent="0.2">
      <c r="A82" s="2"/>
      <c r="B82" s="222" t="s">
        <v>124</v>
      </c>
      <c r="C82" s="151">
        <f>'[5]Maj Pel Combined'!E32</f>
        <v>0</v>
      </c>
      <c r="D82" s="152">
        <f>F82-VLOOKUP(B82,[4]quotas!$B$85:$W$120,5,FALSE)</f>
        <v>0</v>
      </c>
      <c r="E82" s="152">
        <f t="shared" si="15"/>
        <v>0</v>
      </c>
      <c r="F82" s="153">
        <f>VLOOKUP(B82,[4]quotas!$B$46:$W$84,5,FALSE)</f>
        <v>0</v>
      </c>
      <c r="G82" s="154">
        <f>VLOOKUP(B82,[4]Cumulative!$A$56:$X$91,6,FALSE)</f>
        <v>0</v>
      </c>
      <c r="H82" s="183">
        <f t="shared" si="16"/>
        <v>0</v>
      </c>
      <c r="I82" s="153">
        <f t="shared" si="17"/>
        <v>0</v>
      </c>
      <c r="J82" s="154">
        <f>VLOOKUP(B82,[4]Weeks!$A$125:$X$161,6,FALSE)-VLOOKUP(B82,[4]Weeks!$A$165:$X$200,6,FALSE)</f>
        <v>0</v>
      </c>
      <c r="K82" s="154">
        <f>VLOOKUP(B82,[4]Weeks!$A$85:$X$121,6,FALSE)-VLOOKUP(B82,[4]Weeks!$A$125:$X$161,6,FALSE)</f>
        <v>0</v>
      </c>
      <c r="L82" s="154">
        <f>VLOOKUP(B82,[4]Weeks!$A$44:$X$81,6,FALSE)-VLOOKUP(B82,[4]Weeks!$A$85:$X$121,6,FALSE)</f>
        <v>0</v>
      </c>
      <c r="M82" s="154">
        <f>VLOOKUP(B82,[4]Weeks!$A$3:$X$39,6,FALSE)-VLOOKUP(B82,[4]Weeks!$A$44:$X$81,6,FALSE)</f>
        <v>0</v>
      </c>
      <c r="N82" s="46" t="str">
        <f t="shared" si="18"/>
        <v>-</v>
      </c>
      <c r="O82" s="45">
        <f t="shared" si="14"/>
        <v>0</v>
      </c>
      <c r="P82" s="41" t="str">
        <f>IF(ISNUMBER(VLOOKUP(B82,[4]CLOSURES!B:BI,5,FALSE)),TEXT(VLOOKUP(B82,[4]CLOSURES!B:BI,5,FALSE),"ddmmm"),IF(F82&lt;=0,0,IF(I82&lt;=0,0,IF(AND(F82&gt;0,O82&lt;=0),"&gt;52",IF(I82/O82&gt;52,"&gt;52", MAX(0,I82/O82-2))))))</f>
        <v>01Jan</v>
      </c>
      <c r="R82" s="185"/>
    </row>
    <row r="83" spans="1:254" s="191" customFormat="1" ht="10.7" customHeight="1" x14ac:dyDescent="0.2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7" customHeight="1" x14ac:dyDescent="0.2">
      <c r="A84" s="2"/>
      <c r="B84" s="162" t="s">
        <v>125</v>
      </c>
      <c r="C84" s="151">
        <f>SUM(C79:C82)</f>
        <v>452.197</v>
      </c>
      <c r="D84" s="152">
        <f>SUM(D79:D83)</f>
        <v>-90</v>
      </c>
      <c r="E84" s="152">
        <f t="shared" si="15"/>
        <v>-90</v>
      </c>
      <c r="F84" s="153">
        <f>SUM(F79:F82)</f>
        <v>362.197</v>
      </c>
      <c r="G84" s="153">
        <f>SUM(G79:G82)</f>
        <v>0.1</v>
      </c>
      <c r="H84" s="183">
        <f t="shared" si="16"/>
        <v>2.7609284450174906E-2</v>
      </c>
      <c r="I84" s="153">
        <f t="shared" si="17"/>
        <v>362.09699999999998</v>
      </c>
      <c r="J84" s="154">
        <f>SUM(J79:J82)</f>
        <v>0</v>
      </c>
      <c r="K84" s="154">
        <f>SUM(K79:K82)</f>
        <v>0</v>
      </c>
      <c r="L84" s="154">
        <f>SUM(L79:L82)</f>
        <v>0</v>
      </c>
      <c r="M84" s="154">
        <f>SUM(M79:M82)</f>
        <v>0</v>
      </c>
      <c r="N84" s="46">
        <f t="shared" si="18"/>
        <v>0</v>
      </c>
      <c r="O84" s="45">
        <f t="shared" si="14"/>
        <v>0</v>
      </c>
      <c r="P84" s="41" t="str">
        <f>IF(ISNUMBER(VLOOKUP(B84,[4]CLOSURES!B:BI,5,FALSE)),TEXT(VLOOKUP(B84,[4]CLOSURES!B:BI,5,FALSE),"ddmmm"),IF(F84&lt;=0,0,IF(I84&lt;=0,0,IF(AND(F84&gt;0,O84&lt;=0),"&gt;52",IF(I84/O84&gt;52,"&gt;52", MAX(0,I84/O84-2))))))</f>
        <v>&gt;52</v>
      </c>
      <c r="R84" s="185"/>
    </row>
    <row r="85" spans="1:254" s="191" customFormat="1" ht="11.25" customHeight="1" x14ac:dyDescent="0.2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7" customHeight="1" x14ac:dyDescent="0.2">
      <c r="A86" s="2"/>
      <c r="B86" s="223" t="s">
        <v>126</v>
      </c>
      <c r="C86" s="151">
        <f>'[5]Maj Pel Combined'!E36</f>
        <v>1069.7850000000001</v>
      </c>
      <c r="D86" s="152">
        <f>F86-VLOOKUP(B86,[4]quotas!$B$85:$W$120,5,FALSE)</f>
        <v>0</v>
      </c>
      <c r="E86" s="152">
        <f t="shared" si="15"/>
        <v>0</v>
      </c>
      <c r="F86" s="153">
        <f>VLOOKUP(B86,[4]quotas!$B$46:$W$84,5,FALSE)</f>
        <v>1069.7850000000001</v>
      </c>
      <c r="G86" s="154">
        <f>VLOOKUP(B86,[4]Cumulative!$A$56:$X$91,6,FALSE)</f>
        <v>0</v>
      </c>
      <c r="H86" s="183">
        <f t="shared" si="16"/>
        <v>0</v>
      </c>
      <c r="I86" s="153">
        <f t="shared" si="17"/>
        <v>1069.7850000000001</v>
      </c>
      <c r="J86" s="154">
        <f>VLOOKUP(B86,[4]Weeks!$A$125:$X$161,6,FALSE)-VLOOKUP(B86,[4]Weeks!$A$165:$X$200,6,FALSE)</f>
        <v>0</v>
      </c>
      <c r="K86" s="154">
        <f>VLOOKUP(B86,[4]Weeks!$A$85:$X$121,6,FALSE)-VLOOKUP(B86,[4]Weeks!$A$125:$X$161,6,FALSE)</f>
        <v>0</v>
      </c>
      <c r="L86" s="154">
        <f>VLOOKUP(B86,[4]Weeks!$A$44:$X$81,6,FALSE)-VLOOKUP(B86,[4]Weeks!$A$85:$X$121,6,FALSE)</f>
        <v>0</v>
      </c>
      <c r="M86" s="154">
        <f>VLOOKUP(B86,[4]Weeks!$A$3:$X$39,6,FALSE)-VLOOKUP(B86,[4]Weeks!$A$44:$X$81,6,FALSE)</f>
        <v>0</v>
      </c>
      <c r="N86" s="46">
        <f t="shared" si="18"/>
        <v>0</v>
      </c>
      <c r="O86" s="45">
        <f t="shared" si="14"/>
        <v>0</v>
      </c>
      <c r="P86" s="41" t="str">
        <f>IF(ISNUMBER(VLOOKUP(B86,[4]CLOSURES!B:BI,5,FALSE)),TEXT(VLOOKUP(B86,[4]CLOSURES!B:BI,5,FALSE),"ddmmm"),IF(F86&lt;=0,0,IF(I86&lt;=0,0,IF(AND(F86&gt;0,O86&lt;=0),"&gt;52",IF(I86/O86&gt;52,"&gt;52", MAX(0,I86/O86-2))))))</f>
        <v>&gt;52</v>
      </c>
      <c r="R86" s="185"/>
    </row>
    <row r="87" spans="1:254" s="191" customFormat="1" ht="10.7" customHeight="1" x14ac:dyDescent="0.2">
      <c r="A87" s="2"/>
      <c r="B87" s="223" t="s">
        <v>127</v>
      </c>
      <c r="C87" s="151">
        <f>'[5]Maj Pel Combined'!E37</f>
        <v>48.677</v>
      </c>
      <c r="D87" s="152">
        <f>F87-VLOOKUP(B87,[4]quotas!$B$85:$W$120,5,FALSE)</f>
        <v>0</v>
      </c>
      <c r="E87" s="152">
        <f t="shared" si="15"/>
        <v>0</v>
      </c>
      <c r="F87" s="153">
        <f>VLOOKUP(B87,[4]quotas!$B$46:$W$84,5,FALSE)</f>
        <v>48.677</v>
      </c>
      <c r="G87" s="154">
        <f>VLOOKUP(B87,[4]Cumulative!$A$56:$X$91,6,FALSE)</f>
        <v>0</v>
      </c>
      <c r="H87" s="183">
        <f t="shared" si="16"/>
        <v>0</v>
      </c>
      <c r="I87" s="153">
        <f t="shared" si="17"/>
        <v>48.677</v>
      </c>
      <c r="J87" s="154">
        <f>VLOOKUP(B87,[4]Weeks!$A$125:$X$161,6,FALSE)-VLOOKUP(B87,[4]Weeks!$A$165:$X$200,6,FALSE)</f>
        <v>0</v>
      </c>
      <c r="K87" s="154">
        <f>VLOOKUP(B87,[4]Weeks!$A$85:$X$121,6,FALSE)-VLOOKUP(B87,[4]Weeks!$A$125:$X$161,6,FALSE)</f>
        <v>0</v>
      </c>
      <c r="L87" s="154">
        <f>VLOOKUP(B87,[4]Weeks!$A$44:$X$81,6,FALSE)-VLOOKUP(B87,[4]Weeks!$A$85:$X$121,6,FALSE)</f>
        <v>0</v>
      </c>
      <c r="M87" s="154">
        <f>VLOOKUP(B87,[4]Weeks!$A$3:$X$39,6,FALSE)-VLOOKUP(B87,[4]Weeks!$A$44:$X$81,6,FALSE)</f>
        <v>0</v>
      </c>
      <c r="N87" s="46">
        <f t="shared" si="18"/>
        <v>0</v>
      </c>
      <c r="O87" s="45">
        <f t="shared" si="14"/>
        <v>0</v>
      </c>
      <c r="P87" s="41" t="str">
        <f>IF(ISNUMBER(VLOOKUP(B87,[4]CLOSURES!B:BI,5,FALSE)),TEXT(VLOOKUP(B87,[4]CLOSURES!B:BI,5,FALSE),"ddmmm"),IF(F87&lt;=0,0,IF(I87&lt;=0,0,IF(AND(F87&gt;0,O87&lt;=0),"&gt;52",IF(I87/O87&gt;52,"&gt;52", MAX(0,I87/O87-2))))))</f>
        <v>&gt;52</v>
      </c>
      <c r="R87" s="185"/>
    </row>
    <row r="88" spans="1:254" s="191" customFormat="1" ht="10.7" customHeight="1" x14ac:dyDescent="0.2">
      <c r="A88" s="2"/>
      <c r="B88" s="223" t="s">
        <v>128</v>
      </c>
      <c r="C88" s="151">
        <f>'[5]Maj Pel Combined'!E38</f>
        <v>324.39999999999998</v>
      </c>
      <c r="D88" s="152">
        <f>F88-VLOOKUP(B88,[4]quotas!$B$85:$W$120,5,FALSE)</f>
        <v>90</v>
      </c>
      <c r="E88" s="152">
        <f t="shared" si="15"/>
        <v>326</v>
      </c>
      <c r="F88" s="153">
        <f>VLOOKUP(B88,[4]quotas!$B$46:$W$84,5,FALSE)</f>
        <v>650.4</v>
      </c>
      <c r="G88" s="154">
        <f>VLOOKUP(B88,[4]Cumulative!$A$56:$X$91,6,FALSE)+'[4]Special Conditions stocks'!C147</f>
        <v>300</v>
      </c>
      <c r="H88" s="183">
        <f t="shared" si="16"/>
        <v>46.125461254612546</v>
      </c>
      <c r="I88" s="153">
        <f t="shared" si="17"/>
        <v>350.4</v>
      </c>
      <c r="J88" s="154">
        <f>VLOOKUP(B88,[4]Weeks!$A$125:$X$161,6,FALSE)-VLOOKUP(B88,[4]Weeks!$A$165:$X$200,6,FALSE)</f>
        <v>0</v>
      </c>
      <c r="K88" s="154">
        <f>VLOOKUP(B88,[4]Weeks!$A$85:$X$121,6,FALSE)-VLOOKUP(B88,[4]Weeks!$A$125:$X$161,6,FALSE)</f>
        <v>0</v>
      </c>
      <c r="L88" s="154">
        <f>VLOOKUP(B88,[4]Weeks!$A$44:$X$81,6,FALSE)-VLOOKUP(B88,[4]Weeks!$A$85:$X$121,6,FALSE)</f>
        <v>0</v>
      </c>
      <c r="M88" s="154">
        <f>VLOOKUP(B88,[4]Weeks!$A$3:$X$39,6,FALSE)-VLOOKUP(B88,[4]Weeks!$A$44:$X$81,6,FALSE)</f>
        <v>0</v>
      </c>
      <c r="N88" s="46">
        <f t="shared" si="18"/>
        <v>0</v>
      </c>
      <c r="O88" s="45">
        <f t="shared" si="14"/>
        <v>0</v>
      </c>
      <c r="P88" s="41" t="str">
        <f>IF(ISNUMBER(VLOOKUP(B88,[4]CLOSURES!B:BI,5,FALSE)),TEXT(VLOOKUP(B88,[4]CLOSURES!B:BI,5,FALSE),"ddmmm"),IF(F88&lt;=0,0,IF(I88&lt;=0,0,IF(AND(F88&gt;0,O88&lt;=0),"&gt;52",IF(I88/O88&gt;52,"&gt;52", MAX(0,I88/O88-2))))))</f>
        <v>&gt;52</v>
      </c>
      <c r="R88" s="185"/>
    </row>
    <row r="89" spans="1:254" s="191" customFormat="1" ht="10.7" customHeight="1" x14ac:dyDescent="0.2">
      <c r="A89" s="2"/>
      <c r="B89" s="223" t="s">
        <v>129</v>
      </c>
      <c r="C89" s="151">
        <f>'[5]Maj Pel Combined'!E39</f>
        <v>17.600000000000001</v>
      </c>
      <c r="D89" s="152">
        <f>F89-VLOOKUP(B89,[4]quotas!$B$85:$W$120,5,FALSE)</f>
        <v>0</v>
      </c>
      <c r="E89" s="152">
        <f t="shared" si="15"/>
        <v>0</v>
      </c>
      <c r="F89" s="153">
        <f>VLOOKUP(B89,[4]quotas!$B$46:$W$84,5,FALSE)</f>
        <v>17.600000000000001</v>
      </c>
      <c r="G89" s="154">
        <f>VLOOKUP(B89,[4]Cumulative!$A$56:$X$91,6,FALSE)</f>
        <v>0</v>
      </c>
      <c r="H89" s="183">
        <f t="shared" si="16"/>
        <v>0</v>
      </c>
      <c r="I89" s="153">
        <f t="shared" si="17"/>
        <v>17.600000000000001</v>
      </c>
      <c r="J89" s="154">
        <f>VLOOKUP(B89,[4]Weeks!$A$125:$X$161,6,FALSE)-VLOOKUP(B89,[4]Weeks!$A$165:$X$200,6,FALSE)</f>
        <v>0</v>
      </c>
      <c r="K89" s="154">
        <f>VLOOKUP(B89,[4]Weeks!$A$85:$X$121,6,FALSE)-VLOOKUP(B89,[4]Weeks!$A$125:$X$161,6,FALSE)</f>
        <v>0</v>
      </c>
      <c r="L89" s="154">
        <f>VLOOKUP(B89,[4]Weeks!$A$44:$X$81,6,FALSE)-VLOOKUP(B89,[4]Weeks!$A$85:$X$121,6,FALSE)</f>
        <v>0</v>
      </c>
      <c r="M89" s="154">
        <f>VLOOKUP(B89,[4]Weeks!$A$3:$X$39,6,FALSE)-VLOOKUP(B89,[4]Weeks!$A$44:$X$81,6,FALSE)</f>
        <v>0</v>
      </c>
      <c r="N89" s="48">
        <f>SUM(N79:N88)</f>
        <v>0</v>
      </c>
      <c r="O89" s="45">
        <f t="shared" si="14"/>
        <v>0</v>
      </c>
      <c r="P89" s="41" t="str">
        <f>IF(ISNUMBER(VLOOKUP(B89,[4]CLOSURES!B:BI,5,FALSE)),TEXT(VLOOKUP(B89,[4]CLOSURES!B:BI,5,FALSE),"ddmmm"),IF(F89&lt;=0,0,IF(I89&lt;=0,0,IF(AND(F89&gt;0,O89&lt;=0),"&gt;52",IF(I89/O89&gt;52,"&gt;52", MAX(0,I89/O89-2))))))</f>
        <v>&gt;52</v>
      </c>
      <c r="R89" s="185"/>
    </row>
    <row r="90" spans="1:254" s="191" customFormat="1" ht="10.7" customHeight="1" x14ac:dyDescent="0.2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7" customHeight="1" x14ac:dyDescent="0.2">
      <c r="A91" s="2"/>
      <c r="B91" s="196" t="s">
        <v>130</v>
      </c>
      <c r="C91" s="151">
        <f>SUM(C86:C89)</f>
        <v>1460.462</v>
      </c>
      <c r="D91" s="152">
        <f>SUM(D86:D90)</f>
        <v>90</v>
      </c>
      <c r="E91" s="152">
        <f t="shared" si="15"/>
        <v>326</v>
      </c>
      <c r="F91" s="153">
        <f>SUM(F86:F89)</f>
        <v>1786.462</v>
      </c>
      <c r="G91" s="153">
        <f>SUM(G86:G89)</f>
        <v>300</v>
      </c>
      <c r="H91" s="183">
        <f t="shared" si="16"/>
        <v>16.792968448251347</v>
      </c>
      <c r="I91" s="153">
        <f t="shared" si="17"/>
        <v>1486.462</v>
      </c>
      <c r="J91" s="154">
        <f>SUM(J86:J89)</f>
        <v>0</v>
      </c>
      <c r="K91" s="154">
        <f>SUM(K86:K89)</f>
        <v>0</v>
      </c>
      <c r="L91" s="154">
        <f>SUM(L86:L89)</f>
        <v>0</v>
      </c>
      <c r="M91" s="154">
        <f>SUM(M86:M89)</f>
        <v>0</v>
      </c>
      <c r="N91" s="46">
        <f>IF(C91="*","*",IF(C91&gt;0,M91/C91*100,"-"))</f>
        <v>0</v>
      </c>
      <c r="O91" s="45">
        <f>IF(C91="*","*",SUM(J91:M91)/4)</f>
        <v>0</v>
      </c>
      <c r="P91" s="41" t="str">
        <f>IF(ISNUMBER(VLOOKUP(B91,[4]CLOSURES!B:BI,5,FALSE)),TEXT(VLOOKUP(B91,[4]CLOSURES!B:BI,5,FALSE),"ddmmm"),IF(F91&lt;=0,0,IF(I91&lt;=0,0,IF(AND(F91&gt;0,O91&lt;=0),"&gt;52",IF(I91/O91&gt;52,"&gt;52", MAX(0,I91/O91-2))))))</f>
        <v>&gt;52</v>
      </c>
      <c r="R91" s="185"/>
    </row>
    <row r="92" spans="1:254" s="191" customFormat="1" ht="10.7" customHeight="1" x14ac:dyDescent="0.2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7" customHeight="1" x14ac:dyDescent="0.2">
      <c r="A93" s="2"/>
      <c r="B93" s="187" t="s">
        <v>91</v>
      </c>
      <c r="C93" s="157">
        <f>SUM(C91+C84)</f>
        <v>1912.6590000000001</v>
      </c>
      <c r="D93" s="160">
        <f>D84+D91</f>
        <v>0</v>
      </c>
      <c r="E93" s="160">
        <f t="shared" si="15"/>
        <v>236</v>
      </c>
      <c r="F93" s="156">
        <f>F91+F84</f>
        <v>2148.6590000000001</v>
      </c>
      <c r="G93" s="155">
        <f>G84+G91</f>
        <v>300.10000000000002</v>
      </c>
      <c r="H93" s="188">
        <f>IF(AND(F93=0,G93&gt;0),"n/a",IF(F93=0,0,100*G93/F93))</f>
        <v>13.966850952152019</v>
      </c>
      <c r="I93" s="156">
        <f>IF(F93="*","*",F93-G93)</f>
        <v>1848.5590000000002</v>
      </c>
      <c r="J93" s="155">
        <f>J84+J91</f>
        <v>0</v>
      </c>
      <c r="K93" s="155">
        <f>K84+K91</f>
        <v>0</v>
      </c>
      <c r="L93" s="155">
        <f>L84+L91</f>
        <v>0</v>
      </c>
      <c r="M93" s="155">
        <f>M84+M91</f>
        <v>0</v>
      </c>
      <c r="N93" s="58">
        <f>IF(C93="*","*",IF(C93&gt;0,M93/C93*100,"-"))</f>
        <v>0</v>
      </c>
      <c r="O93" s="52">
        <f>IF(C93="*","*",SUM(J93:M93)/4)</f>
        <v>0</v>
      </c>
      <c r="P93" s="54" t="str">
        <f>IF(ISNUMBER(VLOOKUP(B93,[4]CLOSURES!B:BI,5,FALSE)),TEXT(VLOOKUP(B93,[4]CLOSURES!B:BI,5,FALSE),"ddmmm"),IF(F93&lt;=0,0,IF(I93&lt;=0,0,IF(AND(F93&gt;0,O93&lt;=0),"&gt;52",IF(I93/O93&gt;52,"&gt;52", MAX(0,I93/O93-2))))))</f>
        <v>&gt;52</v>
      </c>
      <c r="R93" s="185"/>
    </row>
    <row r="94" spans="1:254" ht="10.15" customHeight="1" x14ac:dyDescent="0.2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7" customHeight="1" x14ac:dyDescent="0.2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7" customHeight="1" x14ac:dyDescent="0.2">
      <c r="A96" s="2"/>
      <c r="B96" s="14"/>
      <c r="C96" s="15" t="str">
        <f>C5</f>
        <v>Initial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7" customHeight="1" x14ac:dyDescent="0.2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7" customHeight="1" x14ac:dyDescent="0.2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f>$J7</f>
        <v>44468</v>
      </c>
      <c r="K98" s="33">
        <f>$K7</f>
        <v>44475</v>
      </c>
      <c r="L98" s="33">
        <f>$L7</f>
        <v>44482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7" customHeight="1" x14ac:dyDescent="0.2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7" customHeight="1" x14ac:dyDescent="0.2">
      <c r="A100" s="2"/>
      <c r="B100" s="40"/>
      <c r="C100" s="233" t="s">
        <v>133</v>
      </c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41" t="s">
        <v>4</v>
      </c>
      <c r="Q100" s="191"/>
      <c r="R100" s="185"/>
    </row>
    <row r="101" spans="1:20" s="61" customFormat="1" ht="10.7" customHeight="1" x14ac:dyDescent="0.2">
      <c r="A101" s="2"/>
      <c r="B101" s="222" t="s">
        <v>121</v>
      </c>
      <c r="C101" s="151">
        <f>'[5]Maj Pel Combined'!F29</f>
        <v>3.669</v>
      </c>
      <c r="D101" s="152">
        <f>F101-VLOOKUP(B101,[4]quotas!$B$85:$W$120,6,FALSE)</f>
        <v>0</v>
      </c>
      <c r="E101" s="152">
        <f>F101-C101</f>
        <v>0</v>
      </c>
      <c r="F101" s="153">
        <f>VLOOKUP(B101,[4]quotas!$B$46:$W$84,6,FALSE)</f>
        <v>3.669</v>
      </c>
      <c r="G101" s="154">
        <f>VLOOKUP(B101,[4]Cumulative!$A$56:$X$91,7,FALSE)+VLOOKUP(B123,[4]Cumulative!$A$56:$X$91,8,FALSE)</f>
        <v>0</v>
      </c>
      <c r="H101" s="183">
        <f>IF(AND(F101=0,G101&gt;0),"n/a",IF(F101=0,0,100*G101/F101))</f>
        <v>0</v>
      </c>
      <c r="I101" s="153">
        <f>IF(F101="*","*",F101-G101)</f>
        <v>3.669</v>
      </c>
      <c r="J101" s="154">
        <f>VLOOKUP(B101,[4]Weeks!$A$125:$X$161,7,FALSE)-VLOOKUP(B101,[4]Weeks!$A$165:$X$200,7,FALSE)+ VLOOKUP(B101,[4]Weeks!$A$125:$X$161,8,FALSE)-VLOOKUP(B101,[4]Weeks!$A$165:$X$200,8,FALSE)</f>
        <v>0</v>
      </c>
      <c r="K101" s="154">
        <f>VLOOKUP(B101,[4]Weeks!$A$85:$X$121,7,FALSE)-VLOOKUP(B101,[4]Weeks!$A$125:$X$161,7,FALSE)+ VLOOKUP(B101,[4]Weeks!$A$85:$X$121,8,FALSE)-VLOOKUP(B101,[4]Weeks!$A$125:$X$161,8,FALSE)</f>
        <v>0</v>
      </c>
      <c r="L101" s="154">
        <f>VLOOKUP(B101,[4]Weeks!$A$44:$X$81,7,FALSE)-VLOOKUP(B101,[4]Weeks!$A$85:$X$121,7,FALSE)+ VLOOKUP(B101,[4]Weeks!$A$44:$X$81,8,FALSE)-VLOOKUP(B101,[4]Weeks!$A$85:$X$121,8,FALSE)</f>
        <v>0</v>
      </c>
      <c r="M101" s="154">
        <f>VLOOKUP(B101,[4]Weeks!$A$3:$X$39,7,FALSE)-VLOOKUP(B101,[4]Weeks!$A$44:$X$81,7,FALSE)+ VLOOKUP(B101,[4]Weeks!$A$3:$X$39,8,FALSE)-VLOOKUP(B101,[4]Weeks!$A$44:$X$81,8,FALSE)</f>
        <v>0</v>
      </c>
      <c r="N101" s="46">
        <f t="shared" ref="N101:N110" si="19">IF(C101="*","*",IF(C101&gt;0,M101/C101*100,"-"))</f>
        <v>0</v>
      </c>
      <c r="O101" s="45">
        <f t="shared" ref="O101:O111" si="20">IF(C101="*","*",SUM(J101:M101)/4)</f>
        <v>0</v>
      </c>
      <c r="P101" s="41" t="str">
        <f>IF(ISNUMBER(VLOOKUP(B101,[4]CLOSURES!B:BI,6,FALSE)),TEXT(VLOOKUP(B101,[4]CLOSURES!B:BI,6,FALSE),"ddmmm"),IF(F101&lt;=0,0,IF(I101&lt;=0,0,IF(AND(F101&gt;0,O101&lt;=0),"&gt;52",IF(I101/O101&gt;52,"&gt;52", MAX(0,I101/O101-2))))))</f>
        <v>01Jan</v>
      </c>
      <c r="Q101" s="191"/>
      <c r="R101" s="185"/>
    </row>
    <row r="102" spans="1:20" s="61" customFormat="1" ht="10.7" customHeight="1" x14ac:dyDescent="0.2">
      <c r="A102" s="2"/>
      <c r="B102" s="222" t="s">
        <v>122</v>
      </c>
      <c r="C102" s="151">
        <f>'[5]Maj Pel Combined'!F30</f>
        <v>0</v>
      </c>
      <c r="D102" s="152">
        <f>F102-VLOOKUP(B102,[4]quotas!$B$85:$W$120,6,FALSE)</f>
        <v>0</v>
      </c>
      <c r="E102" s="152">
        <f t="shared" ref="E102:E115" si="21">F102-C102</f>
        <v>0</v>
      </c>
      <c r="F102" s="153">
        <f>VLOOKUP(B102,[4]quotas!$B$46:$W$84,6,FALSE)</f>
        <v>0</v>
      </c>
      <c r="G102" s="154">
        <f>VLOOKUP(B102,[4]Cumulative!$A$56:$X$91,7,FALSE)+VLOOKUP(B124,[4]Cumulative!$A$56:$X$91,8,FALSE)</f>
        <v>0</v>
      </c>
      <c r="H102" s="183">
        <f t="shared" ref="H102:H115" si="22">IF(AND(F102=0,G102&gt;0),"n/a",IF(F102=0,0,100*G102/F102))</f>
        <v>0</v>
      </c>
      <c r="I102" s="153">
        <f>IF(F102="*","*",F102-G102)</f>
        <v>0</v>
      </c>
      <c r="J102" s="154">
        <f>VLOOKUP(B102,[4]Weeks!$A$125:$X$161,7,FALSE)-VLOOKUP(B102,[4]Weeks!$A$165:$X$200,7,FALSE)+ VLOOKUP(B102,[4]Weeks!$A$125:$X$161,8,FALSE)-VLOOKUP(B102,[4]Weeks!$A$165:$X$200,8,FALSE)</f>
        <v>0</v>
      </c>
      <c r="K102" s="154">
        <f>VLOOKUP(B102,[4]Weeks!$A$85:$X$121,7,FALSE)-VLOOKUP(B102,[4]Weeks!$A$125:$X$161,7,FALSE)+ VLOOKUP(B102,[4]Weeks!$A$85:$X$121,8,FALSE)-VLOOKUP(B102,[4]Weeks!$A$125:$X$161,8,FALSE)</f>
        <v>0</v>
      </c>
      <c r="L102" s="154">
        <f>VLOOKUP(B102,[4]Weeks!$A$44:$X$81,7,FALSE)-VLOOKUP(B102,[4]Weeks!$A$85:$X$121,7,FALSE)+ VLOOKUP(B102,[4]Weeks!$A$44:$X$81,8,FALSE)-VLOOKUP(B102,[4]Weeks!$A$85:$X$121,8,FALSE)</f>
        <v>0</v>
      </c>
      <c r="M102" s="154">
        <f>VLOOKUP(B102,[4]Weeks!$A$3:$X$39,7,FALSE)-VLOOKUP(B102,[4]Weeks!$A$44:$X$81,7,FALSE)+ VLOOKUP(B102,[4]Weeks!$A$3:$X$39,8,FALSE)-VLOOKUP(B102,[4]Weeks!$A$44:$X$81,8,FALSE)</f>
        <v>0</v>
      </c>
      <c r="N102" s="46" t="str">
        <f t="shared" si="19"/>
        <v>-</v>
      </c>
      <c r="O102" s="45">
        <f t="shared" si="20"/>
        <v>0</v>
      </c>
      <c r="P102" s="41" t="str">
        <f>IF(ISNUMBER(VLOOKUP(B102,[4]CLOSURES!B:BI,6,FALSE)),TEXT(VLOOKUP(B102,[4]CLOSURES!B:BI,6,FALSE),"ddmmm"),IF(F102&lt;=0,0,IF(I102&lt;=0,0,IF(AND(F102&gt;0,O102&lt;=0),"&gt;52",IF(I102/O102&gt;52,"&gt;52", MAX(0,I102/O102-2))))))</f>
        <v>01Jan</v>
      </c>
      <c r="Q102" s="191"/>
      <c r="R102" s="185"/>
    </row>
    <row r="103" spans="1:20" s="61" customFormat="1" ht="10.7" customHeight="1" x14ac:dyDescent="0.2">
      <c r="A103" s="2"/>
      <c r="B103" s="222" t="s">
        <v>123</v>
      </c>
      <c r="C103" s="151">
        <f>'[5]Maj Pel Combined'!F31</f>
        <v>100.04300000000001</v>
      </c>
      <c r="D103" s="152">
        <f>F103-VLOOKUP(B103,[4]quotas!$B$85:$W$120,6,FALSE)</f>
        <v>-90</v>
      </c>
      <c r="E103" s="152">
        <f t="shared" si="21"/>
        <v>-90</v>
      </c>
      <c r="F103" s="153">
        <f>VLOOKUP(B103,[4]quotas!$B$46:$W$84,6,FALSE)</f>
        <v>10.043000000000006</v>
      </c>
      <c r="G103" s="154">
        <f>VLOOKUP(B103,[4]Cumulative!$A$56:$X$91,7,FALSE)+VLOOKUP(B125,[4]Cumulative!$A$56:$X$91,8,FALSE)</f>
        <v>0.18</v>
      </c>
      <c r="H103" s="183">
        <f t="shared" si="22"/>
        <v>1.7922931395001482</v>
      </c>
      <c r="I103" s="153">
        <f t="shared" ref="I103:I113" si="23">IF(F103="*","*",F103-G103)</f>
        <v>9.8630000000000067</v>
      </c>
      <c r="J103" s="154">
        <f>VLOOKUP(B103,[4]Weeks!$A$125:$X$161,7,FALSE)-VLOOKUP(B103,[4]Weeks!$A$165:$X$200,7,FALSE)+ VLOOKUP(B103,[4]Weeks!$A$125:$X$161,8,FALSE)-VLOOKUP(B103,[4]Weeks!$A$165:$X$200,8,FALSE)</f>
        <v>0</v>
      </c>
      <c r="K103" s="154">
        <f>VLOOKUP(B103,[4]Weeks!$A$85:$X$121,7,FALSE)-VLOOKUP(B103,[4]Weeks!$A$125:$X$161,7,FALSE)+ VLOOKUP(B103,[4]Weeks!$A$85:$X$121,8,FALSE)-VLOOKUP(B103,[4]Weeks!$A$125:$X$161,8,FALSE)</f>
        <v>0</v>
      </c>
      <c r="L103" s="154">
        <f>VLOOKUP(B103,[4]Weeks!$A$44:$X$81,7,FALSE)-VLOOKUP(B103,[4]Weeks!$A$85:$X$121,7,FALSE)+ VLOOKUP(B103,[4]Weeks!$A$44:$X$81,8,FALSE)-VLOOKUP(B103,[4]Weeks!$A$85:$X$121,8,FALSE)</f>
        <v>0</v>
      </c>
      <c r="M103" s="154">
        <f>VLOOKUP(B103,[4]Weeks!$A$3:$X$39,7,FALSE)-VLOOKUP(B103,[4]Weeks!$A$44:$X$81,7,FALSE)+ VLOOKUP(B103,[4]Weeks!$A$3:$X$39,8,FALSE)-VLOOKUP(B103,[4]Weeks!$A$44:$X$81,8,FALSE)</f>
        <v>0</v>
      </c>
      <c r="N103" s="46">
        <f t="shared" si="19"/>
        <v>0</v>
      </c>
      <c r="O103" s="45">
        <f t="shared" si="20"/>
        <v>0</v>
      </c>
      <c r="P103" s="41" t="str">
        <f>IF(ISNUMBER(VLOOKUP(B103,[4]CLOSURES!B:BI,6,FALSE)),TEXT(VLOOKUP(B103,[4]CLOSURES!B:BI,6,FALSE),"ddmmm"),IF(F103&lt;=0,0,IF(I103&lt;=0,0,IF(AND(F103&gt;0,O103&lt;=0),"&gt;52",IF(I103/O103&gt;52,"&gt;52", MAX(0,I103/O103-2))))))</f>
        <v>01Jan</v>
      </c>
      <c r="Q103" s="191"/>
      <c r="R103" s="185"/>
    </row>
    <row r="104" spans="1:20" s="61" customFormat="1" ht="10.7" customHeight="1" x14ac:dyDescent="0.2">
      <c r="A104" s="2"/>
      <c r="B104" s="222" t="s">
        <v>124</v>
      </c>
      <c r="C104" s="151">
        <f>'[5]Maj Pel Combined'!F32</f>
        <v>0</v>
      </c>
      <c r="D104" s="152">
        <f>F104-VLOOKUP(B104,[4]quotas!$B$85:$W$120,6,FALSE)</f>
        <v>0</v>
      </c>
      <c r="E104" s="152">
        <f t="shared" si="21"/>
        <v>0</v>
      </c>
      <c r="F104" s="153">
        <f>VLOOKUP(B104,[4]quotas!$B$46:$W$84,6,FALSE)</f>
        <v>0</v>
      </c>
      <c r="G104" s="154">
        <f>VLOOKUP(B104,[4]Cumulative!$A$56:$X$91,7,FALSE)+VLOOKUP(B126,[4]Cumulative!$A$56:$X$91,8,FALSE)</f>
        <v>0</v>
      </c>
      <c r="H104" s="183">
        <f t="shared" si="22"/>
        <v>0</v>
      </c>
      <c r="I104" s="153">
        <f t="shared" si="23"/>
        <v>0</v>
      </c>
      <c r="J104" s="154">
        <f>VLOOKUP(B104,[4]Weeks!$A$125:$X$161,7,FALSE)-VLOOKUP(B104,[4]Weeks!$A$165:$X$200,7,FALSE)+ VLOOKUP(B104,[4]Weeks!$A$125:$X$161,8,FALSE)-VLOOKUP(B104,[4]Weeks!$A$165:$X$200,8,FALSE)</f>
        <v>0</v>
      </c>
      <c r="K104" s="154">
        <f>VLOOKUP(B104,[4]Weeks!$A$85:$X$121,7,FALSE)-VLOOKUP(B104,[4]Weeks!$A$125:$X$161,7,FALSE)+ VLOOKUP(B104,[4]Weeks!$A$85:$X$121,8,FALSE)-VLOOKUP(B104,[4]Weeks!$A$125:$X$161,8,FALSE)</f>
        <v>0</v>
      </c>
      <c r="L104" s="154">
        <f>VLOOKUP(B104,[4]Weeks!$A$44:$X$81,7,FALSE)-VLOOKUP(B104,[4]Weeks!$A$85:$X$121,7,FALSE)+ VLOOKUP(B104,[4]Weeks!$A$44:$X$81,8,FALSE)-VLOOKUP(B104,[4]Weeks!$A$85:$X$121,8,FALSE)</f>
        <v>0</v>
      </c>
      <c r="M104" s="154">
        <f>VLOOKUP(B104,[4]Weeks!$A$3:$X$39,7,FALSE)-VLOOKUP(B104,[4]Weeks!$A$44:$X$81,7,FALSE)+ VLOOKUP(B104,[4]Weeks!$A$3:$X$39,8,FALSE)-VLOOKUP(B104,[4]Weeks!$A$44:$X$81,8,FALSE)</f>
        <v>0</v>
      </c>
      <c r="N104" s="46" t="str">
        <f t="shared" si="19"/>
        <v>-</v>
      </c>
      <c r="O104" s="45">
        <f t="shared" si="20"/>
        <v>0</v>
      </c>
      <c r="P104" s="41" t="str">
        <f>IF(ISNUMBER(VLOOKUP(B104,[4]CLOSURES!B:BI,6,FALSE)),TEXT(VLOOKUP(B104,[4]CLOSURES!B:BI,6,FALSE),"ddmmm"),IF(F104&lt;=0,0,IF(I104&lt;=0,0,IF(AND(F104&gt;0,O104&lt;=0),"&gt;52",IF(I104/O104&gt;52,"&gt;52", MAX(0,I104/O104-2))))))</f>
        <v>01Jan</v>
      </c>
      <c r="Q104" s="191"/>
      <c r="R104" s="185"/>
    </row>
    <row r="105" spans="1:20" s="61" customFormat="1" ht="10.7" customHeight="1" x14ac:dyDescent="0.2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7" customHeight="1" x14ac:dyDescent="0.2">
      <c r="A106" s="2"/>
      <c r="B106" s="162" t="s">
        <v>125</v>
      </c>
      <c r="C106" s="151">
        <f>SUM(C101:C104)</f>
        <v>103.712</v>
      </c>
      <c r="D106" s="152">
        <f>SUM(D101:D105)</f>
        <v>-90</v>
      </c>
      <c r="E106" s="152">
        <f t="shared" si="21"/>
        <v>-90</v>
      </c>
      <c r="F106" s="153">
        <f>SUM(F101:F104)</f>
        <v>13.712000000000007</v>
      </c>
      <c r="G106" s="154">
        <f>SUM(G101:G104)</f>
        <v>0.18</v>
      </c>
      <c r="H106" s="183">
        <f t="shared" si="22"/>
        <v>1.3127187864644101</v>
      </c>
      <c r="I106" s="153">
        <f t="shared" si="23"/>
        <v>13.532000000000007</v>
      </c>
      <c r="J106" s="154">
        <f>SUM(J101:J104)</f>
        <v>0</v>
      </c>
      <c r="K106" s="154">
        <f>SUM(K101:K104)</f>
        <v>0</v>
      </c>
      <c r="L106" s="154">
        <f>SUM(L101:L104)</f>
        <v>0</v>
      </c>
      <c r="M106" s="154">
        <f>SUM(M101:M104)</f>
        <v>0</v>
      </c>
      <c r="N106" s="46">
        <f t="shared" si="19"/>
        <v>0</v>
      </c>
      <c r="O106" s="45">
        <f t="shared" si="20"/>
        <v>0</v>
      </c>
      <c r="P106" s="41" t="str">
        <f>IF(ISNUMBER(VLOOKUP(B106,[4]CLOSURES!B:BI,6,FALSE)),TEXT(VLOOKUP(B106,[4]CLOSURES!B:BI,6,FALSE),"ddmmm"),IF(F106&lt;=0,0,IF(I106&lt;=0,0,IF(AND(F106&gt;0,O106&lt;=0),"&gt;52",IF(I106/O106&gt;52,"&gt;52", MAX(0,I106/O106-2))))))</f>
        <v>&gt;52</v>
      </c>
      <c r="Q106" s="191"/>
      <c r="R106" s="185"/>
    </row>
    <row r="107" spans="1:20" s="61" customFormat="1" ht="10.7" customHeight="1" x14ac:dyDescent="0.2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7" customHeight="1" x14ac:dyDescent="0.2">
      <c r="A108" s="2"/>
      <c r="B108" s="223" t="s">
        <v>126</v>
      </c>
      <c r="C108" s="151">
        <f>'[5]Maj Pel Combined'!F36</f>
        <v>10.595000000000001</v>
      </c>
      <c r="D108" s="152">
        <f>F108-VLOOKUP(B108,[4]quotas!$B$85:$W$120,6,FALSE)</f>
        <v>-41.099999999999994</v>
      </c>
      <c r="E108" s="152">
        <f t="shared" si="21"/>
        <v>58.800000000000011</v>
      </c>
      <c r="F108" s="153">
        <f>VLOOKUP(B108,[4]quotas!$B$46:$W$84,6,FALSE)</f>
        <v>69.39500000000001</v>
      </c>
      <c r="G108" s="154">
        <f>VLOOKUP(B108,[4]Cumulative!$A$56:$X$91,7,FALSE)+VLOOKUP(B130,[4]Cumulative!$A$56:$X$91,8,FALSE)</f>
        <v>4.9785700007527964</v>
      </c>
      <c r="H108" s="183">
        <f t="shared" si="22"/>
        <v>7.1742488662768151</v>
      </c>
      <c r="I108" s="153">
        <f t="shared" si="23"/>
        <v>64.416429999247214</v>
      </c>
      <c r="J108" s="154">
        <f>VLOOKUP(B108,[4]Weeks!$A$125:$X$161,7,FALSE)-VLOOKUP(B108,[4]Weeks!$A$165:$X$200,7,FALSE)+ VLOOKUP(B108,[4]Weeks!$A$125:$X$161,8,FALSE)-VLOOKUP(B108,[4]Weeks!$A$165:$X$200,8,FALSE)</f>
        <v>0.1582499999999909</v>
      </c>
      <c r="K108" s="154">
        <f>VLOOKUP(B108,[4]Weeks!$A$85:$X$121,7,FALSE)-VLOOKUP(B108,[4]Weeks!$A$125:$X$161,7,FALSE)+ VLOOKUP(B108,[4]Weeks!$A$85:$X$121,8,FALSE)-VLOOKUP(B108,[4]Weeks!$A$125:$X$161,8,FALSE)</f>
        <v>0.60524999999999984</v>
      </c>
      <c r="L108" s="154">
        <f>VLOOKUP(B108,[4]Weeks!$A$44:$X$81,7,FALSE)-VLOOKUP(B108,[4]Weeks!$A$85:$X$121,7,FALSE)+ VLOOKUP(B108,[4]Weeks!$A$44:$X$81,8,FALSE)-VLOOKUP(B108,[4]Weeks!$A$85:$X$121,8,FALSE)</f>
        <v>0.4134500001072885</v>
      </c>
      <c r="M108" s="154">
        <f>VLOOKUP(B108,[4]Weeks!$A$3:$X$39,7,FALSE)-VLOOKUP(B108,[4]Weeks!$A$44:$X$81,7,FALSE)+ VLOOKUP(B108,[4]Weeks!$A$3:$X$39,8,FALSE)-VLOOKUP(B108,[4]Weeks!$A$44:$X$81,8,FALSE)</f>
        <v>0.16525000108778354</v>
      </c>
      <c r="N108" s="46">
        <f t="shared" si="19"/>
        <v>1.5596979810078671</v>
      </c>
      <c r="O108" s="45">
        <f t="shared" si="20"/>
        <v>0.33555000029876569</v>
      </c>
      <c r="P108" s="41" t="str">
        <f>IF(ISNUMBER(VLOOKUP(B108,[4]CLOSURES!B:BI,6,FALSE)),TEXT(VLOOKUP(B108,[4]CLOSURES!B:BI,6,FALSE),"ddmmm"),IF(F108&lt;=0,0,IF(I108&lt;=0,0,IF(AND(F108&gt;0,O108&lt;=0),"&gt;52",IF(I108/O108&gt;52,"&gt;52", MAX(0,I108/O108-2))))))</f>
        <v>&gt;52</v>
      </c>
      <c r="Q108" s="191"/>
      <c r="R108" s="185"/>
    </row>
    <row r="109" spans="1:20" s="61" customFormat="1" ht="10.7" customHeight="1" x14ac:dyDescent="0.2">
      <c r="A109" s="2"/>
      <c r="B109" s="223" t="s">
        <v>127</v>
      </c>
      <c r="C109" s="151">
        <f>'[5]Maj Pel Combined'!F37</f>
        <v>0</v>
      </c>
      <c r="D109" s="152">
        <f>F109-VLOOKUP(B109,[4]quotas!$B$85:$W$120,6,FALSE)</f>
        <v>0</v>
      </c>
      <c r="E109" s="152">
        <f t="shared" si="21"/>
        <v>0</v>
      </c>
      <c r="F109" s="153">
        <f>VLOOKUP(B109,[4]quotas!$B$46:$W$84,6,FALSE)</f>
        <v>0</v>
      </c>
      <c r="G109" s="154">
        <f>VLOOKUP(B109,[4]Cumulative!$A$56:$X$91,7,FALSE)+VLOOKUP(B131,[4]Cumulative!$A$56:$X$91,8,FALSE)</f>
        <v>0</v>
      </c>
      <c r="H109" s="183">
        <f t="shared" si="22"/>
        <v>0</v>
      </c>
      <c r="I109" s="153">
        <f t="shared" si="23"/>
        <v>0</v>
      </c>
      <c r="J109" s="154">
        <f>VLOOKUP(B109,[4]Weeks!$A$125:$X$161,7,FALSE)-VLOOKUP(B109,[4]Weeks!$A$165:$X$200,7,FALSE)+ VLOOKUP(B109,[4]Weeks!$A$125:$X$161,8,FALSE)-VLOOKUP(B109,[4]Weeks!$A$165:$X$200,8,FALSE)</f>
        <v>0</v>
      </c>
      <c r="K109" s="154">
        <f>VLOOKUP(B109,[4]Weeks!$A$85:$X$121,7,FALSE)-VLOOKUP(B109,[4]Weeks!$A$125:$X$161,7,FALSE)+ VLOOKUP(B109,[4]Weeks!$A$85:$X$121,8,FALSE)-VLOOKUP(B109,[4]Weeks!$A$125:$X$161,8,FALSE)</f>
        <v>0</v>
      </c>
      <c r="L109" s="154">
        <f>VLOOKUP(B109,[4]Weeks!$A$44:$X$81,7,FALSE)-VLOOKUP(B109,[4]Weeks!$A$85:$X$121,7,FALSE)+ VLOOKUP(B109,[4]Weeks!$A$44:$X$81,8,FALSE)-VLOOKUP(B109,[4]Weeks!$A$85:$X$121,8,FALSE)</f>
        <v>0</v>
      </c>
      <c r="M109" s="154">
        <f>VLOOKUP(B109,[4]Weeks!$A$3:$X$39,7,FALSE)-VLOOKUP(B109,[4]Weeks!$A$44:$X$81,7,FALSE)+ VLOOKUP(B109,[4]Weeks!$A$3:$X$39,8,FALSE)-VLOOKUP(B109,[4]Weeks!$A$44:$X$81,8,FALSE)</f>
        <v>0</v>
      </c>
      <c r="N109" s="46" t="str">
        <f t="shared" si="19"/>
        <v>-</v>
      </c>
      <c r="O109" s="45">
        <f t="shared" si="20"/>
        <v>0</v>
      </c>
      <c r="P109" s="41">
        <f>IF(ISNUMBER(VLOOKUP(B109,[4]CLOSURES!B:BI,6,FALSE)),TEXT(VLOOKUP(B109,[4]CLOSURES!B:BI,6,FALSE),"ddmmm"),IF(F109&lt;=0,0,IF(I109&lt;=0,0,IF(AND(F109&gt;0,O109&lt;=0),"&gt;52",IF(I109/O109&gt;52,"&gt;52", MAX(0,I109/O109-2))))))</f>
        <v>0</v>
      </c>
      <c r="Q109" s="191"/>
      <c r="R109" s="185"/>
    </row>
    <row r="110" spans="1:20" s="191" customFormat="1" ht="10.7" customHeight="1" x14ac:dyDescent="0.2">
      <c r="A110" s="169"/>
      <c r="B110" s="223" t="s">
        <v>128</v>
      </c>
      <c r="C110" s="151">
        <f>'[5]Maj Pel Combined'!F38</f>
        <v>1064.0540000000001</v>
      </c>
      <c r="D110" s="152">
        <f>F110-VLOOKUP(B110,[4]quotas!$B$85:$W$120,6,FALSE)</f>
        <v>90</v>
      </c>
      <c r="E110" s="152">
        <f t="shared" si="21"/>
        <v>-257.5</v>
      </c>
      <c r="F110" s="153">
        <f>VLOOKUP(B110,[4]quotas!$B$46:$W$84,6,FALSE)</f>
        <v>806.55400000000009</v>
      </c>
      <c r="G110" s="154">
        <f>VLOOKUP(B110,[4]Cumulative!$A$56:$X$91,7,FALSE)+VLOOKUP(B132,[4]Cumulative!$A$56:$X$91,8,FALSE)-'[4]Special Conditions stocks'!C147</f>
        <v>688.7599999999992</v>
      </c>
      <c r="H110" s="183">
        <f t="shared" si="22"/>
        <v>85.395398200244387</v>
      </c>
      <c r="I110" s="153">
        <f t="shared" si="23"/>
        <v>117.79400000000089</v>
      </c>
      <c r="J110" s="154">
        <f>VLOOKUP(B110,[4]Weeks!$A$125:$X$161,7,FALSE)-VLOOKUP(B110,[4]Weeks!$A$165:$X$200,7,FALSE)+ VLOOKUP(B110,[4]Weeks!$A$125:$X$161,8,FALSE)-VLOOKUP(B110,[4]Weeks!$A$165:$X$200,8,FALSE)</f>
        <v>118.69999999999943</v>
      </c>
      <c r="K110" s="154">
        <f>VLOOKUP(B110,[4]Weeks!$A$85:$X$121,7,FALSE)-VLOOKUP(B110,[4]Weeks!$A$125:$X$161,7,FALSE)+ VLOOKUP(B110,[4]Weeks!$A$85:$X$121,8,FALSE)-VLOOKUP(B110,[4]Weeks!$A$125:$X$161,8,FALSE)</f>
        <v>90.93000000000022</v>
      </c>
      <c r="L110" s="154">
        <f>VLOOKUP(B110,[4]Weeks!$A$44:$X$81,7,FALSE)-VLOOKUP(B110,[4]Weeks!$A$85:$X$121,7,FALSE)+ VLOOKUP(B110,[4]Weeks!$A$44:$X$81,8,FALSE)-VLOOKUP(B110,[4]Weeks!$A$85:$X$121,8,FALSE)</f>
        <v>43.999999999999908</v>
      </c>
      <c r="M110" s="154">
        <f>VLOOKUP(B110,[4]Weeks!$A$3:$X$39,7,FALSE)-VLOOKUP(B110,[4]Weeks!$A$44:$X$81,7,FALSE)+ VLOOKUP(B110,[4]Weeks!$A$3:$X$39,8,FALSE)-VLOOKUP(B110,[4]Weeks!$A$44:$X$81,8,FALSE)</f>
        <v>69.250000000000085</v>
      </c>
      <c r="N110" s="46">
        <f t="shared" si="19"/>
        <v>6.5081283468696212</v>
      </c>
      <c r="O110" s="45">
        <f t="shared" si="20"/>
        <v>80.719999999999914</v>
      </c>
      <c r="P110" s="41">
        <f>IF(ISNUMBER(VLOOKUP(B110,[4]CLOSURES!B:BI,6,FALSE)),TEXT(VLOOKUP(B110,[4]CLOSURES!B:BI,6,FALSE),"ddmmm"),IF(F110&lt;=0,0,IF(I110&lt;=0,0,IF(AND(F110&gt;0,O110&lt;=0),"&gt;52",IF(I110/O110&gt;52,"&gt;52", MAX(0,I110/O110-2))))))</f>
        <v>0</v>
      </c>
      <c r="R110" s="185"/>
      <c r="T110" s="61"/>
    </row>
    <row r="111" spans="1:20" s="191" customFormat="1" ht="10.7" customHeight="1" x14ac:dyDescent="0.2">
      <c r="A111" s="2"/>
      <c r="B111" s="223" t="s">
        <v>129</v>
      </c>
      <c r="C111" s="151">
        <f>'[5]Maj Pel Combined'!F39</f>
        <v>0</v>
      </c>
      <c r="D111" s="152">
        <f>F111-VLOOKUP(B111,[4]quotas!$B$85:$W$120,6,FALSE)</f>
        <v>0</v>
      </c>
      <c r="E111" s="152">
        <f t="shared" si="21"/>
        <v>0</v>
      </c>
      <c r="F111" s="153">
        <f>VLOOKUP(B111,[4]quotas!$B$46:$W$84,6,FALSE)</f>
        <v>0</v>
      </c>
      <c r="G111" s="154">
        <f>VLOOKUP(B111,[4]Cumulative!$A$56:$X$91,7,FALSE)+VLOOKUP(B133,[4]Cumulative!$A$56:$X$91,8,FALSE)</f>
        <v>0</v>
      </c>
      <c r="H111" s="183">
        <f t="shared" si="22"/>
        <v>0</v>
      </c>
      <c r="I111" s="153">
        <f t="shared" si="23"/>
        <v>0</v>
      </c>
      <c r="J111" s="154">
        <f>VLOOKUP(B111,[4]Weeks!$A$125:$X$161,7,FALSE)-VLOOKUP(B111,[4]Weeks!$A$165:$X$200,7,FALSE)+ VLOOKUP(B111,[4]Weeks!$A$125:$X$161,8,FALSE)-VLOOKUP(B111,[4]Weeks!$A$165:$X$200,8,FALSE)</f>
        <v>0</v>
      </c>
      <c r="K111" s="154">
        <f>VLOOKUP(B111,[4]Weeks!$A$85:$X$121,7,FALSE)-VLOOKUP(B111,[4]Weeks!$A$125:$X$161,7,FALSE)+ VLOOKUP(B111,[4]Weeks!$A$85:$X$121,8,FALSE)-VLOOKUP(B111,[4]Weeks!$A$125:$X$161,8,FALSE)</f>
        <v>0</v>
      </c>
      <c r="L111" s="154">
        <f>VLOOKUP(B111,[4]Weeks!$A$44:$X$81,7,FALSE)-VLOOKUP(B111,[4]Weeks!$A$85:$X$121,7,FALSE)+ VLOOKUP(B111,[4]Weeks!$A$44:$X$81,8,FALSE)-VLOOKUP(B111,[4]Weeks!$A$85:$X$121,8,FALSE)</f>
        <v>0</v>
      </c>
      <c r="M111" s="154">
        <f>VLOOKUP(B111,[4]Weeks!$A$3:$X$39,7,FALSE)-VLOOKUP(B111,[4]Weeks!$A$44:$X$81,7,FALSE)+ VLOOKUP(B111,[4]Weeks!$A$3:$X$39,8,FALSE)-VLOOKUP(B111,[4]Weeks!$A$44:$X$81,8,FALSE)</f>
        <v>0</v>
      </c>
      <c r="N111" s="48">
        <f>SUM(N101:N110)</f>
        <v>8.0678263278774889</v>
      </c>
      <c r="O111" s="45">
        <f t="shared" si="20"/>
        <v>0</v>
      </c>
      <c r="P111" s="41">
        <f>IF(ISNUMBER(VLOOKUP(B111,[4]CLOSURES!B:BI,6,FALSE)),TEXT(VLOOKUP(B111,[4]CLOSURES!B:BI,6,FALSE),"ddmmm"),IF(F111&lt;=0,0,IF(I111&lt;=0,0,IF(AND(F111&gt;0,O111&lt;=0),"&gt;52",IF(I111/O111&gt;52,"&gt;52", MAX(0,I111/O111-2))))))</f>
        <v>0</v>
      </c>
      <c r="R111" s="185"/>
      <c r="T111" s="61"/>
    </row>
    <row r="112" spans="1:20" s="191" customFormat="1" ht="10.7" customHeight="1" x14ac:dyDescent="0.2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7" customHeight="1" x14ac:dyDescent="0.2">
      <c r="A113" s="2"/>
      <c r="B113" s="196" t="s">
        <v>130</v>
      </c>
      <c r="C113" s="151">
        <f>SUM(C108:C111)</f>
        <v>1074.6490000000001</v>
      </c>
      <c r="D113" s="152">
        <f>SUM(D108:D112)</f>
        <v>48.900000000000006</v>
      </c>
      <c r="E113" s="152">
        <f t="shared" si="21"/>
        <v>-198.70000000000005</v>
      </c>
      <c r="F113" s="153">
        <f>SUM(F108:F111)</f>
        <v>875.94900000000007</v>
      </c>
      <c r="G113" s="153">
        <f>SUM(G108:G111)</f>
        <v>693.73857000075202</v>
      </c>
      <c r="H113" s="183">
        <v>0</v>
      </c>
      <c r="I113" s="153">
        <f t="shared" si="23"/>
        <v>182.21042999924805</v>
      </c>
      <c r="J113" s="154">
        <f>SUM(J108:J111)</f>
        <v>118.85824999999943</v>
      </c>
      <c r="K113" s="154">
        <f>SUM(K108:K111)</f>
        <v>91.535250000000218</v>
      </c>
      <c r="L113" s="154">
        <f>SUM(L108:L111)</f>
        <v>44.413450000107197</v>
      </c>
      <c r="M113" s="154">
        <f>SUM(M108:M111)</f>
        <v>69.41525000108787</v>
      </c>
      <c r="N113" s="46">
        <f>IF(C113="*","*",IF(C113&gt;0,M113/C113*100,"-"))</f>
        <v>6.4593416083844915</v>
      </c>
      <c r="O113" s="45">
        <f>IF(C113="*","*",SUM(J113:M113)/4)</f>
        <v>81.05555000029868</v>
      </c>
      <c r="P113" s="41">
        <f>IF(ISNUMBER(VLOOKUP(B113,[4]CLOSURES!B:BI,6,FALSE)),TEXT(VLOOKUP(B113,[4]CLOSURES!B:BI,6,FALSE),"ddmmm"),IF(F113&lt;=0,0,IF(I113&lt;=0,0,IF(AND(F113&gt;0,O113&lt;=0),"&gt;52",IF(I113/O113&gt;52,"&gt;52", MAX(0,I113/O113-2))))))</f>
        <v>0.24796981821203623</v>
      </c>
      <c r="Q113" s="191"/>
      <c r="R113" s="185"/>
    </row>
    <row r="114" spans="1:18" s="61" customFormat="1" ht="10.7" customHeight="1" x14ac:dyDescent="0.2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7" customHeight="1" x14ac:dyDescent="0.2">
      <c r="A115" s="2"/>
      <c r="B115" s="187" t="s">
        <v>91</v>
      </c>
      <c r="C115" s="157">
        <f>SUM(C113+C106)</f>
        <v>1178.3610000000001</v>
      </c>
      <c r="D115" s="160">
        <f>D106+D113</f>
        <v>-41.099999999999994</v>
      </c>
      <c r="E115" s="160">
        <f t="shared" si="21"/>
        <v>-288.70000000000005</v>
      </c>
      <c r="F115" s="156">
        <f>F113+F106</f>
        <v>889.66100000000006</v>
      </c>
      <c r="G115" s="155">
        <f>G106+G113</f>
        <v>693.91857000075197</v>
      </c>
      <c r="H115" s="188">
        <f t="shared" si="22"/>
        <v>77.998088035864441</v>
      </c>
      <c r="I115" s="156">
        <f>IF(F115="*","*",F115-G115)</f>
        <v>195.74242999924809</v>
      </c>
      <c r="J115" s="155">
        <f>J106+J113</f>
        <v>118.85824999999943</v>
      </c>
      <c r="K115" s="155">
        <f>K106+K113</f>
        <v>91.535250000000218</v>
      </c>
      <c r="L115" s="155">
        <f>L106+L113</f>
        <v>44.413450000107197</v>
      </c>
      <c r="M115" s="155">
        <f>M106+M113</f>
        <v>69.41525000108787</v>
      </c>
      <c r="N115" s="58">
        <f>IF(C115="*","*",IF(C115&gt;0,M115/C115*100,"-"))</f>
        <v>5.8908305689926825</v>
      </c>
      <c r="O115" s="52">
        <f>IF(C115="*","*",SUM(J115:M115)/4)</f>
        <v>81.05555000029868</v>
      </c>
      <c r="P115" s="54">
        <f>IF(ISNUMBER(VLOOKUP(B115,[4]CLOSURES!B:BI,6,FALSE)),TEXT(VLOOKUP(B115,[4]CLOSURES!B:BI,6,FALSE),"ddmmm"),IF(F115&lt;=0,0,IF(I115&lt;=0,0,IF(AND(F115&gt;0,O115&lt;=0),"&gt;52",IF(I115/O115&gt;52,"&gt;52", MAX(0,I115/O115-2))))))</f>
        <v>0.41491705378011501</v>
      </c>
      <c r="Q115" s="191"/>
      <c r="R115" s="185"/>
    </row>
    <row r="116" spans="1:18" s="191" customFormat="1" ht="10.7" customHeight="1" x14ac:dyDescent="0.2">
      <c r="A116" s="61"/>
      <c r="F116" s="192"/>
      <c r="I116" s="193"/>
      <c r="N116" s="194"/>
      <c r="P116" s="194"/>
      <c r="R116" s="185"/>
    </row>
    <row r="117" spans="1:18" s="191" customFormat="1" ht="10.7" hidden="1" customHeight="1" x14ac:dyDescent="0.2">
      <c r="A117" s="61"/>
      <c r="F117" s="192"/>
      <c r="I117" s="193"/>
      <c r="N117" s="194"/>
      <c r="P117" s="194"/>
      <c r="R117" s="185"/>
    </row>
    <row r="118" spans="1:18" s="191" customFormat="1" ht="10.7" hidden="1" customHeight="1" x14ac:dyDescent="0.2">
      <c r="A118" s="61"/>
      <c r="B118" s="14"/>
      <c r="C118" s="15" t="str">
        <f>C5</f>
        <v>Initial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7" hidden="1" customHeight="1" x14ac:dyDescent="0.2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7" hidden="1" customHeight="1" x14ac:dyDescent="0.2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f>$J7</f>
        <v>44468</v>
      </c>
      <c r="K120" s="33">
        <f>$K7</f>
        <v>44475</v>
      </c>
      <c r="L120" s="33">
        <f>$L7</f>
        <v>44482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7" hidden="1" customHeight="1" x14ac:dyDescent="0.2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7" hidden="1" customHeight="1" x14ac:dyDescent="0.2">
      <c r="A122" s="61"/>
      <c r="B122" s="40"/>
      <c r="C122" s="241" t="s">
        <v>117</v>
      </c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41" t="s">
        <v>4</v>
      </c>
      <c r="R122" s="185"/>
    </row>
    <row r="123" spans="1:18" s="191" customFormat="1" ht="10.7" hidden="1" customHeight="1" x14ac:dyDescent="0.2">
      <c r="A123" s="61"/>
      <c r="B123" s="222" t="s">
        <v>121</v>
      </c>
      <c r="C123" s="151">
        <f>'[5]Maj Pel Combined'!G29</f>
        <v>3.669</v>
      </c>
      <c r="D123" s="152">
        <f>F123-VLOOKUP(B123,[4]quotas!$B$85:$W$120,7,FALSE)</f>
        <v>0</v>
      </c>
      <c r="E123" s="152">
        <f>F123-C123</f>
        <v>0</v>
      </c>
      <c r="F123" s="153">
        <f>VLOOKUP(B123,[4]quotas!$B$46:$W$84,7,FALSE)</f>
        <v>3.669</v>
      </c>
      <c r="G123" s="154">
        <f>VLOOKUP(B123,[4]Cumulative!$A$56:$X$91,8,FALSE)</f>
        <v>0</v>
      </c>
      <c r="H123" s="183">
        <f>IF(AND(F123=0,G123&gt;0),"n/a",IF(F123=0,0,100*G123/F123))</f>
        <v>0</v>
      </c>
      <c r="I123" s="153">
        <f>IF(F123="*","*",F123-G123)</f>
        <v>3.669</v>
      </c>
      <c r="J123" s="154">
        <f>VLOOKUP(B123,[4]Weeks!$A$125:$X$161,8,FALSE)-VLOOKUP(B123,[4]Weeks!$A$165:$X$200,8,FALSE)</f>
        <v>0</v>
      </c>
      <c r="K123" s="154">
        <f>VLOOKUP(B123,[4]Weeks!$A$85:$X$121,8,FALSE)-VLOOKUP(B123,[4]Weeks!$A$125:$X$161,8,FALSE)</f>
        <v>0</v>
      </c>
      <c r="L123" s="154">
        <f>VLOOKUP(B123,[4]Weeks!$A$44:$X$81,8,FALSE)-VLOOKUP(B123,[4]Weeks!$A$85:$X$121,8,FALSE)</f>
        <v>0</v>
      </c>
      <c r="M123" s="154">
        <f>VLOOKUP(B123,[4]Weeks!$A$3:$X$39,8,FALSE)-VLOOKUP(B123,[4]Weeks!$A$44:$X$81,8,FALSE)</f>
        <v>0</v>
      </c>
      <c r="N123" s="46">
        <f t="shared" ref="N123:N132" si="24">IF(C123="*","*",IF(C123&gt;0,M123/C123*100,"-"))</f>
        <v>0</v>
      </c>
      <c r="O123" s="45">
        <f t="shared" ref="O123:O133" si="25">IF(C123="*","*",SUM(J123:M123)/4)</f>
        <v>0</v>
      </c>
      <c r="P123" s="41" t="str">
        <f>IF(ISNUMBER(VLOOKUP(B123,[4]CLOSURES!B:BI,7,FALSE)),TEXT(VLOOKUP(B123,[4]CLOSURES!B:BI,7,FALSE),"ddmmm"),IF(F123&lt;=0,0,IF(I123&lt;=0,0,IF(AND(F123&gt;0,O123&lt;=0),"&gt;52",IF(I123/O123&gt;52,"&gt;52", MAX(0,I123/O123-2))))))</f>
        <v>01Jan</v>
      </c>
      <c r="R123" s="185"/>
    </row>
    <row r="124" spans="1:18" s="191" customFormat="1" ht="10.7" hidden="1" customHeight="1" x14ac:dyDescent="0.2">
      <c r="A124" s="61"/>
      <c r="B124" s="222" t="s">
        <v>122</v>
      </c>
      <c r="C124" s="151">
        <f>'[5]Maj Pel Combined'!G30</f>
        <v>0</v>
      </c>
      <c r="D124" s="152">
        <f>F124-VLOOKUP(B124,[4]quotas!$B$85:$W$120,7,FALSE)</f>
        <v>0</v>
      </c>
      <c r="E124" s="152">
        <f t="shared" ref="E124:E137" si="26">F124-C124</f>
        <v>0</v>
      </c>
      <c r="F124" s="153">
        <f>VLOOKUP(B124,[4]quotas!$B$46:$W$84,7,FALSE)</f>
        <v>0</v>
      </c>
      <c r="G124" s="154">
        <f>VLOOKUP(B124,[4]Cumulative!$A$56:$X$91,8,FALSE)</f>
        <v>0</v>
      </c>
      <c r="H124" s="183">
        <f t="shared" ref="H124:H135" si="27">IF(AND(F124=0,G124&gt;0),"n/a",IF(F124=0,0,100*G124/F124))</f>
        <v>0</v>
      </c>
      <c r="I124" s="153">
        <f t="shared" ref="I124:I135" si="28">IF(F124="*","*",F124-G124)</f>
        <v>0</v>
      </c>
      <c r="J124" s="154">
        <f>VLOOKUP(B124,[4]Weeks!$A$125:$X$161,8,FALSE)-VLOOKUP(B124,[4]Weeks!$A$165:$X$200,8,FALSE)</f>
        <v>0</v>
      </c>
      <c r="K124" s="154">
        <f>VLOOKUP(B124,[4]Weeks!$A$85:$X$121,8,FALSE)-VLOOKUP(B124,[4]Weeks!$A$125:$X$161,8,FALSE)</f>
        <v>0</v>
      </c>
      <c r="L124" s="154">
        <f>VLOOKUP(B124,[4]Weeks!$A$44:$X$81,8,FALSE)-VLOOKUP(B124,[4]Weeks!$A$85:$X$121,8,FALSE)</f>
        <v>0</v>
      </c>
      <c r="M124" s="154">
        <f>VLOOKUP(B124,[4]Weeks!$A$3:$X$39,8,FALSE)-VLOOKUP(B124,[4]Weeks!$A$44:$X$81,8,FALSE)</f>
        <v>0</v>
      </c>
      <c r="N124" s="46" t="str">
        <f t="shared" si="24"/>
        <v>-</v>
      </c>
      <c r="O124" s="45">
        <f t="shared" si="25"/>
        <v>0</v>
      </c>
      <c r="P124" s="41" t="str">
        <f>IF(ISNUMBER(VLOOKUP(B124,[4]CLOSURES!B:BI,7,FALSE)),TEXT(VLOOKUP(B124,[4]CLOSURES!B:BI,7,FALSE),"ddmmm"),IF(F124&lt;=0,0,IF(I124&lt;=0,0,IF(AND(F124&gt;0,O124&lt;=0),"&gt;52",IF(I124/O124&gt;52,"&gt;52", MAX(0,I124/O124-2))))))</f>
        <v>01Jan</v>
      </c>
      <c r="R124" s="185"/>
    </row>
    <row r="125" spans="1:18" s="191" customFormat="1" ht="10.7" hidden="1" customHeight="1" x14ac:dyDescent="0.2">
      <c r="A125" s="61"/>
      <c r="B125" s="222" t="s">
        <v>123</v>
      </c>
      <c r="C125" s="151">
        <f>'[5]Maj Pel Combined'!G31</f>
        <v>100.04300000000001</v>
      </c>
      <c r="D125" s="152">
        <f>F125-VLOOKUP(B125,[4]quotas!$B$85:$W$120,7,FALSE)</f>
        <v>0</v>
      </c>
      <c r="E125" s="152">
        <f t="shared" si="26"/>
        <v>0</v>
      </c>
      <c r="F125" s="153">
        <f>VLOOKUP(B125,[4]quotas!$B$46:$W$84,7,FALSE)</f>
        <v>100.04300000000001</v>
      </c>
      <c r="G125" s="154">
        <f>VLOOKUP(B125,[4]Cumulative!$A$56:$X$91,8,FALSE)</f>
        <v>0</v>
      </c>
      <c r="H125" s="183">
        <f t="shared" si="27"/>
        <v>0</v>
      </c>
      <c r="I125" s="153">
        <f t="shared" si="28"/>
        <v>100.04300000000001</v>
      </c>
      <c r="J125" s="154">
        <f>VLOOKUP(B125,[4]Weeks!$A$125:$X$161,8,FALSE)-VLOOKUP(B125,[4]Weeks!$A$165:$X$200,8,FALSE)</f>
        <v>0</v>
      </c>
      <c r="K125" s="154">
        <f>VLOOKUP(B125,[4]Weeks!$A$85:$X$121,8,FALSE)-VLOOKUP(B125,[4]Weeks!$A$125:$X$161,8,FALSE)</f>
        <v>0</v>
      </c>
      <c r="L125" s="154">
        <f>VLOOKUP(B125,[4]Weeks!$A$44:$X$81,8,FALSE)-VLOOKUP(B125,[4]Weeks!$A$85:$X$121,8,FALSE)</f>
        <v>0</v>
      </c>
      <c r="M125" s="154">
        <f>VLOOKUP(B125,[4]Weeks!$A$3:$X$39,8,FALSE)-VLOOKUP(B125,[4]Weeks!$A$44:$X$81,8,FALSE)</f>
        <v>0</v>
      </c>
      <c r="N125" s="46">
        <f t="shared" si="24"/>
        <v>0</v>
      </c>
      <c r="O125" s="45">
        <f t="shared" si="25"/>
        <v>0</v>
      </c>
      <c r="P125" s="41" t="str">
        <f>IF(ISNUMBER(VLOOKUP(B125,[4]CLOSURES!B:BI,7,FALSE)),TEXT(VLOOKUP(B125,[4]CLOSURES!B:BI,7,FALSE),"ddmmm"),IF(F125&lt;=0,0,IF(I125&lt;=0,0,IF(AND(F125&gt;0,O125&lt;=0),"&gt;52",IF(I125/O125&gt;52,"&gt;52", MAX(0,I125/O125-2))))))</f>
        <v>01Jan</v>
      </c>
      <c r="R125" s="185"/>
    </row>
    <row r="126" spans="1:18" s="191" customFormat="1" ht="10.7" hidden="1" customHeight="1" x14ac:dyDescent="0.2">
      <c r="A126" s="61"/>
      <c r="B126" s="222" t="s">
        <v>124</v>
      </c>
      <c r="C126" s="151">
        <f>'[5]Maj Pel Combined'!G32</f>
        <v>0</v>
      </c>
      <c r="D126" s="152">
        <f>F126-VLOOKUP(B126,[4]quotas!$B$85:$W$120,7,FALSE)</f>
        <v>0</v>
      </c>
      <c r="E126" s="152">
        <f t="shared" si="26"/>
        <v>0</v>
      </c>
      <c r="F126" s="153">
        <f>VLOOKUP(B126,[4]quotas!$B$46:$W$84,7,FALSE)</f>
        <v>0</v>
      </c>
      <c r="G126" s="154">
        <f>VLOOKUP(B126,[4]Cumulative!$A$56:$X$91,8,FALSE)</f>
        <v>0</v>
      </c>
      <c r="H126" s="183">
        <f t="shared" si="27"/>
        <v>0</v>
      </c>
      <c r="I126" s="153">
        <f t="shared" si="28"/>
        <v>0</v>
      </c>
      <c r="J126" s="154">
        <f>VLOOKUP(B126,[4]Weeks!$A$125:$X$161,8,FALSE)-VLOOKUP(B126,[4]Weeks!$A$165:$X$200,8,FALSE)</f>
        <v>0</v>
      </c>
      <c r="K126" s="154">
        <f>VLOOKUP(B126,[4]Weeks!$A$85:$X$121,8,FALSE)-VLOOKUP(B126,[4]Weeks!$A$125:$X$161,8,FALSE)</f>
        <v>0</v>
      </c>
      <c r="L126" s="154">
        <f>VLOOKUP(B126,[4]Weeks!$A$44:$X$81,8,FALSE)-VLOOKUP(B126,[4]Weeks!$A$85:$X$121,8,FALSE)</f>
        <v>0</v>
      </c>
      <c r="M126" s="154">
        <f>VLOOKUP(B126,[4]Weeks!$A$3:$X$39,8,FALSE)-VLOOKUP(B126,[4]Weeks!$A$44:$X$81,8,FALSE)</f>
        <v>0</v>
      </c>
      <c r="N126" s="46" t="str">
        <f t="shared" si="24"/>
        <v>-</v>
      </c>
      <c r="O126" s="45">
        <f t="shared" si="25"/>
        <v>0</v>
      </c>
      <c r="P126" s="41" t="str">
        <f>IF(ISNUMBER(VLOOKUP(B126,[4]CLOSURES!B:BI,7,FALSE)),TEXT(VLOOKUP(B126,[4]CLOSURES!B:BI,7,FALSE),"ddmmm"),IF(F126&lt;=0,0,IF(I126&lt;=0,0,IF(AND(F126&gt;0,O126&lt;=0),"&gt;52",IF(I126/O126&gt;52,"&gt;52", MAX(0,I126/O126-2))))))</f>
        <v>01Jan</v>
      </c>
      <c r="R126" s="185"/>
    </row>
    <row r="127" spans="1:18" s="191" customFormat="1" ht="10.7" hidden="1" customHeight="1" x14ac:dyDescent="0.2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7" hidden="1" customHeight="1" x14ac:dyDescent="0.2">
      <c r="A128" s="61"/>
      <c r="B128" s="162" t="s">
        <v>125</v>
      </c>
      <c r="C128" s="151">
        <f>SUM(C123:C126)</f>
        <v>103.712</v>
      </c>
      <c r="D128" s="152">
        <f>SUM(D123:D127)</f>
        <v>0</v>
      </c>
      <c r="E128" s="152">
        <f t="shared" si="26"/>
        <v>0</v>
      </c>
      <c r="F128" s="153">
        <f>SUM(F123:F126)</f>
        <v>103.712</v>
      </c>
      <c r="G128" s="153">
        <f>SUM(G123:G126)</f>
        <v>0</v>
      </c>
      <c r="H128" s="183">
        <f t="shared" si="27"/>
        <v>0</v>
      </c>
      <c r="I128" s="153">
        <f t="shared" si="28"/>
        <v>103.712</v>
      </c>
      <c r="J128" s="154">
        <f>SUM(J123:J126)</f>
        <v>0</v>
      </c>
      <c r="K128" s="154">
        <f>SUM(K123:K126)</f>
        <v>0</v>
      </c>
      <c r="L128" s="154">
        <f>SUM(L123:L126)</f>
        <v>0</v>
      </c>
      <c r="M128" s="154">
        <f>SUM(M123:M126)</f>
        <v>0</v>
      </c>
      <c r="N128" s="46">
        <f t="shared" si="24"/>
        <v>0</v>
      </c>
      <c r="O128" s="45">
        <f t="shared" si="25"/>
        <v>0</v>
      </c>
      <c r="P128" s="41" t="str">
        <f>IF(ISNUMBER(VLOOKUP(B128,[4]CLOSURES!B:BI,7,FALSE)),TEXT(VLOOKUP(B128,[4]CLOSURES!B:BI,7,FALSE),"ddmmm"),IF(F128&lt;=0,0,IF(I128&lt;=0,0,IF(AND(F128&gt;0,O128&lt;=0),"&gt;52",IF(I128/O128&gt;52,"&gt;52", MAX(0,I128/O128-2))))))</f>
        <v>&gt;52</v>
      </c>
      <c r="R128" s="185"/>
    </row>
    <row r="129" spans="1:254" s="191" customFormat="1" ht="11.25" hidden="1" customHeight="1" x14ac:dyDescent="0.2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hidden="1" customHeight="1" x14ac:dyDescent="0.2">
      <c r="A130" s="61"/>
      <c r="B130" s="223" t="s">
        <v>126</v>
      </c>
      <c r="C130" s="151">
        <f>'[5]Maj Pel Combined'!$G36</f>
        <v>10.595000000000001</v>
      </c>
      <c r="D130" s="152">
        <f>F130-VLOOKUP(B130,[4]quotas!$B$85:$W$120,7,FALSE)</f>
        <v>0</v>
      </c>
      <c r="E130" s="152">
        <f t="shared" si="26"/>
        <v>99.9</v>
      </c>
      <c r="F130" s="153">
        <f>VLOOKUP(B130,[4]quotas!$B$46:$W$84,7,FALSE)</f>
        <v>110.495</v>
      </c>
      <c r="G130" s="154">
        <f>VLOOKUP(B130,[4]Cumulative!$A$56:$X$91,8,FALSE)</f>
        <v>4.9785700007527964</v>
      </c>
      <c r="H130" s="183">
        <f t="shared" si="27"/>
        <v>4.5056970910473746</v>
      </c>
      <c r="I130" s="153">
        <f t="shared" si="28"/>
        <v>105.51642999924721</v>
      </c>
      <c r="J130" s="154">
        <f>VLOOKUP(B130,[4]Weeks!$A$125:$X$161,8,FALSE)-VLOOKUP(B130,[4]Weeks!$A$165:$X$200,8,FALSE)</f>
        <v>0.1582499999999909</v>
      </c>
      <c r="K130" s="154">
        <f>VLOOKUP(B130,[4]Weeks!$A$85:$X$121,8,FALSE)-VLOOKUP(B130,[4]Weeks!$A$125:$X$161,8,FALSE)</f>
        <v>0.60524999999999984</v>
      </c>
      <c r="L130" s="154">
        <f>VLOOKUP(B130,[4]Weeks!$A$44:$X$81,8,FALSE)-VLOOKUP(B130,[4]Weeks!$A$85:$X$121,8,FALSE)</f>
        <v>0.4134500001072885</v>
      </c>
      <c r="M130" s="154">
        <f>VLOOKUP(B130,[4]Weeks!$A$3:$X$39,8,FALSE)-VLOOKUP(B130,[4]Weeks!$A$44:$X$81,8,FALSE)</f>
        <v>0.16525000108778354</v>
      </c>
      <c r="N130" s="46">
        <f t="shared" si="24"/>
        <v>1.5596979810078671</v>
      </c>
      <c r="O130" s="45">
        <f t="shared" si="25"/>
        <v>0.33555000029876569</v>
      </c>
      <c r="P130" s="41" t="str">
        <f>IF(ISNUMBER(VLOOKUP(B130,[4]CLOSURES!B:BI,7,FALSE)),TEXT(VLOOKUP(B130,[4]CLOSURES!B:BI,7,FALSE),"ddmmm"),IF(F130&lt;=0,0,IF(I130&lt;=0,0,IF(AND(F130&gt;0,O130&lt;=0),"&gt;52",IF(I130/O130&gt;52,"&gt;52", MAX(0,I130/O130-2))))))</f>
        <v>&gt;52</v>
      </c>
      <c r="R130" s="185"/>
    </row>
    <row r="131" spans="1:254" s="191" customFormat="1" ht="12" hidden="1" customHeight="1" x14ac:dyDescent="0.2">
      <c r="A131" s="61"/>
      <c r="B131" s="223" t="s">
        <v>127</v>
      </c>
      <c r="C131" s="151">
        <f>'[5]Maj Pel Combined'!$G37</f>
        <v>0</v>
      </c>
      <c r="D131" s="152">
        <f>F131-VLOOKUP(B131,[4]quotas!$B$85:$W$120,7,FALSE)</f>
        <v>0</v>
      </c>
      <c r="E131" s="152">
        <f t="shared" si="26"/>
        <v>0</v>
      </c>
      <c r="F131" s="153">
        <f>VLOOKUP(B131,[4]quotas!$B$46:$W$84,7,FALSE)</f>
        <v>0</v>
      </c>
      <c r="G131" s="154">
        <f>VLOOKUP(B131,[4]Cumulative!$A$56:$X$91,8,FALSE)</f>
        <v>0</v>
      </c>
      <c r="H131" s="183">
        <f t="shared" si="27"/>
        <v>0</v>
      </c>
      <c r="I131" s="153">
        <f t="shared" si="28"/>
        <v>0</v>
      </c>
      <c r="J131" s="154">
        <f>VLOOKUP(B131,[4]Weeks!$A$125:$X$161,8,FALSE)-VLOOKUP(B131,[4]Weeks!$A$165:$X$200,8,FALSE)</f>
        <v>0</v>
      </c>
      <c r="K131" s="154">
        <f>VLOOKUP(B131,[4]Weeks!$A$85:$X$121,8,FALSE)-VLOOKUP(B131,[4]Weeks!$A$125:$X$161,8,FALSE)</f>
        <v>0</v>
      </c>
      <c r="L131" s="154">
        <f>VLOOKUP(B131,[4]Weeks!$A$44:$X$81,8,FALSE)-VLOOKUP(B131,[4]Weeks!$A$85:$X$121,8,FALSE)</f>
        <v>0</v>
      </c>
      <c r="M131" s="154">
        <f>VLOOKUP(B131,[4]Weeks!$A$3:$X$39,8,FALSE)-VLOOKUP(B131,[4]Weeks!$A$44:$X$81,8,FALSE)</f>
        <v>0</v>
      </c>
      <c r="N131" s="46" t="str">
        <f t="shared" si="24"/>
        <v>-</v>
      </c>
      <c r="O131" s="45">
        <f t="shared" si="25"/>
        <v>0</v>
      </c>
      <c r="P131" s="41">
        <f>IF(ISNUMBER(VLOOKUP(B131,[4]CLOSURES!B:BI,7,FALSE)),TEXT(VLOOKUP(B131,[4]CLOSURES!B:BI,7,FALSE),"ddmmm"),IF(F131&lt;=0,0,IF(I131&lt;=0,0,IF(AND(F131&gt;0,O131&lt;=0),"&gt;52",IF(I131/O131&gt;52,"&gt;52", MAX(0,I131/O131-2))))))</f>
        <v>0</v>
      </c>
      <c r="R131" s="185"/>
    </row>
    <row r="132" spans="1:254" s="191" customFormat="1" ht="10.7" hidden="1" customHeight="1" x14ac:dyDescent="0.2">
      <c r="B132" s="223" t="s">
        <v>128</v>
      </c>
      <c r="C132" s="151">
        <f>'[5]Maj Pel Combined'!$G38</f>
        <v>1064.0540000000001</v>
      </c>
      <c r="D132" s="152">
        <f>F132-VLOOKUP(B132,[4]quotas!$B$85:$W$120,7,FALSE)</f>
        <v>0</v>
      </c>
      <c r="E132" s="152">
        <f t="shared" si="26"/>
        <v>0</v>
      </c>
      <c r="F132" s="153">
        <f>VLOOKUP(B132,[4]quotas!$B$46:$W$84,7,FALSE)</f>
        <v>1064.0540000000001</v>
      </c>
      <c r="G132" s="154">
        <f>VLOOKUP(B132,[4]Cumulative!$A$56:$X$91,8,FALSE)</f>
        <v>58.279999999999987</v>
      </c>
      <c r="H132" s="183">
        <f t="shared" si="27"/>
        <v>5.4771656325712783</v>
      </c>
      <c r="I132" s="153">
        <f t="shared" si="28"/>
        <v>1005.7740000000001</v>
      </c>
      <c r="J132" s="154">
        <f>VLOOKUP(B132,[4]Weeks!$A$125:$X$161,8,FALSE)-VLOOKUP(B132,[4]Weeks!$A$165:$X$200,8,FALSE)</f>
        <v>1.7199999999999989</v>
      </c>
      <c r="K132" s="154">
        <f>VLOOKUP(B132,[4]Weeks!$A$85:$X$121,8,FALSE)-VLOOKUP(B132,[4]Weeks!$A$125:$X$161,8,FALSE)</f>
        <v>3.8000000000000043</v>
      </c>
      <c r="L132" s="154">
        <f>VLOOKUP(B132,[4]Weeks!$A$44:$X$81,8,FALSE)-VLOOKUP(B132,[4]Weeks!$A$85:$X$121,8,FALSE)</f>
        <v>6.8099999999999739</v>
      </c>
      <c r="M132" s="154">
        <f>VLOOKUP(B132,[4]Weeks!$A$3:$X$39,8,FALSE)-VLOOKUP(B132,[4]Weeks!$A$44:$X$81,8,FALSE)</f>
        <v>2.6000000000000014</v>
      </c>
      <c r="N132" s="46">
        <f t="shared" si="24"/>
        <v>0.24434850110990619</v>
      </c>
      <c r="O132" s="45">
        <f t="shared" si="25"/>
        <v>3.7324999999999946</v>
      </c>
      <c r="P132" s="41" t="str">
        <f>IF(ISNUMBER(VLOOKUP(B132,[4]CLOSURES!B:BI,7,FALSE)),TEXT(VLOOKUP(B132,[4]CLOSURES!B:BI,7,FALSE),"ddmmm"),IF(F132&lt;=0,0,IF(I132&lt;=0,0,IF(AND(F132&gt;0,O132&lt;=0),"&gt;52",IF(I132/O132&gt;52,"&gt;52", MAX(0,I132/O132-2))))))</f>
        <v>&gt;52</v>
      </c>
      <c r="R132" s="185"/>
    </row>
    <row r="133" spans="1:254" s="191" customFormat="1" ht="10.7" hidden="1" customHeight="1" x14ac:dyDescent="0.2">
      <c r="B133" s="223" t="s">
        <v>129</v>
      </c>
      <c r="C133" s="151">
        <f>'[5]Maj Pel Combined'!$G39</f>
        <v>0</v>
      </c>
      <c r="D133" s="152">
        <f>F133-VLOOKUP(B133,[4]quotas!$B$85:$W$120,7,FALSE)</f>
        <v>0</v>
      </c>
      <c r="E133" s="152">
        <f t="shared" si="26"/>
        <v>0</v>
      </c>
      <c r="F133" s="153">
        <f>VLOOKUP(B133,[4]quotas!$B$46:$W$84,7,FALSE)</f>
        <v>0</v>
      </c>
      <c r="G133" s="154">
        <f>VLOOKUP(B133,[4]Cumulative!$A$56:$X$91,8,FALSE)</f>
        <v>0</v>
      </c>
      <c r="H133" s="183">
        <f t="shared" si="27"/>
        <v>0</v>
      </c>
      <c r="I133" s="153">
        <f t="shared" si="28"/>
        <v>0</v>
      </c>
      <c r="J133" s="154">
        <f>VLOOKUP(B133,[4]Weeks!$A$125:$X$161,8,FALSE)-VLOOKUP(B133,[4]Weeks!$A$165:$X$200,8,FALSE)</f>
        <v>0</v>
      </c>
      <c r="K133" s="154">
        <f>VLOOKUP(B133,[4]Weeks!$A$85:$X$121,8,FALSE)-VLOOKUP(B133,[4]Weeks!$A$125:$X$161,8,FALSE)</f>
        <v>0</v>
      </c>
      <c r="L133" s="154">
        <f>VLOOKUP(B133,[4]Weeks!$A$44:$X$81,8,FALSE)-VLOOKUP(B133,[4]Weeks!$A$85:$X$121,8,FALSE)</f>
        <v>0</v>
      </c>
      <c r="M133" s="154">
        <f>VLOOKUP(B133,[4]Weeks!$A$3:$X$39,8,FALSE)-VLOOKUP(B133,[4]Weeks!$A$44:$X$81,8,FALSE)</f>
        <v>0</v>
      </c>
      <c r="N133" s="48">
        <f>SUM(N123:N132)</f>
        <v>1.8040464821177733</v>
      </c>
      <c r="O133" s="45">
        <f t="shared" si="25"/>
        <v>0</v>
      </c>
      <c r="P133" s="41">
        <f>IF(ISNUMBER(VLOOKUP(B133,[4]CLOSURES!B:BI,7,FALSE)),TEXT(VLOOKUP(B133,[4]CLOSURES!B:BI,7,FALSE),"ddmmm"),IF(F133&lt;=0,0,IF(I133&lt;=0,0,IF(AND(F133&gt;0,O133&lt;=0),"&gt;52",IF(I133/O133&gt;52,"&gt;52", MAX(0,I133/O133-2))))))</f>
        <v>0</v>
      </c>
      <c r="R133" s="185"/>
    </row>
    <row r="134" spans="1:254" s="191" customFormat="1" ht="10.7" hidden="1" customHeight="1" x14ac:dyDescent="0.2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hidden="1" customHeight="1" x14ac:dyDescent="0.2">
      <c r="A135" s="61"/>
      <c r="B135" s="196" t="s">
        <v>130</v>
      </c>
      <c r="C135" s="151">
        <f>SUM(C130:C133)</f>
        <v>1074.6490000000001</v>
      </c>
      <c r="D135" s="152">
        <f>SUM(D130:D134)</f>
        <v>0</v>
      </c>
      <c r="E135" s="152">
        <f t="shared" si="26"/>
        <v>99.899999999999864</v>
      </c>
      <c r="F135" s="153">
        <f>SUM(F130:F133)</f>
        <v>1174.549</v>
      </c>
      <c r="G135" s="153">
        <f>SUM(G130:G133)</f>
        <v>63.258570000752783</v>
      </c>
      <c r="H135" s="183">
        <f t="shared" si="27"/>
        <v>5.3857753061603031</v>
      </c>
      <c r="I135" s="153">
        <f t="shared" si="28"/>
        <v>1111.2904299992472</v>
      </c>
      <c r="J135" s="154">
        <f>SUM(J130:J133)</f>
        <v>1.8782499999999898</v>
      </c>
      <c r="K135" s="154">
        <f>SUM(K130:K133)</f>
        <v>4.4052500000000041</v>
      </c>
      <c r="L135" s="154">
        <f>SUM(L130:L133)</f>
        <v>7.2234500001072623</v>
      </c>
      <c r="M135" s="154">
        <f>SUM(M130:M133)</f>
        <v>2.765250001087785</v>
      </c>
      <c r="N135" s="46">
        <f>IF(C135="*","*",IF(C135&gt;0,M135/C135*100,"-"))</f>
        <v>0.25731657509454575</v>
      </c>
      <c r="O135" s="45">
        <f>IF(C135="*","*",SUM(J135:M135)/4)</f>
        <v>4.0680500002987605</v>
      </c>
      <c r="P135" s="41" t="str">
        <f>IF(ISNUMBER(VLOOKUP(B135,[4]CLOSURES!B:BI,7,FALSE)),TEXT(VLOOKUP(B135,[4]CLOSURES!B:BI,7,FALSE),"ddmmm"),IF(F135&lt;=0,0,IF(I135&lt;=0,0,IF(AND(F135&gt;0,O135&lt;=0),"&gt;52",IF(I135/O135&gt;52,"&gt;52", MAX(0,I135/O135-2))))))</f>
        <v>&gt;52</v>
      </c>
      <c r="R135" s="185"/>
    </row>
    <row r="136" spans="1:254" s="191" customFormat="1" ht="10.7" hidden="1" customHeight="1" x14ac:dyDescent="0.2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7" hidden="1" customHeight="1" x14ac:dyDescent="0.2">
      <c r="B137" s="187" t="s">
        <v>91</v>
      </c>
      <c r="C137" s="157">
        <f>SUM(C135+C128)</f>
        <v>1178.3610000000001</v>
      </c>
      <c r="D137" s="160">
        <f>D128+D135</f>
        <v>0</v>
      </c>
      <c r="E137" s="160">
        <f t="shared" si="26"/>
        <v>99.899999999999864</v>
      </c>
      <c r="F137" s="156">
        <f>F135+F128</f>
        <v>1278.261</v>
      </c>
      <c r="G137" s="155">
        <f>G128+G135</f>
        <v>63.258570000752783</v>
      </c>
      <c r="H137" s="188">
        <f>IF(AND(F137=0,G137&gt;0),"n/a",IF(F137=0,0,100*G137/F137))</f>
        <v>4.9487991889569329</v>
      </c>
      <c r="I137" s="156">
        <f>I135+I128</f>
        <v>1215.0024299992472</v>
      </c>
      <c r="J137" s="155">
        <f>J128+J135</f>
        <v>1.8782499999999898</v>
      </c>
      <c r="K137" s="155">
        <f>K128+K135</f>
        <v>4.4052500000000041</v>
      </c>
      <c r="L137" s="155">
        <f>L128+L135</f>
        <v>7.2234500001072623</v>
      </c>
      <c r="M137" s="155">
        <f>M128+M135</f>
        <v>2.765250001087785</v>
      </c>
      <c r="N137" s="58">
        <f>IF(C137="*","*",IF(C137&gt;0,M137/C137*100,"-"))</f>
        <v>0.23466917193354031</v>
      </c>
      <c r="O137" s="52">
        <f>IF(C137="*","*",SUM(J137:M137)/4)</f>
        <v>4.0680500002987605</v>
      </c>
      <c r="P137" s="54" t="str">
        <f>IF(ISNUMBER(VLOOKUP(B137,[4]CLOSURES!B:BI,7,FALSE)),TEXT(VLOOKUP(B137,[4]CLOSURES!B:BI,7,FALSE),"ddmmm"),IF(F137&lt;=0,0,IF(I137&lt;=0,0,IF(AND(F137&gt;0,O137&lt;=0),"&gt;52",IF(I137/O137&gt;52,"&gt;52", MAX(0,I137/O137-2))))))</f>
        <v>&gt;52</v>
      </c>
      <c r="R137" s="185"/>
    </row>
    <row r="138" spans="1:254" ht="10.7" hidden="1" customHeight="1" x14ac:dyDescent="0.2">
      <c r="B138" s="198" t="str">
        <f>B69</f>
        <v>Number of Weeks to end of year is 10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7" hidden="1" customHeight="1" x14ac:dyDescent="0.2">
      <c r="B139" s="198" t="str">
        <f>B70</f>
        <v>Estimated weeks left after applying 4 week average to amount left, and subtracting 2 weeks to account for lags in recording.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7" hidden="1" customHeight="1" x14ac:dyDescent="0.2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7" customHeight="1" x14ac:dyDescent="0.2">
      <c r="F141" s="192"/>
      <c r="I141" s="193"/>
      <c r="N141" s="194"/>
      <c r="P141" s="194"/>
      <c r="R141" s="185"/>
    </row>
    <row r="142" spans="1:254" s="191" customFormat="1" ht="10.7" customHeight="1" x14ac:dyDescent="0.2">
      <c r="F142" s="192"/>
      <c r="I142" s="193"/>
      <c r="N142" s="194"/>
      <c r="P142" s="194"/>
      <c r="R142" s="185"/>
    </row>
    <row r="143" spans="1:254" s="191" customFormat="1" ht="10.7" customHeight="1" x14ac:dyDescent="0.2">
      <c r="B143" s="14"/>
      <c r="C143" s="15" t="str">
        <f>C5</f>
        <v>Initial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7" customHeight="1" x14ac:dyDescent="0.2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7" customHeight="1" x14ac:dyDescent="0.2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f>$J7</f>
        <v>44468</v>
      </c>
      <c r="K145" s="33">
        <f>$K7</f>
        <v>44475</v>
      </c>
      <c r="L145" s="33">
        <f>$L7</f>
        <v>44482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7" customHeight="1" x14ac:dyDescent="0.2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7" customHeight="1" x14ac:dyDescent="0.2">
      <c r="B147" s="40"/>
      <c r="C147" s="233" t="s">
        <v>120</v>
      </c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41" t="s">
        <v>4</v>
      </c>
      <c r="R147" s="185"/>
    </row>
    <row r="148" spans="2:18" s="191" customFormat="1" ht="10.7" customHeight="1" x14ac:dyDescent="0.2">
      <c r="B148" s="222" t="s">
        <v>121</v>
      </c>
      <c r="C148" s="151">
        <f>'[5]Maj Pel Combined'!I29</f>
        <v>356.81299999999999</v>
      </c>
      <c r="D148" s="152">
        <f>F148-VLOOKUP(B148,[4]quotas!$B$85:$W$120,13,FALSE)</f>
        <v>0</v>
      </c>
      <c r="E148" s="152">
        <f>F148-C148</f>
        <v>0</v>
      </c>
      <c r="F148" s="153">
        <f>VLOOKUP(B148,[4]quotas!$B$46:$W$84,13,FALSE)</f>
        <v>356.81299999999999</v>
      </c>
      <c r="G148" s="154">
        <f>VLOOKUP(B148,[4]Cumulative!$A$56:$X$91,14,FALSE)</f>
        <v>0</v>
      </c>
      <c r="H148" s="183">
        <f>IF(AND(F148=0,G148&gt;0),"n/a",IF(F148=0,0,100*G148/F148))</f>
        <v>0</v>
      </c>
      <c r="I148" s="153">
        <f>IF(F148="*","*",F148-G148)</f>
        <v>356.81299999999999</v>
      </c>
      <c r="J148" s="154">
        <f>VLOOKUP(B148,[4]Weeks!$A$125:$X$161,14,FALSE)-VLOOKUP(B148,[4]Weeks!$A$165:$X$200,14,FALSE)</f>
        <v>0</v>
      </c>
      <c r="K148" s="154">
        <f>VLOOKUP(B148,[4]Weeks!$A$85:$X$121,14,FALSE)-VLOOKUP(B148,[4]Weeks!$A$125:$X$161,14,FALSE)</f>
        <v>0</v>
      </c>
      <c r="L148" s="154">
        <f>VLOOKUP(B148,[4]Weeks!$A$44:$X$81,14,FALSE)-VLOOKUP(B148,[4]Weeks!$A$85:$X$121,14,FALSE)</f>
        <v>0</v>
      </c>
      <c r="M148" s="154">
        <f>VLOOKUP(B148,[4]Weeks!$A$3:$X$39,14,FALSE)-VLOOKUP(B148,[4]Weeks!$A$44:$X$81,14,FALSE)</f>
        <v>0</v>
      </c>
      <c r="N148" s="46">
        <f t="shared" ref="N148:N157" si="29">IF(C148="*","*",IF(C148&gt;0,M148/C148*100,"-"))</f>
        <v>0</v>
      </c>
      <c r="O148" s="45">
        <f t="shared" ref="O148:O158" si="30">IF(C148="*","*",SUM(J148:M148)/4)</f>
        <v>0</v>
      </c>
      <c r="P148" s="41" t="str">
        <f>IF(ISNUMBER(VLOOKUP(B148,[4]CLOSURES!B:BI,13,FALSE)),TEXT(VLOOKUP(B148,[4]CLOSURES!B:BI,13,FALSE),"ddmmm"),IF(F148&lt;=0,0,IF(I148&lt;=0,0,IF(AND(F148&gt;0,O148&lt;=0),"&gt;52",IF(I148/O148&gt;52,"&gt;52", MAX(0,I148/O148-2))))))</f>
        <v>01Jan</v>
      </c>
      <c r="R148" s="185"/>
    </row>
    <row r="149" spans="2:18" s="191" customFormat="1" ht="10.7" customHeight="1" x14ac:dyDescent="0.2">
      <c r="B149" s="222" t="s">
        <v>122</v>
      </c>
      <c r="C149" s="151">
        <f>'[5]Maj Pel Combined'!I30</f>
        <v>0</v>
      </c>
      <c r="D149" s="152">
        <f>F149-VLOOKUP(B149,[4]quotas!$B$85:$W$120,13,FALSE)</f>
        <v>0</v>
      </c>
      <c r="E149" s="152">
        <f t="shared" ref="E149:E162" si="31">F149-C149</f>
        <v>0</v>
      </c>
      <c r="F149" s="153">
        <f>VLOOKUP(B149,[4]quotas!$B$46:$W$84,13,FALSE)</f>
        <v>0</v>
      </c>
      <c r="G149" s="154">
        <f>VLOOKUP(B149,[4]Cumulative!$A$56:$X$91,14,FALSE)</f>
        <v>0</v>
      </c>
      <c r="H149" s="183">
        <f t="shared" ref="H149:H160" si="32">IF(AND(F149=0,G149&gt;0),"n/a",IF(F149=0,0,100*G149/F149))</f>
        <v>0</v>
      </c>
      <c r="I149" s="153">
        <f t="shared" ref="I149:I160" si="33">IF(F149="*","*",F149-G149)</f>
        <v>0</v>
      </c>
      <c r="J149" s="154">
        <f>VLOOKUP(B149,[4]Weeks!$A$125:$X$161,14,FALSE)-VLOOKUP(B149,[4]Weeks!$A$165:$X$200,14,FALSE)</f>
        <v>0</v>
      </c>
      <c r="K149" s="154">
        <f>VLOOKUP(B149,[4]Weeks!$A$85:$X$121,14,FALSE)-VLOOKUP(B149,[4]Weeks!$A$125:$X$161,14,FALSE)</f>
        <v>0</v>
      </c>
      <c r="L149" s="154">
        <f>VLOOKUP(B149,[4]Weeks!$A$44:$X$81,14,FALSE)-VLOOKUP(B149,[4]Weeks!$A$85:$X$121,14,FALSE)</f>
        <v>0</v>
      </c>
      <c r="M149" s="154">
        <f>VLOOKUP(B149,[4]Weeks!$A$3:$X$39,14,FALSE)-VLOOKUP(B149,[4]Weeks!$A$44:$X$81,14,FALSE)</f>
        <v>0</v>
      </c>
      <c r="N149" s="46" t="str">
        <f t="shared" si="29"/>
        <v>-</v>
      </c>
      <c r="O149" s="45">
        <f t="shared" si="30"/>
        <v>0</v>
      </c>
      <c r="P149" s="41" t="str">
        <f>IF(ISNUMBER(VLOOKUP(B149,[4]CLOSURES!B:BI,13,FALSE)),TEXT(VLOOKUP(B149,[4]CLOSURES!B:BI,13,FALSE),"ddmmm"),IF(F149&lt;=0,0,IF(I149&lt;=0,0,IF(AND(F149&gt;0,O149&lt;=0),"&gt;52",IF(I149/O149&gt;52,"&gt;52", MAX(0,I149/O149-2))))))</f>
        <v>01Jan</v>
      </c>
      <c r="R149" s="185"/>
    </row>
    <row r="150" spans="2:18" s="191" customFormat="1" ht="10.7" customHeight="1" x14ac:dyDescent="0.2">
      <c r="B150" s="222" t="s">
        <v>123</v>
      </c>
      <c r="C150" s="151">
        <f>'[5]Maj Pel Combined'!I31</f>
        <v>0</v>
      </c>
      <c r="D150" s="152">
        <f>F150-VLOOKUP(B150,[4]quotas!$B$85:$W$120,13,FALSE)</f>
        <v>0</v>
      </c>
      <c r="E150" s="152">
        <f t="shared" si="31"/>
        <v>0</v>
      </c>
      <c r="F150" s="153">
        <f>VLOOKUP(B150,[4]quotas!$B$46:$W$84,13,FALSE)</f>
        <v>0</v>
      </c>
      <c r="G150" s="154">
        <f>VLOOKUP(B150,[4]Cumulative!$A$56:$X$91,14,FALSE)</f>
        <v>0</v>
      </c>
      <c r="H150" s="183">
        <f t="shared" si="32"/>
        <v>0</v>
      </c>
      <c r="I150" s="153">
        <f t="shared" si="33"/>
        <v>0</v>
      </c>
      <c r="J150" s="154">
        <f>VLOOKUP(B150,[4]Weeks!$A$125:$X$161,14,FALSE)-VLOOKUP(B150,[4]Weeks!$A$165:$X$200,14,FALSE)</f>
        <v>0</v>
      </c>
      <c r="K150" s="154">
        <f>VLOOKUP(B150,[4]Weeks!$A$85:$X$121,14,FALSE)-VLOOKUP(B150,[4]Weeks!$A$125:$X$161,14,FALSE)</f>
        <v>0</v>
      </c>
      <c r="L150" s="154">
        <f>VLOOKUP(B150,[4]Weeks!$A$44:$X$81,14,FALSE)-VLOOKUP(B150,[4]Weeks!$A$85:$X$121,14,FALSE)</f>
        <v>0</v>
      </c>
      <c r="M150" s="154">
        <f>VLOOKUP(B150,[4]Weeks!$A$3:$X$39,14,FALSE)-VLOOKUP(B150,[4]Weeks!$A$44:$X$81,14,FALSE)</f>
        <v>0</v>
      </c>
      <c r="N150" s="46" t="str">
        <f t="shared" si="29"/>
        <v>-</v>
      </c>
      <c r="O150" s="45">
        <f t="shared" si="30"/>
        <v>0</v>
      </c>
      <c r="P150" s="41" t="str">
        <f>IF(ISNUMBER(VLOOKUP(B150,[4]CLOSURES!B:BI,13,FALSE)),TEXT(VLOOKUP(B150,[4]CLOSURES!B:BI,13,FALSE),"ddmmm"),IF(F150&lt;=0,0,IF(I150&lt;=0,0,IF(AND(F150&gt;0,O150&lt;=0),"&gt;52",IF(I150/O150&gt;52,"&gt;52", MAX(0,I150/O150-2))))))</f>
        <v>01Jan</v>
      </c>
      <c r="R150" s="185"/>
    </row>
    <row r="151" spans="2:18" s="191" customFormat="1" ht="10.7" customHeight="1" x14ac:dyDescent="0.2">
      <c r="B151" s="222" t="s">
        <v>124</v>
      </c>
      <c r="C151" s="151">
        <f>'[5]Maj Pel Combined'!I32</f>
        <v>0</v>
      </c>
      <c r="D151" s="152">
        <f>F151-VLOOKUP(B151,[4]quotas!$B$85:$W$120,13,FALSE)</f>
        <v>0</v>
      </c>
      <c r="E151" s="152">
        <f t="shared" si="31"/>
        <v>0</v>
      </c>
      <c r="F151" s="153">
        <f>VLOOKUP(B151,[4]quotas!$B$46:$W$84,13,FALSE)</f>
        <v>0</v>
      </c>
      <c r="G151" s="154">
        <f>VLOOKUP(B151,[4]Cumulative!$A$56:$X$91,14,FALSE)</f>
        <v>0</v>
      </c>
      <c r="H151" s="183">
        <f t="shared" si="32"/>
        <v>0</v>
      </c>
      <c r="I151" s="153">
        <f t="shared" si="33"/>
        <v>0</v>
      </c>
      <c r="J151" s="154">
        <f>VLOOKUP(B151,[4]Weeks!$A$125:$X$161,14,FALSE)-VLOOKUP(B151,[4]Weeks!$A$165:$X$200,14,FALSE)</f>
        <v>0</v>
      </c>
      <c r="K151" s="154">
        <f>VLOOKUP(B151,[4]Weeks!$A$85:$X$121,14,FALSE)-VLOOKUP(B151,[4]Weeks!$A$125:$X$161,14,FALSE)</f>
        <v>0</v>
      </c>
      <c r="L151" s="154">
        <f>VLOOKUP(B151,[4]Weeks!$A$44:$X$81,14,FALSE)-VLOOKUP(B151,[4]Weeks!$A$85:$X$121,14,FALSE)</f>
        <v>0</v>
      </c>
      <c r="M151" s="154">
        <f>VLOOKUP(B151,[4]Weeks!$A$3:$X$39,14,FALSE)-VLOOKUP(B151,[4]Weeks!$A$44:$X$81,14,FALSE)</f>
        <v>0</v>
      </c>
      <c r="N151" s="46" t="str">
        <f t="shared" si="29"/>
        <v>-</v>
      </c>
      <c r="O151" s="45">
        <f t="shared" si="30"/>
        <v>0</v>
      </c>
      <c r="P151" s="41" t="str">
        <f>IF(ISNUMBER(VLOOKUP(B151,[4]CLOSURES!B:BI,13,FALSE)),TEXT(VLOOKUP(B151,[4]CLOSURES!B:BI,13,FALSE),"ddmmm"),IF(F151&lt;=0,0,IF(I151&lt;=0,0,IF(AND(F151&gt;0,O151&lt;=0),"&gt;52",IF(I151/O151&gt;52,"&gt;52", MAX(0,I151/O151-2))))))</f>
        <v>01Jan</v>
      </c>
      <c r="R151" s="185"/>
    </row>
    <row r="152" spans="2:18" s="191" customFormat="1" ht="10.7" customHeight="1" x14ac:dyDescent="0.2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7" customHeight="1" x14ac:dyDescent="0.2">
      <c r="B153" s="162" t="s">
        <v>125</v>
      </c>
      <c r="C153" s="151">
        <f>SUM(C148:C151)</f>
        <v>356.81299999999999</v>
      </c>
      <c r="D153" s="152">
        <f>SUM(D148:D152)</f>
        <v>0</v>
      </c>
      <c r="E153" s="152">
        <f t="shared" si="31"/>
        <v>0</v>
      </c>
      <c r="F153" s="153">
        <f>SUM(F148:F151)</f>
        <v>356.81299999999999</v>
      </c>
      <c r="G153" s="153">
        <f>SUM(G148:G151)</f>
        <v>0</v>
      </c>
      <c r="H153" s="183">
        <f t="shared" si="32"/>
        <v>0</v>
      </c>
      <c r="I153" s="153">
        <f t="shared" si="33"/>
        <v>356.81299999999999</v>
      </c>
      <c r="J153" s="154">
        <f>SUM(J148:J151)</f>
        <v>0</v>
      </c>
      <c r="K153" s="154">
        <f>SUM(K148:K151)</f>
        <v>0</v>
      </c>
      <c r="L153" s="154">
        <f>SUM(L148:L151)</f>
        <v>0</v>
      </c>
      <c r="M153" s="154">
        <f>SUM(M148:M151)</f>
        <v>0</v>
      </c>
      <c r="N153" s="46">
        <f t="shared" si="29"/>
        <v>0</v>
      </c>
      <c r="O153" s="45">
        <f t="shared" si="30"/>
        <v>0</v>
      </c>
      <c r="P153" s="41" t="str">
        <f>IF(ISNUMBER(VLOOKUP(B153,[4]CLOSURES!B:BI,13,FALSE)),TEXT(VLOOKUP(B153,[4]CLOSURES!B:BI,13,FALSE),"ddmmm"),IF(F153&lt;=0,0,IF(I153&lt;=0,0,IF(AND(F153&gt;0,O153&lt;=0),"&gt;52",IF(I153/O153&gt;52,"&gt;52", MAX(0,I153/O153-2))))))</f>
        <v>&gt;52</v>
      </c>
      <c r="R153" s="185"/>
    </row>
    <row r="154" spans="2:18" s="191" customFormat="1" ht="10.7" customHeight="1" x14ac:dyDescent="0.2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7" customHeight="1" x14ac:dyDescent="0.2">
      <c r="B155" s="223" t="s">
        <v>126</v>
      </c>
      <c r="C155" s="151">
        <f>'[5]Maj Pel Combined'!I36</f>
        <v>1027.2850000000001</v>
      </c>
      <c r="D155" s="152">
        <f>F155-VLOOKUP(B155,[4]quotas!$B$85:$W$120,13,FALSE)</f>
        <v>-10</v>
      </c>
      <c r="E155" s="152">
        <f t="shared" si="31"/>
        <v>-1010</v>
      </c>
      <c r="F155" s="153">
        <f>VLOOKUP(B155,[4]quotas!$B$46:$W$84,13,FALSE)</f>
        <v>17.285000000000082</v>
      </c>
      <c r="G155" s="154">
        <f>VLOOKUP(B155,[4]Cumulative!$A$56:$X$91,14,FALSE)</f>
        <v>0.86950000108033354</v>
      </c>
      <c r="H155" s="183">
        <f t="shared" si="32"/>
        <v>5.0303731621656311</v>
      </c>
      <c r="I155" s="153">
        <f t="shared" si="33"/>
        <v>16.415499998919749</v>
      </c>
      <c r="J155" s="154">
        <f>VLOOKUP(B155,[4]Weeks!$A$125:$X$161,14,FALSE)-VLOOKUP(B155,[4]Weeks!$A$165:$X$200,14,FALSE)</f>
        <v>0.17499999999999927</v>
      </c>
      <c r="K155" s="154">
        <f>VLOOKUP(B155,[4]Weeks!$A$85:$X$121,14,FALSE)-VLOOKUP(B155,[4]Weeks!$A$125:$X$161,14,FALSE)</f>
        <v>4.6449999988079083E-2</v>
      </c>
      <c r="L155" s="154">
        <f>VLOOKUP(B155,[4]Weeks!$A$44:$X$81,14,FALSE)-VLOOKUP(B155,[4]Weeks!$A$85:$X$121,14,FALSE)</f>
        <v>1.8450000002980249E-2</v>
      </c>
      <c r="M155" s="154">
        <f>VLOOKUP(B155,[4]Weeks!$A$3:$X$39,14,FALSE)-VLOOKUP(B155,[4]Weeks!$A$44:$X$81,14,FALSE)</f>
        <v>2.4900000005960266E-2</v>
      </c>
      <c r="N155" s="46">
        <f t="shared" si="29"/>
        <v>2.423864848212547E-3</v>
      </c>
      <c r="O155" s="45">
        <f t="shared" si="30"/>
        <v>6.6199999999254716E-2</v>
      </c>
      <c r="P155" s="41" t="str">
        <f>IF(ISNUMBER(VLOOKUP(B155,[4]CLOSURES!B:BI,13,FALSE)),TEXT(VLOOKUP(B155,[4]CLOSURES!B:BI,13,FALSE),"ddmmm"),IF(F155&lt;=0,0,IF(I155&lt;=0,0,IF(AND(F155&gt;0,O155&lt;=0),"&gt;52",IF(I155/O155&gt;52,"&gt;52", MAX(0,I155/O155-2))))))</f>
        <v>01Jan</v>
      </c>
      <c r="R155" s="185"/>
    </row>
    <row r="156" spans="2:18" s="191" customFormat="1" ht="10.7" customHeight="1" x14ac:dyDescent="0.2">
      <c r="B156" s="223" t="s">
        <v>127</v>
      </c>
      <c r="C156" s="151">
        <f>'[5]Maj Pel Combined'!I37</f>
        <v>0</v>
      </c>
      <c r="D156" s="152">
        <f>F156-VLOOKUP(B156,[4]quotas!$B$85:$W$120,13,FALSE)</f>
        <v>0</v>
      </c>
      <c r="E156" s="152">
        <f t="shared" si="31"/>
        <v>0</v>
      </c>
      <c r="F156" s="153">
        <f>VLOOKUP(B156,[4]quotas!$B$46:$W$84,13,FALSE)</f>
        <v>0</v>
      </c>
      <c r="G156" s="154">
        <f>VLOOKUP(B156,[4]Cumulative!$A$56:$X$91,14,FALSE)</f>
        <v>0</v>
      </c>
      <c r="H156" s="183">
        <f t="shared" si="32"/>
        <v>0</v>
      </c>
      <c r="I156" s="153">
        <f t="shared" si="33"/>
        <v>0</v>
      </c>
      <c r="J156" s="154">
        <f>VLOOKUP(B156,[4]Weeks!$A$125:$X$161,14,FALSE)-VLOOKUP(B156,[4]Weeks!$A$165:$X$200,14,FALSE)</f>
        <v>0</v>
      </c>
      <c r="K156" s="154">
        <f>VLOOKUP(B156,[4]Weeks!$A$85:$X$121,14,FALSE)-VLOOKUP(B156,[4]Weeks!$A$125:$X$161,14,FALSE)</f>
        <v>0</v>
      </c>
      <c r="L156" s="154">
        <f>VLOOKUP(B156,[4]Weeks!$A$44:$X$81,14,FALSE)-VLOOKUP(B156,[4]Weeks!$A$85:$X$121,14,FALSE)</f>
        <v>0</v>
      </c>
      <c r="M156" s="154">
        <f>VLOOKUP(B156,[4]Weeks!$A$3:$X$39,14,FALSE)-VLOOKUP(B156,[4]Weeks!$A$44:$X$81,14,FALSE)</f>
        <v>0</v>
      </c>
      <c r="N156" s="46" t="str">
        <f t="shared" si="29"/>
        <v>-</v>
      </c>
      <c r="O156" s="45">
        <f t="shared" si="30"/>
        <v>0</v>
      </c>
      <c r="P156" s="41" t="str">
        <f>IF(ISNUMBER(VLOOKUP(B156,[4]CLOSURES!B:BI,13,FALSE)),TEXT(VLOOKUP(B156,[4]CLOSURES!B:BI,13,FALSE),"ddmmm"),IF(F156&lt;=0,0,IF(I156&lt;=0,0,IF(AND(F156&gt;0,O156&lt;=0),"&gt;52",IF(I156/O156&gt;52,"&gt;52", MAX(0,I156/O156-2))))))</f>
        <v>01Jan</v>
      </c>
      <c r="R156" s="185"/>
    </row>
    <row r="157" spans="2:18" s="191" customFormat="1" ht="10.7" customHeight="1" x14ac:dyDescent="0.2">
      <c r="B157" s="223" t="s">
        <v>128</v>
      </c>
      <c r="C157" s="151">
        <f>'[5]Maj Pel Combined'!I38</f>
        <v>0</v>
      </c>
      <c r="D157" s="152">
        <f>F157-VLOOKUP(B157,[4]quotas!$B$85:$W$120,13,FALSE)</f>
        <v>0</v>
      </c>
      <c r="E157" s="152">
        <f t="shared" si="31"/>
        <v>0</v>
      </c>
      <c r="F157" s="153">
        <f>VLOOKUP(B157,[4]quotas!$B$46:$W$84,13,FALSE)</f>
        <v>0</v>
      </c>
      <c r="G157" s="154">
        <f>VLOOKUP(B157,[4]Cumulative!$A$56:$X$91,14,FALSE)</f>
        <v>0.06</v>
      </c>
      <c r="H157" s="183" t="str">
        <f t="shared" si="32"/>
        <v>n/a</v>
      </c>
      <c r="I157" s="153">
        <f t="shared" si="33"/>
        <v>-0.06</v>
      </c>
      <c r="J157" s="154">
        <f>VLOOKUP(B157,[4]Weeks!$A$125:$X$161,14,FALSE)-VLOOKUP(B157,[4]Weeks!$A$165:$X$200,14,FALSE)</f>
        <v>0</v>
      </c>
      <c r="K157" s="154">
        <f>VLOOKUP(B157,[4]Weeks!$A$85:$X$121,14,FALSE)-VLOOKUP(B157,[4]Weeks!$A$125:$X$161,14,FALSE)</f>
        <v>0</v>
      </c>
      <c r="L157" s="154">
        <f>VLOOKUP(B157,[4]Weeks!$A$44:$X$81,14,FALSE)-VLOOKUP(B157,[4]Weeks!$A$85:$X$121,14,FALSE)</f>
        <v>0</v>
      </c>
      <c r="M157" s="154">
        <f>VLOOKUP(B157,[4]Weeks!$A$3:$X$39,14,FALSE)-VLOOKUP(B157,[4]Weeks!$A$44:$X$81,14,FALSE)</f>
        <v>0</v>
      </c>
      <c r="N157" s="46" t="str">
        <f t="shared" si="29"/>
        <v>-</v>
      </c>
      <c r="O157" s="45">
        <f t="shared" si="30"/>
        <v>0</v>
      </c>
      <c r="P157" s="41" t="str">
        <f>IF(ISNUMBER(VLOOKUP(B157,[4]CLOSURES!B:BI,13,FALSE)),TEXT(VLOOKUP(B157,[4]CLOSURES!B:BI,13,FALSE),"ddmmm"),IF(F157&lt;=0,0,IF(I157&lt;=0,0,IF(AND(F157&gt;0,O157&lt;=0),"&gt;52",IF(I157/O157&gt;52,"&gt;52", MAX(0,I157/O157-2))))))</f>
        <v>01Jan</v>
      </c>
      <c r="R157" s="185"/>
    </row>
    <row r="158" spans="2:18" s="191" customFormat="1" ht="10.7" customHeight="1" x14ac:dyDescent="0.2">
      <c r="B158" s="223" t="s">
        <v>129</v>
      </c>
      <c r="C158" s="151">
        <f>'[5]Maj Pel Combined'!I39</f>
        <v>0</v>
      </c>
      <c r="D158" s="152">
        <f>F158-VLOOKUP(B158,[4]quotas!$B$85:$W$120,13,FALSE)</f>
        <v>0</v>
      </c>
      <c r="E158" s="152">
        <f t="shared" si="31"/>
        <v>0</v>
      </c>
      <c r="F158" s="153">
        <f>VLOOKUP(B158,[4]quotas!$B$46:$W$84,13,FALSE)</f>
        <v>0</v>
      </c>
      <c r="G158" s="154">
        <f>VLOOKUP(B158,[4]Cumulative!$A$56:$X$91,14,FALSE)</f>
        <v>0</v>
      </c>
      <c r="H158" s="183">
        <f t="shared" si="32"/>
        <v>0</v>
      </c>
      <c r="I158" s="153">
        <f t="shared" si="33"/>
        <v>0</v>
      </c>
      <c r="J158" s="154">
        <f>VLOOKUP(B158,[4]Weeks!$A$125:$X$161,14,FALSE)-VLOOKUP(B158,[4]Weeks!$A$165:$X$200,14,FALSE)</f>
        <v>0</v>
      </c>
      <c r="K158" s="154">
        <f>VLOOKUP(B158,[4]Weeks!$A$85:$X$121,14,FALSE)-VLOOKUP(B158,[4]Weeks!$A$125:$X$161,14,FALSE)</f>
        <v>0</v>
      </c>
      <c r="L158" s="154">
        <f>VLOOKUP(B158,[4]Weeks!$A$44:$X$81,14,FALSE)-VLOOKUP(B158,[4]Weeks!$A$85:$X$121,14,FALSE)</f>
        <v>0</v>
      </c>
      <c r="M158" s="154">
        <f>VLOOKUP(B158,[4]Weeks!$A$3:$X$39,14,FALSE)-VLOOKUP(B158,[4]Weeks!$A$44:$X$81,14,FALSE)</f>
        <v>0</v>
      </c>
      <c r="N158" s="48">
        <f>SUM(N148:N157)</f>
        <v>2.423864848212547E-3</v>
      </c>
      <c r="O158" s="45">
        <f t="shared" si="30"/>
        <v>0</v>
      </c>
      <c r="P158" s="41" t="str">
        <f>IF(ISNUMBER(VLOOKUP(B158,[4]CLOSURES!B:BI,13,FALSE)),TEXT(VLOOKUP(B158,[4]CLOSURES!B:BI,13,FALSE),"ddmmm"),IF(F158&lt;=0,0,IF(I158&lt;=0,0,IF(AND(F158&gt;0,O158&lt;=0),"&gt;52",IF(I158/O158&gt;52,"&gt;52", MAX(0,I158/O158-2))))))</f>
        <v>01Jan</v>
      </c>
      <c r="R158" s="185"/>
    </row>
    <row r="159" spans="2:18" s="191" customFormat="1" ht="10.7" customHeight="1" x14ac:dyDescent="0.2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7" customHeight="1" x14ac:dyDescent="0.2">
      <c r="B160" s="196" t="s">
        <v>130</v>
      </c>
      <c r="C160" s="151">
        <f>SUM(C155:C158)</f>
        <v>1027.2850000000001</v>
      </c>
      <c r="D160" s="152">
        <f>SUM(D155:D159)</f>
        <v>-10</v>
      </c>
      <c r="E160" s="152">
        <f t="shared" si="31"/>
        <v>-1010</v>
      </c>
      <c r="F160" s="153">
        <f>SUM(F155:F158)</f>
        <v>17.285000000000082</v>
      </c>
      <c r="G160" s="153">
        <f>SUM(G155:G158)</f>
        <v>0.92950000108033359</v>
      </c>
      <c r="H160" s="183">
        <f t="shared" si="32"/>
        <v>5.3774949440574442</v>
      </c>
      <c r="I160" s="153">
        <f t="shared" si="33"/>
        <v>16.355499998919747</v>
      </c>
      <c r="J160" s="154">
        <f>SUM(J155:J158)</f>
        <v>0.17499999999999927</v>
      </c>
      <c r="K160" s="154">
        <f>SUM(K155:K158)</f>
        <v>4.6449999988079083E-2</v>
      </c>
      <c r="L160" s="154">
        <f>SUM(L155:L158)</f>
        <v>1.8450000002980249E-2</v>
      </c>
      <c r="M160" s="154">
        <f>SUM(M155:M158)</f>
        <v>2.4900000005960266E-2</v>
      </c>
      <c r="N160" s="46">
        <f>IF(C160="*","*",IF(C160&gt;0,M160/C160*100,"-"))</f>
        <v>2.423864848212547E-3</v>
      </c>
      <c r="O160" s="45">
        <f>IF(C160="*","*",SUM(J160:M160)/4)</f>
        <v>6.6199999999254716E-2</v>
      </c>
      <c r="P160" s="41" t="str">
        <f>IF(ISNUMBER(VLOOKUP(B160,[4]CLOSURES!B:BI,13,FALSE)),TEXT(VLOOKUP(B160,[4]CLOSURES!B:BI,13,FALSE),"ddmmm"),IF(F160&lt;=0,0,IF(I160&lt;=0,0,IF(AND(F160&gt;0,O160&lt;=0),"&gt;52",IF(I160/O160&gt;52,"&gt;52", MAX(0,I160/O160-2))))))</f>
        <v>&gt;52</v>
      </c>
      <c r="R160" s="185"/>
    </row>
    <row r="161" spans="2:254" s="191" customFormat="1" ht="10.7" customHeight="1" x14ac:dyDescent="0.2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7" customHeight="1" x14ac:dyDescent="0.2">
      <c r="B162" s="187" t="s">
        <v>91</v>
      </c>
      <c r="C162" s="157">
        <f>SUM(C160+C153)</f>
        <v>1384.098</v>
      </c>
      <c r="D162" s="160">
        <f>D153+D160</f>
        <v>-10</v>
      </c>
      <c r="E162" s="160">
        <f t="shared" si="31"/>
        <v>-1009.9999999999999</v>
      </c>
      <c r="F162" s="156">
        <f>F160+F153</f>
        <v>374.09800000000007</v>
      </c>
      <c r="G162" s="155">
        <f>G153+G160</f>
        <v>0.92950000108033359</v>
      </c>
      <c r="H162" s="188">
        <f>IF(AND(F162=0,G162&gt;0),"n/a",IF(F162=0,0,100*G162/F162))</f>
        <v>0.24846430643316283</v>
      </c>
      <c r="I162" s="156">
        <f>I160+I153</f>
        <v>373.16849999891974</v>
      </c>
      <c r="J162" s="155">
        <f>J153+J160</f>
        <v>0.17499999999999927</v>
      </c>
      <c r="K162" s="155">
        <f>K153+K160</f>
        <v>4.6449999988079083E-2</v>
      </c>
      <c r="L162" s="155">
        <f>L153+L160</f>
        <v>1.8450000002980249E-2</v>
      </c>
      <c r="M162" s="155">
        <f>M153+M160</f>
        <v>2.4900000005960266E-2</v>
      </c>
      <c r="N162" s="58">
        <f>IF(C162="*","*",IF(C162&gt;0,M162/C162*100,"-"))</f>
        <v>1.7990055621755299E-3</v>
      </c>
      <c r="O162" s="52">
        <f>IF(C162="*","*",SUM(J162:M162)/4)</f>
        <v>6.6199999999254716E-2</v>
      </c>
      <c r="P162" s="54" t="str">
        <f>IF(ISNUMBER(VLOOKUP(B162,[4]CLOSURES!B:BI,13,FALSE)),TEXT(VLOOKUP(B162,[4]CLOSURES!B:BI,13,FALSE),"ddmmm"),IF(F162&lt;=0,0,IF(I162&lt;=0,0,IF(AND(F162&gt;0,O162&lt;=0),"&gt;52",IF(I162/O162&gt;52,"&gt;52", MAX(0,I162/O162-2))))))</f>
        <v>&gt;52</v>
      </c>
      <c r="R162" s="185"/>
    </row>
    <row r="163" spans="2:254" ht="10.7" customHeight="1" x14ac:dyDescent="0.2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7" customHeight="1" x14ac:dyDescent="0.2">
      <c r="F164" s="192"/>
      <c r="I164" s="193"/>
      <c r="N164" s="194"/>
      <c r="P164" s="194"/>
      <c r="R164" s="185"/>
    </row>
    <row r="165" spans="2:254" s="191" customFormat="1" ht="10.7" customHeight="1" x14ac:dyDescent="0.2">
      <c r="B165" s="14"/>
      <c r="C165" s="15" t="str">
        <f>C5</f>
        <v>Initial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7" customHeight="1" x14ac:dyDescent="0.2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7" customHeight="1" x14ac:dyDescent="0.2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f>$J7</f>
        <v>44468</v>
      </c>
      <c r="K167" s="33">
        <f>$K7</f>
        <v>44475</v>
      </c>
      <c r="L167" s="33">
        <f>$L7</f>
        <v>44482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7" customHeight="1" x14ac:dyDescent="0.2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7" customHeight="1" x14ac:dyDescent="0.2">
      <c r="B169" s="40"/>
      <c r="C169" s="233" t="s">
        <v>134</v>
      </c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41" t="s">
        <v>4</v>
      </c>
      <c r="R169" s="185"/>
    </row>
    <row r="170" spans="2:254" s="191" customFormat="1" ht="10.7" customHeight="1" x14ac:dyDescent="0.2">
      <c r="B170" s="222" t="s">
        <v>121</v>
      </c>
      <c r="C170" s="151">
        <f>'[5]Maj Pel Combined'!J29</f>
        <v>0.4</v>
      </c>
      <c r="D170" s="152">
        <f>F170-VLOOKUP(B170,[4]quotas!$B$85:$W$120,14,FALSE)</f>
        <v>0</v>
      </c>
      <c r="E170" s="152">
        <f>F170-C170</f>
        <v>0</v>
      </c>
      <c r="F170" s="153">
        <f>VLOOKUP(B170,[4]quotas!$B$46:$W$84,14,FALSE)</f>
        <v>0.4</v>
      </c>
      <c r="G170" s="154">
        <f>VLOOKUP(B170,[4]Cumulative!$A$56:$X$91,15,FALSE)</f>
        <v>0</v>
      </c>
      <c r="H170" s="183">
        <f>IF(AND(F170=0,G170&gt;0),"n/a",IF(F170=0,0,100*G170/F170))</f>
        <v>0</v>
      </c>
      <c r="I170" s="153">
        <f>IF(F170="*","*",F170-G170)</f>
        <v>0.4</v>
      </c>
      <c r="J170" s="154">
        <f>VLOOKUP(B170,[4]Weeks!$A$125:$X$161,15,FALSE)-VLOOKUP(B170,[4]Weeks!$A$165:$X$200,15,FALSE)</f>
        <v>0</v>
      </c>
      <c r="K170" s="154">
        <f>VLOOKUP(B170,[4]Weeks!$A$85:$X$121,15,FALSE)-VLOOKUP(B170,[4]Weeks!$A$125:$X$161,15,FALSE)</f>
        <v>0</v>
      </c>
      <c r="L170" s="154">
        <f>VLOOKUP(B170,[4]Weeks!$A$44:$X$81,15,FALSE)-VLOOKUP(B170,[4]Weeks!$A$85:$X$121,15,FALSE)</f>
        <v>0</v>
      </c>
      <c r="M170" s="154">
        <f>VLOOKUP(B170,[4]Weeks!$A$3:$X$39,15,FALSE)-VLOOKUP(B170,[4]Weeks!$A$44:$X$81,15,FALSE)</f>
        <v>0</v>
      </c>
      <c r="N170" s="46">
        <f t="shared" ref="N170:N179" si="34">IF(C170="*","*",IF(C170&gt;0,M170/C170*100,"-"))</f>
        <v>0</v>
      </c>
      <c r="O170" s="45">
        <f t="shared" ref="O170:O180" si="35">IF(C170="*","*",SUM(J170:M170)/4)</f>
        <v>0</v>
      </c>
      <c r="P170" s="41" t="str">
        <f>IF(ISNUMBER(VLOOKUP(B170,[4]CLOSURES!B:BI,14,FALSE)),TEXT(VLOOKUP(B170,[4]CLOSURES!B:BI,14,FALSE),"ddmmm"),IF(F170&lt;=0,0,IF(I170&lt;=0,0,IF(AND(F170&gt;0,O170&lt;=0),"&gt;52",IF(I170/O170&gt;52,"&gt;52", MAX(0,I170/O170-2))))))</f>
        <v>&gt;52</v>
      </c>
      <c r="R170" s="185"/>
    </row>
    <row r="171" spans="2:254" s="191" customFormat="1" ht="10.7" customHeight="1" x14ac:dyDescent="0.2">
      <c r="B171" s="222" t="s">
        <v>122</v>
      </c>
      <c r="C171" s="151">
        <f>'[5]Maj Pel Combined'!J30</f>
        <v>0</v>
      </c>
      <c r="D171" s="152">
        <f>F171-VLOOKUP(B171,[4]quotas!$B$85:$W$120,14,FALSE)</f>
        <v>0</v>
      </c>
      <c r="E171" s="152">
        <f t="shared" ref="E171:E184" si="36">F171-C171</f>
        <v>0</v>
      </c>
      <c r="F171" s="153">
        <f>VLOOKUP(B171,[4]quotas!$B$46:$W$84,14,FALSE)</f>
        <v>0</v>
      </c>
      <c r="G171" s="154">
        <f>VLOOKUP(B171,[4]Cumulative!$A$56:$X$91,15,FALSE)</f>
        <v>0</v>
      </c>
      <c r="H171" s="183">
        <f t="shared" ref="H171:H182" si="37">IF(AND(F171=0,G171&gt;0),"n/a",IF(F171=0,0,100*G171/F171))</f>
        <v>0</v>
      </c>
      <c r="I171" s="153">
        <f t="shared" ref="I171:I182" si="38">IF(F171="*","*",F171-G171)</f>
        <v>0</v>
      </c>
      <c r="J171" s="154">
        <f>VLOOKUP(B171,[4]Weeks!$A$125:$X$161,15,FALSE)-VLOOKUP(B171,[4]Weeks!$A$165:$X$200,15,FALSE)</f>
        <v>0</v>
      </c>
      <c r="K171" s="154">
        <f>VLOOKUP(B171,[4]Weeks!$A$85:$X$121,15,FALSE)-VLOOKUP(B171,[4]Weeks!$A$125:$X$161,15,FALSE)</f>
        <v>0</v>
      </c>
      <c r="L171" s="154">
        <f>VLOOKUP(B171,[4]Weeks!$A$44:$X$81,15,FALSE)-VLOOKUP(B171,[4]Weeks!$A$85:$X$121,15,FALSE)</f>
        <v>0</v>
      </c>
      <c r="M171" s="154">
        <f>VLOOKUP(B171,[4]Weeks!$A$3:$X$39,15,FALSE)-VLOOKUP(B171,[4]Weeks!$A$44:$X$81,15,FALSE)</f>
        <v>0</v>
      </c>
      <c r="N171" s="46" t="str">
        <f t="shared" si="34"/>
        <v>-</v>
      </c>
      <c r="O171" s="45">
        <f t="shared" si="35"/>
        <v>0</v>
      </c>
      <c r="P171" s="41">
        <f>IF(ISNUMBER(VLOOKUP(B171,[4]CLOSURES!B:BI,14,FALSE)),TEXT(VLOOKUP(B171,[4]CLOSURES!B:BI,14,FALSE),"ddmmm"),IF(F171&lt;=0,0,IF(I171&lt;=0,0,IF(AND(F171&gt;0,O171&lt;=0),"&gt;52",IF(I171/O171&gt;52,"&gt;52", MAX(0,I171/O171-2))))))</f>
        <v>0</v>
      </c>
      <c r="R171" s="185"/>
    </row>
    <row r="172" spans="2:254" s="191" customFormat="1" ht="10.7" customHeight="1" x14ac:dyDescent="0.2">
      <c r="B172" s="222" t="s">
        <v>123</v>
      </c>
      <c r="C172" s="151">
        <f>'[5]Maj Pel Combined'!J31</f>
        <v>0</v>
      </c>
      <c r="D172" s="152">
        <f>F172-VLOOKUP(B172,[4]quotas!$B$85:$W$120,14,FALSE)</f>
        <v>0</v>
      </c>
      <c r="E172" s="152">
        <f t="shared" si="36"/>
        <v>0</v>
      </c>
      <c r="F172" s="153">
        <f>VLOOKUP(B172,[4]quotas!$B$46:$W$84,14,FALSE)</f>
        <v>0</v>
      </c>
      <c r="G172" s="154">
        <f>VLOOKUP(B172,[4]Cumulative!$A$56:$X$91,15,FALSE)</f>
        <v>0</v>
      </c>
      <c r="H172" s="183">
        <f t="shared" si="37"/>
        <v>0</v>
      </c>
      <c r="I172" s="153">
        <f t="shared" si="38"/>
        <v>0</v>
      </c>
      <c r="J172" s="154">
        <f>VLOOKUP(B172,[4]Weeks!$A$125:$X$161,15,FALSE)-VLOOKUP(B172,[4]Weeks!$A$165:$X$200,15,FALSE)</f>
        <v>0</v>
      </c>
      <c r="K172" s="154">
        <f>VLOOKUP(B172,[4]Weeks!$A$85:$X$121,15,FALSE)-VLOOKUP(B172,[4]Weeks!$A$125:$X$161,15,FALSE)</f>
        <v>0</v>
      </c>
      <c r="L172" s="154">
        <f>VLOOKUP(B172,[4]Weeks!$A$44:$X$81,15,FALSE)-VLOOKUP(B172,[4]Weeks!$A$85:$X$121,15,FALSE)</f>
        <v>0</v>
      </c>
      <c r="M172" s="154">
        <f>VLOOKUP(B172,[4]Weeks!$A$3:$X$39,15,FALSE)-VLOOKUP(B172,[4]Weeks!$A$44:$X$81,15,FALSE)</f>
        <v>0</v>
      </c>
      <c r="N172" s="46" t="str">
        <f t="shared" si="34"/>
        <v>-</v>
      </c>
      <c r="O172" s="45">
        <f t="shared" si="35"/>
        <v>0</v>
      </c>
      <c r="P172" s="41">
        <f>IF(ISNUMBER(VLOOKUP(B172,[4]CLOSURES!B:BI,14,FALSE)),TEXT(VLOOKUP(B172,[4]CLOSURES!B:BI,14,FALSE),"ddmmm"),IF(F172&lt;=0,0,IF(I172&lt;=0,0,IF(AND(F172&gt;0,O172&lt;=0),"&gt;52",IF(I172/O172&gt;52,"&gt;52", MAX(0,I172/O172-2))))))</f>
        <v>0</v>
      </c>
      <c r="R172" s="185"/>
    </row>
    <row r="173" spans="2:254" s="191" customFormat="1" ht="10.7" customHeight="1" x14ac:dyDescent="0.2">
      <c r="B173" s="222" t="s">
        <v>124</v>
      </c>
      <c r="C173" s="151">
        <f>'[5]Maj Pel Combined'!J32</f>
        <v>0</v>
      </c>
      <c r="D173" s="152">
        <f>F173-VLOOKUP(B173,[4]quotas!$B$85:$W$120,14,FALSE)</f>
        <v>0</v>
      </c>
      <c r="E173" s="152">
        <f t="shared" si="36"/>
        <v>0</v>
      </c>
      <c r="F173" s="153">
        <f>VLOOKUP(B173,[4]quotas!$B$46:$W$84,14,FALSE)</f>
        <v>0</v>
      </c>
      <c r="G173" s="154">
        <f>VLOOKUP(B173,[4]Cumulative!$A$56:$X$91,15,FALSE)</f>
        <v>0</v>
      </c>
      <c r="H173" s="183">
        <f t="shared" si="37"/>
        <v>0</v>
      </c>
      <c r="I173" s="153">
        <f t="shared" si="38"/>
        <v>0</v>
      </c>
      <c r="J173" s="154">
        <f>VLOOKUP(B173,[4]Weeks!$A$125:$X$161,15,FALSE)-VLOOKUP(B173,[4]Weeks!$A$165:$X$200,15,FALSE)</f>
        <v>0</v>
      </c>
      <c r="K173" s="154">
        <f>VLOOKUP(B173,[4]Weeks!$A$85:$X$121,15,FALSE)-VLOOKUP(B173,[4]Weeks!$A$125:$X$161,15,FALSE)</f>
        <v>0</v>
      </c>
      <c r="L173" s="154">
        <f>VLOOKUP(B173,[4]Weeks!$A$44:$X$81,15,FALSE)-VLOOKUP(B173,[4]Weeks!$A$85:$X$121,15,FALSE)</f>
        <v>0</v>
      </c>
      <c r="M173" s="154">
        <f>VLOOKUP(B173,[4]Weeks!$A$3:$X$39,15,FALSE)-VLOOKUP(B173,[4]Weeks!$A$44:$X$81,15,FALSE)</f>
        <v>0</v>
      </c>
      <c r="N173" s="46" t="str">
        <f t="shared" si="34"/>
        <v>-</v>
      </c>
      <c r="O173" s="45">
        <f t="shared" si="35"/>
        <v>0</v>
      </c>
      <c r="P173" s="41">
        <f>IF(ISNUMBER(VLOOKUP(B173,[4]CLOSURES!B:BI,14,FALSE)),TEXT(VLOOKUP(B173,[4]CLOSURES!B:BI,14,FALSE),"ddmmm"),IF(F173&lt;=0,0,IF(I173&lt;=0,0,IF(AND(F173&gt;0,O173&lt;=0),"&gt;52",IF(I173/O173&gt;52,"&gt;52", MAX(0,I173/O173-2))))))</f>
        <v>0</v>
      </c>
      <c r="R173" s="185"/>
    </row>
    <row r="174" spans="2:254" s="191" customFormat="1" ht="10.7" customHeight="1" x14ac:dyDescent="0.2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7" customHeight="1" x14ac:dyDescent="0.2">
      <c r="B175" s="162" t="s">
        <v>125</v>
      </c>
      <c r="C175" s="151">
        <f>SUM(C170:C173)</f>
        <v>0.4</v>
      </c>
      <c r="D175" s="152">
        <f>SUM(D170:D174)</f>
        <v>0</v>
      </c>
      <c r="E175" s="152">
        <f t="shared" si="36"/>
        <v>0</v>
      </c>
      <c r="F175" s="153">
        <f>SUM(F170:F173)</f>
        <v>0.4</v>
      </c>
      <c r="G175" s="153">
        <f>SUM(G170:G173)</f>
        <v>0</v>
      </c>
      <c r="H175" s="183">
        <f t="shared" si="37"/>
        <v>0</v>
      </c>
      <c r="I175" s="153">
        <f t="shared" si="38"/>
        <v>0.4</v>
      </c>
      <c r="J175" s="154">
        <f>SUM(J170:J173)</f>
        <v>0</v>
      </c>
      <c r="K175" s="154">
        <f>SUM(K170:K173)</f>
        <v>0</v>
      </c>
      <c r="L175" s="154">
        <f>SUM(L170:L173)</f>
        <v>0</v>
      </c>
      <c r="M175" s="154">
        <f>SUM(M170:M173)</f>
        <v>0</v>
      </c>
      <c r="N175" s="46">
        <f t="shared" si="34"/>
        <v>0</v>
      </c>
      <c r="O175" s="45">
        <f t="shared" si="35"/>
        <v>0</v>
      </c>
      <c r="P175" s="41" t="str">
        <f>IF(ISNUMBER(VLOOKUP(B175,[4]CLOSURES!B:BI,14,FALSE)),TEXT(VLOOKUP(B175,[4]CLOSURES!B:BI,14,FALSE),"ddmmm"),IF(F175&lt;=0,0,IF(I175&lt;=0,0,IF(AND(F175&gt;0,O175&lt;=0),"&gt;52",IF(I175/O175&gt;52,"&gt;52", MAX(0,I175/O175-2))))))</f>
        <v>&gt;52</v>
      </c>
      <c r="R175" s="185"/>
    </row>
    <row r="176" spans="2:254" s="191" customFormat="1" ht="10.7" customHeight="1" x14ac:dyDescent="0.2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7" customHeight="1" x14ac:dyDescent="0.2">
      <c r="B177" s="223" t="s">
        <v>126</v>
      </c>
      <c r="C177" s="151">
        <f>'[5]Maj Pel Combined'!J36</f>
        <v>0.93899999999999995</v>
      </c>
      <c r="D177" s="152">
        <f>F177-VLOOKUP(B177,[4]quotas!$B$85:$W$120,14,FALSE)</f>
        <v>0</v>
      </c>
      <c r="E177" s="152">
        <f t="shared" si="36"/>
        <v>15</v>
      </c>
      <c r="F177" s="153">
        <f>VLOOKUP(B177,[4]quotas!$B$46:$W$84,14,FALSE)</f>
        <v>15.939</v>
      </c>
      <c r="G177" s="154">
        <f>VLOOKUP(B177,[4]Cumulative!$A$56:$X$91,15,FALSE)</f>
        <v>1.7793300024121996</v>
      </c>
      <c r="H177" s="183">
        <f t="shared" si="37"/>
        <v>11.163372874158979</v>
      </c>
      <c r="I177" s="153">
        <f t="shared" si="38"/>
        <v>14.1596699975878</v>
      </c>
      <c r="J177" s="154">
        <f>VLOOKUP(B177,[4]Weeks!$A$125:$X$161,15,FALSE)-VLOOKUP(B177,[4]Weeks!$A$165:$X$200,15,FALSE)</f>
        <v>1.1499999880789868E-2</v>
      </c>
      <c r="K177" s="154">
        <f>VLOOKUP(B177,[4]Weeks!$A$85:$X$121,15,FALSE)-VLOOKUP(B177,[4]Weeks!$A$125:$X$161,15,FALSE)</f>
        <v>5.3890000164508622E-2</v>
      </c>
      <c r="L177" s="154">
        <f>VLOOKUP(B177,[4]Weeks!$A$44:$X$81,15,FALSE)-VLOOKUP(B177,[4]Weeks!$A$85:$X$121,15,FALSE)</f>
        <v>2.5500000000000522E-2</v>
      </c>
      <c r="M177" s="154">
        <f>VLOOKUP(B177,[4]Weeks!$A$3:$X$39,15,FALSE)-VLOOKUP(B177,[4]Weeks!$A$44:$X$81,15,FALSE)</f>
        <v>5.9500001072883224E-2</v>
      </c>
      <c r="N177" s="46">
        <f t="shared" si="34"/>
        <v>6.3365283357703115</v>
      </c>
      <c r="O177" s="45">
        <f t="shared" si="35"/>
        <v>3.7597500279545559E-2</v>
      </c>
      <c r="P177" s="41" t="str">
        <f>IF(ISNUMBER(VLOOKUP(B177,[4]CLOSURES!B:BI,14,FALSE)),TEXT(VLOOKUP(B177,[4]CLOSURES!B:BI,14,FALSE),"ddmmm"),IF(F177&lt;=0,0,IF(I177&lt;=0,0,IF(AND(F177&gt;0,O177&lt;=0),"&gt;52",IF(I177/O177&gt;52,"&gt;52", MAX(0,I177/O177-2))))))</f>
        <v>&gt;52</v>
      </c>
      <c r="R177" s="185"/>
    </row>
    <row r="178" spans="2:18" s="191" customFormat="1" ht="10.7" customHeight="1" x14ac:dyDescent="0.2">
      <c r="B178" s="223" t="s">
        <v>127</v>
      </c>
      <c r="C178" s="151">
        <f>'[5]Maj Pel Combined'!J37</f>
        <v>0</v>
      </c>
      <c r="D178" s="152">
        <f>F178-VLOOKUP(B178,[4]quotas!$B$85:$W$120,14,FALSE)</f>
        <v>0</v>
      </c>
      <c r="E178" s="152">
        <f t="shared" si="36"/>
        <v>0</v>
      </c>
      <c r="F178" s="153">
        <f>VLOOKUP(B178,[4]quotas!$B$46:$W$84,14,FALSE)</f>
        <v>0</v>
      </c>
      <c r="G178" s="154">
        <f>VLOOKUP(B178,[4]Cumulative!$A$56:$X$91,15,FALSE)</f>
        <v>0</v>
      </c>
      <c r="H178" s="183">
        <f t="shared" si="37"/>
        <v>0</v>
      </c>
      <c r="I178" s="153">
        <f t="shared" si="38"/>
        <v>0</v>
      </c>
      <c r="J178" s="154">
        <f>VLOOKUP(B178,[4]Weeks!$A$125:$X$161,15,FALSE)-VLOOKUP(B178,[4]Weeks!$A$165:$X$200,15,FALSE)</f>
        <v>0</v>
      </c>
      <c r="K178" s="154">
        <f>VLOOKUP(B178,[4]Weeks!$A$85:$X$121,15,FALSE)-VLOOKUP(B178,[4]Weeks!$A$125:$X$161,15,FALSE)</f>
        <v>0</v>
      </c>
      <c r="L178" s="154">
        <f>VLOOKUP(B178,[4]Weeks!$A$44:$X$81,15,FALSE)-VLOOKUP(B178,[4]Weeks!$A$85:$X$121,15,FALSE)</f>
        <v>0</v>
      </c>
      <c r="M178" s="154">
        <f>VLOOKUP(B178,[4]Weeks!$A$3:$X$39,15,FALSE)-VLOOKUP(B178,[4]Weeks!$A$44:$X$81,15,FALSE)</f>
        <v>0</v>
      </c>
      <c r="N178" s="46" t="str">
        <f t="shared" si="34"/>
        <v>-</v>
      </c>
      <c r="O178" s="45">
        <f t="shared" si="35"/>
        <v>0</v>
      </c>
      <c r="P178" s="41">
        <f>IF(ISNUMBER(VLOOKUP(B178,[4]CLOSURES!B:BI,14,FALSE)),TEXT(VLOOKUP(B178,[4]CLOSURES!B:BI,14,FALSE),"ddmmm"),IF(F178&lt;=0,0,IF(I178&lt;=0,0,IF(AND(F178&gt;0,O178&lt;=0),"&gt;52",IF(I178/O178&gt;52,"&gt;52", MAX(0,I178/O178-2))))))</f>
        <v>0</v>
      </c>
      <c r="R178" s="185"/>
    </row>
    <row r="179" spans="2:18" s="191" customFormat="1" ht="10.7" customHeight="1" x14ac:dyDescent="0.2">
      <c r="B179" s="223" t="s">
        <v>128</v>
      </c>
      <c r="C179" s="151">
        <f>'[5]Maj Pel Combined'!J38</f>
        <v>0</v>
      </c>
      <c r="D179" s="152">
        <f>F179-VLOOKUP(B179,[4]quotas!$B$85:$W$120,14,FALSE)</f>
        <v>0</v>
      </c>
      <c r="E179" s="152">
        <f t="shared" si="36"/>
        <v>0</v>
      </c>
      <c r="F179" s="153">
        <f>VLOOKUP(B179,[4]quotas!$B$46:$W$84,14,FALSE)</f>
        <v>0</v>
      </c>
      <c r="G179" s="154">
        <f>VLOOKUP(B179,[4]Cumulative!$A$56:$X$91,15,FALSE)</f>
        <v>0</v>
      </c>
      <c r="H179" s="183">
        <f t="shared" si="37"/>
        <v>0</v>
      </c>
      <c r="I179" s="153">
        <f t="shared" si="38"/>
        <v>0</v>
      </c>
      <c r="J179" s="154">
        <f>VLOOKUP(B179,[4]Weeks!$A$125:$X$161,15,FALSE)-VLOOKUP(B179,[4]Weeks!$A$165:$X$200,15,FALSE)</f>
        <v>0</v>
      </c>
      <c r="K179" s="154">
        <f>VLOOKUP(B179,[4]Weeks!$A$85:$X$121,15,FALSE)-VLOOKUP(B179,[4]Weeks!$A$125:$X$161,15,FALSE)</f>
        <v>0</v>
      </c>
      <c r="L179" s="154">
        <f>VLOOKUP(B179,[4]Weeks!$A$44:$X$81,15,FALSE)-VLOOKUP(B179,[4]Weeks!$A$85:$X$121,15,FALSE)</f>
        <v>0</v>
      </c>
      <c r="M179" s="154">
        <f>VLOOKUP(B179,[4]Weeks!$A$3:$X$39,15,FALSE)-VLOOKUP(B179,[4]Weeks!$A$44:$X$81,15,FALSE)</f>
        <v>0</v>
      </c>
      <c r="N179" s="46" t="str">
        <f t="shared" si="34"/>
        <v>-</v>
      </c>
      <c r="O179" s="45">
        <f t="shared" si="35"/>
        <v>0</v>
      </c>
      <c r="P179" s="41">
        <f>IF(ISNUMBER(VLOOKUP(B179,[4]CLOSURES!B:BI,14,FALSE)),TEXT(VLOOKUP(B179,[4]CLOSURES!B:BI,14,FALSE),"ddmmm"),IF(F179&lt;=0,0,IF(I179&lt;=0,0,IF(AND(F179&gt;0,O179&lt;=0),"&gt;52",IF(I179/O179&gt;52,"&gt;52", MAX(0,I179/O179-2))))))</f>
        <v>0</v>
      </c>
      <c r="R179" s="185"/>
    </row>
    <row r="180" spans="2:18" s="191" customFormat="1" ht="10.7" customHeight="1" x14ac:dyDescent="0.2">
      <c r="B180" s="223" t="s">
        <v>129</v>
      </c>
      <c r="C180" s="151">
        <f>'[5]Maj Pel Combined'!J39</f>
        <v>0</v>
      </c>
      <c r="D180" s="152">
        <f>F180-VLOOKUP(B180,[4]quotas!$B$85:$W$120,14,FALSE)</f>
        <v>0</v>
      </c>
      <c r="E180" s="152">
        <f t="shared" si="36"/>
        <v>0</v>
      </c>
      <c r="F180" s="153">
        <f>VLOOKUP(B180,[4]quotas!$B$46:$W$84,14,FALSE)</f>
        <v>0</v>
      </c>
      <c r="G180" s="154">
        <f>VLOOKUP(B180,[4]Cumulative!$A$56:$X$91,15,FALSE)</f>
        <v>0</v>
      </c>
      <c r="H180" s="183">
        <f t="shared" si="37"/>
        <v>0</v>
      </c>
      <c r="I180" s="153">
        <f t="shared" si="38"/>
        <v>0</v>
      </c>
      <c r="J180" s="154">
        <f>VLOOKUP(B180,[4]Weeks!$A$125:$X$161,15,FALSE)-VLOOKUP(B180,[4]Weeks!$A$165:$X$200,15,FALSE)</f>
        <v>0</v>
      </c>
      <c r="K180" s="154">
        <f>VLOOKUP(B180,[4]Weeks!$A$85:$X$121,15,FALSE)-VLOOKUP(B180,[4]Weeks!$A$125:$X$161,15,FALSE)</f>
        <v>0</v>
      </c>
      <c r="L180" s="154">
        <f>VLOOKUP(B180,[4]Weeks!$A$44:$X$81,15,FALSE)-VLOOKUP(B180,[4]Weeks!$A$85:$X$121,15,FALSE)</f>
        <v>0</v>
      </c>
      <c r="M180" s="154">
        <f>VLOOKUP(B180,[4]Weeks!$A$3:$X$39,15,FALSE)-VLOOKUP(B180,[4]Weeks!$A$44:$X$81,15,FALSE)</f>
        <v>0</v>
      </c>
      <c r="N180" s="48">
        <f>SUM(N170:N179)</f>
        <v>6.3365283357703115</v>
      </c>
      <c r="O180" s="45">
        <f t="shared" si="35"/>
        <v>0</v>
      </c>
      <c r="P180" s="41">
        <f>IF(ISNUMBER(VLOOKUP(B180,[4]CLOSURES!B:BI,14,FALSE)),TEXT(VLOOKUP(B180,[4]CLOSURES!B:BI,14,FALSE),"ddmmm"),IF(F180&lt;=0,0,IF(I180&lt;=0,0,IF(AND(F180&gt;0,O180&lt;=0),"&gt;52",IF(I180/O180&gt;52,"&gt;52", MAX(0,I180/O180-2))))))</f>
        <v>0</v>
      </c>
      <c r="R180" s="185"/>
    </row>
    <row r="181" spans="2:18" s="191" customFormat="1" ht="10.7" customHeight="1" x14ac:dyDescent="0.2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7" customHeight="1" x14ac:dyDescent="0.2">
      <c r="B182" s="196" t="s">
        <v>130</v>
      </c>
      <c r="C182" s="151">
        <f>SUM(C177:C180)</f>
        <v>0.93899999999999995</v>
      </c>
      <c r="D182" s="152">
        <f>SUM(D177:D181)</f>
        <v>0</v>
      </c>
      <c r="E182" s="152">
        <f t="shared" si="36"/>
        <v>15</v>
      </c>
      <c r="F182" s="153">
        <f>SUM(F177:F180)</f>
        <v>15.939</v>
      </c>
      <c r="G182" s="153">
        <f>SUM(G177:G180)</f>
        <v>1.7793300024121996</v>
      </c>
      <c r="H182" s="183">
        <f t="shared" si="37"/>
        <v>11.163372874158979</v>
      </c>
      <c r="I182" s="153">
        <f t="shared" si="38"/>
        <v>14.1596699975878</v>
      </c>
      <c r="J182" s="154">
        <f>SUM(J177:J180)</f>
        <v>1.1499999880789868E-2</v>
      </c>
      <c r="K182" s="154">
        <f>SUM(K177:K180)</f>
        <v>5.3890000164508622E-2</v>
      </c>
      <c r="L182" s="154">
        <f>SUM(L177:L180)</f>
        <v>2.5500000000000522E-2</v>
      </c>
      <c r="M182" s="154">
        <f>SUM(M177:M180)</f>
        <v>5.9500001072883224E-2</v>
      </c>
      <c r="N182" s="46">
        <f>IF(C182="*","*",IF(C182&gt;0,M182/C182*100,"-"))</f>
        <v>6.3365283357703115</v>
      </c>
      <c r="O182" s="45">
        <f>IF(C182="*","*",SUM(J182:M182)/4)</f>
        <v>3.7597500279545559E-2</v>
      </c>
      <c r="P182" s="41" t="str">
        <f>IF(ISNUMBER(VLOOKUP(B182,[4]CLOSURES!B:BI,14,FALSE)),TEXT(VLOOKUP(B182,[4]CLOSURES!B:BI,14,FALSE),"ddmmm"),IF(F182&lt;=0,0,IF(I182&lt;=0,0,IF(AND(F182&gt;0,O182&lt;=0),"&gt;52",IF(I182/O182&gt;52,"&gt;52", MAX(0,I182/O182-2))))))</f>
        <v>&gt;52</v>
      </c>
      <c r="R182" s="185"/>
    </row>
    <row r="183" spans="2:18" s="191" customFormat="1" ht="10.7" customHeight="1" x14ac:dyDescent="0.2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7" customHeight="1" x14ac:dyDescent="0.2">
      <c r="B184" s="187" t="s">
        <v>91</v>
      </c>
      <c r="C184" s="157">
        <f>SUM(C182+C175)</f>
        <v>1.339</v>
      </c>
      <c r="D184" s="160">
        <f>D175+D182</f>
        <v>0</v>
      </c>
      <c r="E184" s="160">
        <f t="shared" si="36"/>
        <v>14.999999999999998</v>
      </c>
      <c r="F184" s="156">
        <f>F182+F175</f>
        <v>16.338999999999999</v>
      </c>
      <c r="G184" s="155">
        <f>G182+G175</f>
        <v>1.7793300024121996</v>
      </c>
      <c r="H184" s="188">
        <f>IF(AND(F184=0,G184&gt;0),"n/a",IF(F184=0,0,100*G184/F184))</f>
        <v>10.890078966963705</v>
      </c>
      <c r="I184" s="156">
        <f>IF(F184="*","*",F184-G184)</f>
        <v>14.559669997587799</v>
      </c>
      <c r="J184" s="155">
        <f>J175+J182</f>
        <v>1.1499999880789868E-2</v>
      </c>
      <c r="K184" s="155">
        <f>K175+K182</f>
        <v>5.3890000164508622E-2</v>
      </c>
      <c r="L184" s="155">
        <f>L175+L182</f>
        <v>2.5500000000000522E-2</v>
      </c>
      <c r="M184" s="155">
        <f>M175+M182</f>
        <v>5.9500001072883224E-2</v>
      </c>
      <c r="N184" s="58">
        <f>IF(C184="*","*",IF(C184&gt;0,M184/C184*100,"-"))</f>
        <v>4.4436147179151027</v>
      </c>
      <c r="O184" s="52">
        <f>IF(C184="*","*",SUM(J184:M184)/4)</f>
        <v>3.7597500279545559E-2</v>
      </c>
      <c r="P184" s="54">
        <v>0</v>
      </c>
      <c r="R184" s="185"/>
    </row>
    <row r="185" spans="2:18" s="191" customFormat="1" ht="10.7" customHeight="1" x14ac:dyDescent="0.2">
      <c r="F185" s="192"/>
      <c r="I185" s="192"/>
      <c r="N185" s="194"/>
      <c r="P185" s="194"/>
      <c r="R185" s="185"/>
    </row>
    <row r="186" spans="2:18" s="191" customFormat="1" x14ac:dyDescent="0.2">
      <c r="F186" s="192"/>
      <c r="I186" s="192"/>
      <c r="N186" s="194"/>
      <c r="P186" s="194"/>
      <c r="R186" s="185"/>
    </row>
    <row r="187" spans="2:18" s="191" customFormat="1" ht="10.7" customHeight="1" x14ac:dyDescent="0.2">
      <c r="B187" s="14"/>
      <c r="C187" s="15" t="str">
        <f>C5</f>
        <v>Initial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7" customHeight="1" x14ac:dyDescent="0.2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7" customHeight="1" x14ac:dyDescent="0.2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f>$J7</f>
        <v>44468</v>
      </c>
      <c r="K189" s="33">
        <f>$K7</f>
        <v>44475</v>
      </c>
      <c r="L189" s="33">
        <f>$L7</f>
        <v>44482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7" customHeight="1" x14ac:dyDescent="0.2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7" customHeight="1" x14ac:dyDescent="0.2">
      <c r="B191" s="40"/>
      <c r="C191" s="233" t="s">
        <v>96</v>
      </c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41" t="s">
        <v>4</v>
      </c>
      <c r="R191" s="185"/>
    </row>
    <row r="192" spans="2:18" s="191" customFormat="1" ht="10.7" customHeight="1" x14ac:dyDescent="0.2">
      <c r="B192" s="222" t="s">
        <v>121</v>
      </c>
      <c r="C192" s="151">
        <f>'[5]Maj Pel Combined'!O29</f>
        <v>0</v>
      </c>
      <c r="D192" s="154">
        <f>D468+D508+D548+D588+D628</f>
        <v>0</v>
      </c>
      <c r="E192" s="152">
        <f>F192-C192</f>
        <v>0</v>
      </c>
      <c r="F192" s="153">
        <f>VLOOKUP(B192,[4]quotas!$B$46:$W$84,16,FALSE)</f>
        <v>0</v>
      </c>
      <c r="G192" s="154">
        <f>VLOOKUP(B192,[4]Cumulative!$A$56:$AE$91,25,FALSE)+VLOOKUP(B192,[4]Cumulative!$A$56:$AE$91,27,FALSE)+VLOOKUP(B192,[4]Cumulative!$A$56:$AE$91,26,FALSE)</f>
        <v>0</v>
      </c>
      <c r="H192" s="183">
        <f>IF(AND(F192=0,G192&gt;0),"n/a",IF(F192=0,0,100*G192/F192))</f>
        <v>0</v>
      </c>
      <c r="I192" s="153">
        <f>IF(F192="*","*",F192-G192)</f>
        <v>0</v>
      </c>
      <c r="J192" s="154">
        <f>VLOOKUP(B192,[4]Weeks!$A$125:$X$161,17,FALSE)-VLOOKUP(B192,[4]Weeks!$A$165:$X$200,17,FALSE)</f>
        <v>0</v>
      </c>
      <c r="K192" s="154">
        <f>VLOOKUP(B192,[4]Weeks!$A$85:$X$121,17,FALSE)-VLOOKUP(B192,[4]Weeks!$A$125:$X$161,17,FALSE)</f>
        <v>0</v>
      </c>
      <c r="L192" s="154">
        <f>VLOOKUP(B192,[4]Weeks!$A$44:$X$81,17,FALSE)-VLOOKUP(B192,[4]Weeks!$A$85:$X$121,17,FALSE)</f>
        <v>0</v>
      </c>
      <c r="M192" s="154">
        <f>VLOOKUP(B192,[4]Weeks!$A$3:$X$39,17,FALSE)-VLOOKUP(B192,[4]Weeks!$A$44:$X$81,17,FALSE)</f>
        <v>0</v>
      </c>
      <c r="N192" s="46" t="str">
        <f t="shared" ref="N192:N201" si="39">IF(C192="*","*",IF(C192&gt;0,M192/C192*100,"-"))</f>
        <v>-</v>
      </c>
      <c r="O192" s="45">
        <f t="shared" ref="O192:O201" si="40">IF(C192="*","*",SUM(J192:M192)/4)</f>
        <v>0</v>
      </c>
      <c r="P192" s="41" t="str">
        <f>IF(ISNUMBER(VLOOKUP(B192,[4]CLOSURES!B:BI,16,FALSE)),TEXT(VLOOKUP(B192,[4]CLOSURES!B:BI,16,FALSE),"ddmmm"),IF(F192&lt;=0,0,IF(I192&lt;=0,0,IF(AND(F192&gt;0,O192&lt;=0),"&gt;52",IF(I192/O192&gt;52,"&gt;52", MAX(0,I192/O192-2))))))</f>
        <v>01Jan</v>
      </c>
      <c r="R192" s="185"/>
    </row>
    <row r="193" spans="2:254" s="191" customFormat="1" ht="10.7" customHeight="1" x14ac:dyDescent="0.2">
      <c r="B193" s="222" t="s">
        <v>122</v>
      </c>
      <c r="C193" s="151">
        <f>'[5]Maj Pel Combined'!O30</f>
        <v>0</v>
      </c>
      <c r="D193" s="154">
        <f>D469+D509+D549+D589+D629</f>
        <v>0</v>
      </c>
      <c r="E193" s="152">
        <f t="shared" ref="E193:E206" si="41">F193-C193</f>
        <v>0</v>
      </c>
      <c r="F193" s="153">
        <f>VLOOKUP(B193,[4]quotas!$B$46:$W$84,16,FALSE)</f>
        <v>0</v>
      </c>
      <c r="G193" s="154">
        <f>VLOOKUP(B193,[4]Cumulative!$A$56:$X$91,17,FALSE)</f>
        <v>0</v>
      </c>
      <c r="H193" s="183">
        <f t="shared" ref="H193:H204" si="42">IF(AND(F193=0,G193&gt;0),"n/a",IF(F193=0,0,100*G193/F193))</f>
        <v>0</v>
      </c>
      <c r="I193" s="153">
        <f t="shared" ref="I193:I204" si="43">IF(F193="*","*",F193-G193)</f>
        <v>0</v>
      </c>
      <c r="J193" s="154">
        <f>VLOOKUP(B193,[4]Weeks!$A$125:$X$161,17,FALSE)-VLOOKUP(B193,[4]Weeks!$A$165:$X$200,17,FALSE)</f>
        <v>0</v>
      </c>
      <c r="K193" s="154">
        <f>VLOOKUP(B193,[4]Weeks!$A$85:$X$121,17,FALSE)-VLOOKUP(B193,[4]Weeks!$A$125:$X$161,17,FALSE)</f>
        <v>0</v>
      </c>
      <c r="L193" s="154">
        <f>VLOOKUP(B193,[4]Weeks!$A$44:$X$81,17,FALSE)-VLOOKUP(B193,[4]Weeks!$A$85:$X$121,17,FALSE)</f>
        <v>0</v>
      </c>
      <c r="M193" s="154">
        <f>VLOOKUP(B193,[4]Weeks!$A$3:$X$39,17,FALSE)-VLOOKUP(B193,[4]Weeks!$A$44:$X$81,17,FALSE)</f>
        <v>0</v>
      </c>
      <c r="N193" s="46"/>
      <c r="O193" s="45">
        <f t="shared" si="40"/>
        <v>0</v>
      </c>
      <c r="P193" s="41" t="str">
        <f>IF(ISNUMBER(VLOOKUP(B193,[4]CLOSURES!B:BI,16,FALSE)),TEXT(VLOOKUP(B193,[4]CLOSURES!B:BI,16,FALSE),"ddmmm"),IF(F193&lt;=0,0,IF(I193&lt;=0,0,IF(AND(F193&gt;0,O193&lt;=0),"&gt;52",IF(I193/O193&gt;52,"&gt;52", MAX(0,I193/O193-2))))))</f>
        <v>01Jan</v>
      </c>
      <c r="R193" s="185"/>
    </row>
    <row r="194" spans="2:254" s="191" customFormat="1" ht="10.7" customHeight="1" x14ac:dyDescent="0.2">
      <c r="B194" s="222" t="s">
        <v>123</v>
      </c>
      <c r="C194" s="151">
        <f>'[5]Maj Pel Combined'!O31</f>
        <v>0</v>
      </c>
      <c r="D194" s="154">
        <f>D470+D510+D550+D590+D630</f>
        <v>0</v>
      </c>
      <c r="E194" s="152">
        <f t="shared" si="41"/>
        <v>0</v>
      </c>
      <c r="F194" s="153">
        <f>VLOOKUP(B194,[4]quotas!$B$46:$W$84,16,FALSE)</f>
        <v>0</v>
      </c>
      <c r="G194" s="154">
        <f>VLOOKUP(B194,[4]Cumulative!$A$56:$X$91,17,FALSE)</f>
        <v>0</v>
      </c>
      <c r="H194" s="183">
        <f t="shared" si="42"/>
        <v>0</v>
      </c>
      <c r="I194" s="153">
        <f t="shared" si="43"/>
        <v>0</v>
      </c>
      <c r="J194" s="154">
        <f>VLOOKUP(B194,[4]Weeks!$A$125:$X$161,17,FALSE)-VLOOKUP(B194,[4]Weeks!$A$165:$X$200,17,FALSE)</f>
        <v>0</v>
      </c>
      <c r="K194" s="154">
        <f>VLOOKUP(B194,[4]Weeks!$A$85:$X$121,17,FALSE)-VLOOKUP(B194,[4]Weeks!$A$125:$X$161,17,FALSE)</f>
        <v>0</v>
      </c>
      <c r="L194" s="154">
        <f>VLOOKUP(B194,[4]Weeks!$A$44:$X$81,17,FALSE)-VLOOKUP(B194,[4]Weeks!$A$85:$X$121,17,FALSE)</f>
        <v>0</v>
      </c>
      <c r="M194" s="154">
        <f>VLOOKUP(B194,[4]Weeks!$A$3:$X$39,17,FALSE)-VLOOKUP(B194,[4]Weeks!$A$44:$X$81,17,FALSE)</f>
        <v>0</v>
      </c>
      <c r="N194" s="46" t="str">
        <f t="shared" si="39"/>
        <v>-</v>
      </c>
      <c r="O194" s="45">
        <f t="shared" si="40"/>
        <v>0</v>
      </c>
      <c r="P194" s="41" t="str">
        <f>IF(ISNUMBER(VLOOKUP(B194,[4]CLOSURES!B:BI,16,FALSE)),TEXT(VLOOKUP(B194,[4]CLOSURES!B:BI,16,FALSE),"ddmmm"),IF(F194&lt;=0,0,IF(I194&lt;=0,0,IF(AND(F194&gt;0,O194&lt;=0),"&gt;52",IF(I194/O194&gt;52,"&gt;52", MAX(0,I194/O194-2))))))</f>
        <v>01Jan</v>
      </c>
      <c r="R194" s="185"/>
    </row>
    <row r="195" spans="2:254" s="191" customFormat="1" ht="10.7" customHeight="1" x14ac:dyDescent="0.2">
      <c r="B195" s="222" t="s">
        <v>124</v>
      </c>
      <c r="C195" s="151">
        <f>'[5]Maj Pel Combined'!O32</f>
        <v>0</v>
      </c>
      <c r="D195" s="154">
        <f>D471+D511+D551+D591+D631</f>
        <v>0</v>
      </c>
      <c r="E195" s="152">
        <f t="shared" si="41"/>
        <v>0</v>
      </c>
      <c r="F195" s="153">
        <f>VLOOKUP(B195,[4]quotas!$B$46:$W$84,16,FALSE)</f>
        <v>0</v>
      </c>
      <c r="G195" s="154">
        <f>VLOOKUP(B195,[4]Cumulative!$A$56:$X$91,17,FALSE)</f>
        <v>0</v>
      </c>
      <c r="H195" s="183">
        <f t="shared" si="42"/>
        <v>0</v>
      </c>
      <c r="I195" s="153">
        <f t="shared" si="43"/>
        <v>0</v>
      </c>
      <c r="J195" s="154">
        <f>VLOOKUP(B195,[4]Weeks!$A$125:$X$161,17,FALSE)-VLOOKUP(B195,[4]Weeks!$A$165:$X$200,17,FALSE)</f>
        <v>0</v>
      </c>
      <c r="K195" s="154">
        <f>VLOOKUP(B195,[4]Weeks!$A$85:$X$121,17,FALSE)-VLOOKUP(B195,[4]Weeks!$A$125:$X$161,17,FALSE)</f>
        <v>0</v>
      </c>
      <c r="L195" s="154">
        <f>VLOOKUP(B195,[4]Weeks!$A$44:$X$81,17,FALSE)-VLOOKUP(B195,[4]Weeks!$A$85:$X$121,17,FALSE)</f>
        <v>0</v>
      </c>
      <c r="M195" s="154">
        <f>VLOOKUP(B195,[4]Weeks!$A$3:$X$39,17,FALSE)-VLOOKUP(B195,[4]Weeks!$A$44:$X$81,17,FALSE)</f>
        <v>0</v>
      </c>
      <c r="N195" s="46" t="str">
        <f t="shared" si="39"/>
        <v>-</v>
      </c>
      <c r="O195" s="45">
        <f t="shared" si="40"/>
        <v>0</v>
      </c>
      <c r="P195" s="41" t="str">
        <f>IF(ISNUMBER(VLOOKUP(B195,[4]CLOSURES!B:BI,16,FALSE)),TEXT(VLOOKUP(B195,[4]CLOSURES!B:BI,16,FALSE),"ddmmm"),IF(F195&lt;=0,0,IF(I195&lt;=0,0,IF(AND(F195&gt;0,O195&lt;=0),"&gt;52",IF(I195/O195&gt;52,"&gt;52", MAX(0,I195/O195-2))))))</f>
        <v>01Jan</v>
      </c>
      <c r="R195" s="185"/>
    </row>
    <row r="196" spans="2:254" s="191" customFormat="1" ht="10.7" customHeight="1" x14ac:dyDescent="0.2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7" customHeight="1" x14ac:dyDescent="0.2">
      <c r="B197" s="162" t="s">
        <v>125</v>
      </c>
      <c r="C197" s="151">
        <f>SUM(C192:C195)</f>
        <v>0</v>
      </c>
      <c r="D197" s="152">
        <f>SUM(D192:D196)</f>
        <v>0</v>
      </c>
      <c r="E197" s="152">
        <f t="shared" si="41"/>
        <v>0</v>
      </c>
      <c r="F197" s="153">
        <f>SUM(F192:F195)</f>
        <v>0</v>
      </c>
      <c r="G197" s="153">
        <f>SUM(G192:G195)</f>
        <v>0</v>
      </c>
      <c r="H197" s="183">
        <f t="shared" si="42"/>
        <v>0</v>
      </c>
      <c r="I197" s="153">
        <f t="shared" si="43"/>
        <v>0</v>
      </c>
      <c r="J197" s="154">
        <f>SUM(J192:J195)</f>
        <v>0</v>
      </c>
      <c r="K197" s="154">
        <f>SUM(K192:K195)</f>
        <v>0</v>
      </c>
      <c r="L197" s="154">
        <f>SUM(L192:L195)</f>
        <v>0</v>
      </c>
      <c r="M197" s="154">
        <f>SUM(M192:M195)</f>
        <v>0</v>
      </c>
      <c r="N197" s="46" t="str">
        <f t="shared" si="39"/>
        <v>-</v>
      </c>
      <c r="O197" s="45">
        <f t="shared" si="40"/>
        <v>0</v>
      </c>
      <c r="P197" s="41">
        <f>IF(ISNUMBER(VLOOKUP(B197,[4]CLOSURES!B:BI,16,FALSE)),TEXT(VLOOKUP(B197,[4]CLOSURES!B:BI,16,FALSE),"ddmmm"),IF(F197&lt;=0,0,IF(I197&lt;=0,0,IF(AND(F197&gt;0,O197&lt;=0),"&gt;52",IF(I197/O197&gt;52,"&gt;52", MAX(0,I197/O197-2))))))</f>
        <v>0</v>
      </c>
      <c r="R197" s="185"/>
    </row>
    <row r="198" spans="2:254" s="191" customFormat="1" ht="10.7" customHeight="1" x14ac:dyDescent="0.2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7" customHeight="1" x14ac:dyDescent="0.2">
      <c r="B199" s="223" t="s">
        <v>126</v>
      </c>
      <c r="C199" s="151">
        <f>'[5]Maj Pel Combined'!O36</f>
        <v>0</v>
      </c>
      <c r="D199" s="154">
        <f>D475+D515+D555+D595+D635</f>
        <v>0</v>
      </c>
      <c r="E199" s="152">
        <f t="shared" si="41"/>
        <v>0</v>
      </c>
      <c r="F199" s="153">
        <f>VLOOKUP(B199,[4]quotas!$B$46:$W$84,16,FALSE)</f>
        <v>0</v>
      </c>
      <c r="G199" s="154">
        <f>VLOOKUP(B199,[4]Cumulative!$A$56:$X$91,17,FALSE)</f>
        <v>0</v>
      </c>
      <c r="H199" s="183">
        <f t="shared" si="42"/>
        <v>0</v>
      </c>
      <c r="I199" s="153">
        <f t="shared" si="43"/>
        <v>0</v>
      </c>
      <c r="J199" s="154">
        <f>VLOOKUP(B199,[4]Weeks!$A$125:$X$161,17,FALSE)-VLOOKUP(B199,[4]Weeks!$A$165:$X$200,17,FALSE)</f>
        <v>0</v>
      </c>
      <c r="K199" s="154">
        <f>VLOOKUP(B199,[4]Weeks!$A$85:$X$121,17,FALSE)-VLOOKUP(B199,[4]Weeks!$A$125:$X$161,17,FALSE)</f>
        <v>0</v>
      </c>
      <c r="L199" s="154">
        <f>VLOOKUP(B199,[4]Weeks!$A$44:$X$81,17,FALSE)-VLOOKUP(B199,[4]Weeks!$A$85:$X$121,17,FALSE)</f>
        <v>0</v>
      </c>
      <c r="M199" s="154">
        <f>VLOOKUP(B199,[4]Weeks!$A$3:$X$39,17,FALSE)-VLOOKUP(B199,[4]Weeks!$A$44:$X$81,17,FALSE)</f>
        <v>0</v>
      </c>
      <c r="N199" s="46" t="str">
        <f t="shared" si="39"/>
        <v>-</v>
      </c>
      <c r="O199" s="45">
        <f t="shared" si="40"/>
        <v>0</v>
      </c>
      <c r="P199" s="41" t="str">
        <f>IF(ISNUMBER(VLOOKUP(B199,[4]CLOSURES!B:BI,16,FALSE)),TEXT(VLOOKUP(B199,[4]CLOSURES!B:BI,16,FALSE),"ddmmm"),IF(F199&lt;=0,0,IF(I199&lt;=0,0,IF(AND(F199&gt;0,O199&lt;=0),"&gt;52",IF(I199/O199&gt;52,"&gt;52", MAX(0,I199/O199-2))))))</f>
        <v>01Jan</v>
      </c>
      <c r="R199" s="185"/>
    </row>
    <row r="200" spans="2:254" s="191" customFormat="1" ht="10.7" customHeight="1" x14ac:dyDescent="0.2">
      <c r="B200" s="223" t="s">
        <v>127</v>
      </c>
      <c r="C200" s="151">
        <f>'[5]Maj Pel Combined'!O37</f>
        <v>0</v>
      </c>
      <c r="D200" s="154">
        <f>D476+D516+D556+D596+D636</f>
        <v>0</v>
      </c>
      <c r="E200" s="152">
        <f t="shared" si="41"/>
        <v>0</v>
      </c>
      <c r="F200" s="153">
        <f>VLOOKUP(B200,[4]quotas!$B$46:$W$84,16,FALSE)</f>
        <v>0</v>
      </c>
      <c r="G200" s="154">
        <f>VLOOKUP(B200,[4]Cumulative!$A$56:$X$91,17,FALSE)</f>
        <v>0</v>
      </c>
      <c r="H200" s="183">
        <f t="shared" si="42"/>
        <v>0</v>
      </c>
      <c r="I200" s="153">
        <f t="shared" si="43"/>
        <v>0</v>
      </c>
      <c r="J200" s="154">
        <f>VLOOKUP(B200,[4]Weeks!$A$125:$X$161,17,FALSE)-VLOOKUP(B200,[4]Weeks!$A$165:$X$200,17,FALSE)</f>
        <v>0</v>
      </c>
      <c r="K200" s="154">
        <f>VLOOKUP(B200,[4]Weeks!$A$85:$X$121,17,FALSE)-VLOOKUP(B200,[4]Weeks!$A$125:$X$161,17,FALSE)</f>
        <v>0</v>
      </c>
      <c r="L200" s="154">
        <f>VLOOKUP(B200,[4]Weeks!$A$44:$X$81,17,FALSE)-VLOOKUP(B200,[4]Weeks!$A$85:$X$121,17,FALSE)</f>
        <v>0</v>
      </c>
      <c r="M200" s="154">
        <f>VLOOKUP(B200,[4]Weeks!$A$3:$X$39,17,FALSE)-VLOOKUP(B200,[4]Weeks!$A$44:$X$81,17,FALSE)</f>
        <v>0</v>
      </c>
      <c r="N200" s="46" t="str">
        <f t="shared" si="39"/>
        <v>-</v>
      </c>
      <c r="O200" s="45">
        <f t="shared" si="40"/>
        <v>0</v>
      </c>
      <c r="P200" s="41" t="str">
        <f>IF(ISNUMBER(VLOOKUP(B200,[4]CLOSURES!B:BI,16,FALSE)),TEXT(VLOOKUP(B200,[4]CLOSURES!B:BI,16,FALSE),"ddmmm"),IF(F200&lt;=0,0,IF(I200&lt;=0,0,IF(AND(F200&gt;0,O200&lt;=0),"&gt;52",IF(I200/O200&gt;52,"&gt;52", MAX(0,I200/O200-2))))))</f>
        <v>01Jan</v>
      </c>
      <c r="R200" s="185"/>
    </row>
    <row r="201" spans="2:254" s="191" customFormat="1" ht="10.7" customHeight="1" x14ac:dyDescent="0.2">
      <c r="B201" s="223" t="s">
        <v>128</v>
      </c>
      <c r="C201" s="151">
        <f>'[5]Maj Pel Combined'!O38</f>
        <v>0</v>
      </c>
      <c r="D201" s="154">
        <f>D477+D517+D557+D597+D637</f>
        <v>0</v>
      </c>
      <c r="E201" s="152">
        <f t="shared" si="41"/>
        <v>0</v>
      </c>
      <c r="F201" s="153">
        <f>VLOOKUP(B201,[4]quotas!$B$46:$W$84,16,FALSE)</f>
        <v>0</v>
      </c>
      <c r="G201" s="154">
        <f>VLOOKUP(B201,[4]Cumulative!$A$56:$X$91,17,FALSE)</f>
        <v>0</v>
      </c>
      <c r="H201" s="183">
        <f t="shared" si="42"/>
        <v>0</v>
      </c>
      <c r="I201" s="153">
        <f t="shared" si="43"/>
        <v>0</v>
      </c>
      <c r="J201" s="154">
        <f>VLOOKUP(B201,[4]Weeks!$A$125:$X$161,17,FALSE)-VLOOKUP(B201,[4]Weeks!$A$165:$X$200,17,FALSE)</f>
        <v>0</v>
      </c>
      <c r="K201" s="154">
        <f>VLOOKUP(B201,[4]Weeks!$A$85:$X$121,17,FALSE)-VLOOKUP(B201,[4]Weeks!$A$125:$X$161,17,FALSE)</f>
        <v>0</v>
      </c>
      <c r="L201" s="154">
        <f>VLOOKUP(B201,[4]Weeks!$A$44:$X$81,17,FALSE)-VLOOKUP(B201,[4]Weeks!$A$85:$X$121,17,FALSE)</f>
        <v>0</v>
      </c>
      <c r="M201" s="154">
        <f>VLOOKUP(B201,[4]Weeks!$A$3:$X$39,17,FALSE)-VLOOKUP(B201,[4]Weeks!$A$44:$X$81,17,FALSE)</f>
        <v>0</v>
      </c>
      <c r="N201" s="46" t="str">
        <f t="shared" si="39"/>
        <v>-</v>
      </c>
      <c r="O201" s="45">
        <f t="shared" si="40"/>
        <v>0</v>
      </c>
      <c r="P201" s="41" t="str">
        <f>IF(ISNUMBER(VLOOKUP(B201,[4]CLOSURES!B:BI,16,FALSE)),TEXT(VLOOKUP(B201,[4]CLOSURES!B:BI,16,FALSE),"ddmmm"),IF(F201&lt;=0,0,IF(I201&lt;=0,0,IF(AND(F201&gt;0,O201&lt;=0),"&gt;52",IF(I201/O201&gt;52,"&gt;52", MAX(0,I201/O201-2))))))</f>
        <v>01Jan</v>
      </c>
      <c r="R201" s="185"/>
    </row>
    <row r="202" spans="2:254" s="191" customFormat="1" ht="10.7" customHeight="1" x14ac:dyDescent="0.2">
      <c r="B202" s="223" t="s">
        <v>129</v>
      </c>
      <c r="C202" s="151">
        <f>'[5]Maj Pel Combined'!O39</f>
        <v>0</v>
      </c>
      <c r="D202" s="154">
        <f>D478+D518+D558+D598+D638</f>
        <v>0</v>
      </c>
      <c r="E202" s="152">
        <f t="shared" si="41"/>
        <v>0</v>
      </c>
      <c r="F202" s="153">
        <f>VLOOKUP(B202,[4]quotas!$B$46:$W$84,16,FALSE)</f>
        <v>0</v>
      </c>
      <c r="G202" s="154">
        <f>VLOOKUP(B202,[4]Cumulative!$A$56:$X$91,17,FALSE)</f>
        <v>0</v>
      </c>
      <c r="H202" s="183">
        <f t="shared" si="42"/>
        <v>0</v>
      </c>
      <c r="I202" s="153">
        <f t="shared" si="43"/>
        <v>0</v>
      </c>
      <c r="J202" s="154">
        <f>VLOOKUP(B202,[4]Weeks!$A$125:$X$161,17,FALSE)-VLOOKUP(B202,[4]Weeks!$A$165:$X$200,17,FALSE)</f>
        <v>0</v>
      </c>
      <c r="K202" s="154">
        <f>VLOOKUP(B202,[4]Weeks!$A$85:$X$121,17,FALSE)-VLOOKUP(B202,[4]Weeks!$A$125:$X$161,17,FALSE)</f>
        <v>0</v>
      </c>
      <c r="L202" s="154">
        <f>VLOOKUP(B202,[4]Weeks!$A$44:$X$81,17,FALSE)-VLOOKUP(B202,[4]Weeks!$A$85:$X$121,17,FALSE)</f>
        <v>0</v>
      </c>
      <c r="M202" s="154">
        <f>VLOOKUP(B202,[4]Weeks!$A$3:$X$39,17,FALSE)-VLOOKUP(B202,[4]Weeks!$A$44:$X$81,17,FALSE)</f>
        <v>0</v>
      </c>
      <c r="N202" s="48">
        <f>SUM(N192:N201)</f>
        <v>0</v>
      </c>
      <c r="O202" s="45">
        <f>SUM(O192:O201)</f>
        <v>0</v>
      </c>
      <c r="P202" s="41" t="str">
        <f>IF(ISNUMBER(VLOOKUP(B202,[4]CLOSURES!B:BI,16,FALSE)),TEXT(VLOOKUP(B202,[4]CLOSURES!B:BI,16,FALSE),"ddmmm"),IF(F202&lt;=0,0,IF(I202&lt;=0,0,IF(AND(F202&gt;0,O202&lt;=0),"&gt;52",IF(I202/O202&gt;52,"&gt;52", MAX(0,I202/O202-2))))))</f>
        <v>01Jan</v>
      </c>
      <c r="R202" s="185"/>
    </row>
    <row r="203" spans="2:254" s="191" customFormat="1" ht="10.7" customHeight="1" x14ac:dyDescent="0.2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7" customHeight="1" x14ac:dyDescent="0.2">
      <c r="B204" s="196" t="s">
        <v>130</v>
      </c>
      <c r="C204" s="151">
        <f>SUM(C199:C202)</f>
        <v>0</v>
      </c>
      <c r="D204" s="152">
        <f>SUM(D199:D203)</f>
        <v>0</v>
      </c>
      <c r="E204" s="152">
        <f t="shared" si="41"/>
        <v>0</v>
      </c>
      <c r="F204" s="153">
        <f>SUM(F199:F202)</f>
        <v>0</v>
      </c>
      <c r="G204" s="153">
        <f>SUM(G199:G202)</f>
        <v>0</v>
      </c>
      <c r="H204" s="183">
        <f t="shared" si="42"/>
        <v>0</v>
      </c>
      <c r="I204" s="153">
        <f t="shared" si="43"/>
        <v>0</v>
      </c>
      <c r="J204" s="154">
        <f>SUM(J199:J202)</f>
        <v>0</v>
      </c>
      <c r="K204" s="154">
        <f>SUM(K199:K202)</f>
        <v>0</v>
      </c>
      <c r="L204" s="154">
        <f>SUM(L199:L202)</f>
        <v>0</v>
      </c>
      <c r="M204" s="154">
        <f>SUM(M199:M202)</f>
        <v>0</v>
      </c>
      <c r="N204" s="46" t="str">
        <f>IF(C204="*","*",IF(C204&gt;0,M204/C204*100,"-"))</f>
        <v>-</v>
      </c>
      <c r="O204" s="45">
        <f>IF(C204="*","*",SUM(J204:M204)/4)</f>
        <v>0</v>
      </c>
      <c r="P204" s="41">
        <f>IF(ISNUMBER(VLOOKUP(B204,[4]CLOSURES!B:BI,16,FALSE)),TEXT(VLOOKUP(B204,[4]CLOSURES!B:BI,16,FALSE),"ddmmm"),IF(F204&lt;=0,0,IF(I204&lt;=0,0,IF(AND(F204&gt;0,O204&lt;=0),"&gt;52",IF(I204/O204&gt;52,"&gt;52", MAX(0,I204/O204-2))))))</f>
        <v>0</v>
      </c>
      <c r="R204" s="185"/>
    </row>
    <row r="205" spans="2:254" s="191" customFormat="1" ht="10.7" customHeight="1" x14ac:dyDescent="0.2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tr">
        <f>IF(C205="*","*",IF(C205&gt;0,M205/C205*100,"-"))</f>
        <v>-</v>
      </c>
      <c r="O205" s="45">
        <f>IF(C205="*","*",SUM(J205:M205)/4)</f>
        <v>0</v>
      </c>
      <c r="P205" s="41">
        <f>IF(ISNUMBER(VLOOKUP(B205,[4]CLOSURES!B:BI,16,FALSE)),TEXT(VLOOKUP(B205,[4]CLOSURES!B:BI,16,FALSE),"ddmmm"),IF(F205&lt;=0,0,IF(I205&lt;=0,0,IF(AND(F205&gt;0,O205&lt;=0),"&gt;52",IF(I205/O205&gt;52,"&gt;52", MAX(0,I205/O205-2))))))</f>
        <v>0</v>
      </c>
      <c r="R205" s="185"/>
    </row>
    <row r="206" spans="2:254" s="191" customFormat="1" ht="10.7" customHeight="1" x14ac:dyDescent="0.2">
      <c r="B206" s="187" t="s">
        <v>91</v>
      </c>
      <c r="C206" s="157">
        <f>SUM(C204+C197)</f>
        <v>0</v>
      </c>
      <c r="D206" s="160">
        <f>D197+D204</f>
        <v>0</v>
      </c>
      <c r="E206" s="160">
        <f t="shared" si="41"/>
        <v>0</v>
      </c>
      <c r="F206" s="156">
        <f>F204+F197</f>
        <v>0</v>
      </c>
      <c r="G206" s="155">
        <f>G197+G204</f>
        <v>0</v>
      </c>
      <c r="H206" s="188">
        <f>IF(AND(F206=0,G206&gt;0),"n/a",IF(F206=0,0,100*G206/F206))</f>
        <v>0</v>
      </c>
      <c r="I206" s="156">
        <f>I204+I197</f>
        <v>0</v>
      </c>
      <c r="J206" s="155">
        <f>J197+J204</f>
        <v>0</v>
      </c>
      <c r="K206" s="155">
        <f>K197+K204</f>
        <v>0</v>
      </c>
      <c r="L206" s="155">
        <f>L197+L204</f>
        <v>0</v>
      </c>
      <c r="M206" s="155">
        <f>M197+M204</f>
        <v>0</v>
      </c>
      <c r="N206" s="58" t="str">
        <f>IF(C206="*","*",IF(C206&gt;0,M206/C206*100,"-"))</f>
        <v>-</v>
      </c>
      <c r="O206" s="52">
        <f>IF(C206="*","*",SUM(J206:M206)/4)</f>
        <v>0</v>
      </c>
      <c r="P206" s="54" t="str">
        <f>IF(ISNUMBER(VLOOKUP(B206,[4]CLOSURES!B:BI,16,FALSE)),TEXT(VLOOKUP(B206,[4]CLOSURES!B:BI,16,FALSE),"ddmmm"),IF(F206&lt;=0,0,IF(I206&lt;=0,0,IF(AND(F206&gt;0,O206&lt;=0),"&gt;52",IF(I206/O206&gt;52,"&gt;52", MAX(0,I206/O206-2))))))</f>
        <v>01Jan</v>
      </c>
      <c r="R206" s="185"/>
    </row>
    <row r="207" spans="2:254" ht="10.7" customHeight="1" x14ac:dyDescent="0.2">
      <c r="B207" s="198" t="str">
        <f>B69</f>
        <v>Number of Weeks to end of year is 10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7" customHeight="1" x14ac:dyDescent="0.2">
      <c r="B208" s="198" t="str">
        <f>B70</f>
        <v>Estimated weeks left after applying 4 week average to amount left, and subtracting 2 weeks to account for lags in recording.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7" customHeight="1" x14ac:dyDescent="0.2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7" customHeight="1" x14ac:dyDescent="0.2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7" customHeight="1" x14ac:dyDescent="0.2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7" customHeight="1" x14ac:dyDescent="0.2">
      <c r="B212" s="14"/>
      <c r="C212" s="15" t="str">
        <f>C5</f>
        <v>Initial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7" customHeight="1" x14ac:dyDescent="0.2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7" customHeight="1" x14ac:dyDescent="0.2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f>$J7</f>
        <v>44468</v>
      </c>
      <c r="K214" s="33">
        <f>$K7</f>
        <v>44475</v>
      </c>
      <c r="L214" s="33">
        <f>$L7</f>
        <v>44482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7" customHeight="1" x14ac:dyDescent="0.2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7" customHeight="1" x14ac:dyDescent="0.2">
      <c r="B216" s="40"/>
      <c r="C216" s="233" t="s">
        <v>135</v>
      </c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41" t="s">
        <v>4</v>
      </c>
      <c r="R216" s="185"/>
    </row>
    <row r="217" spans="2:18" s="191" customFormat="1" ht="10.7" customHeight="1" x14ac:dyDescent="0.2">
      <c r="B217" s="222" t="s">
        <v>121</v>
      </c>
      <c r="C217" s="151">
        <f>'[5]Maj Pel Combined'!K29</f>
        <v>0</v>
      </c>
      <c r="D217" s="152">
        <f>F217-VLOOKUP(B217,[4]quotas!$B$85:$W$120,19,FALSE)</f>
        <v>0</v>
      </c>
      <c r="E217" s="152">
        <f>F217-C217</f>
        <v>0</v>
      </c>
      <c r="F217" s="153">
        <f>VLOOKUP(B217,[4]quotas!$B$46:$W$84,19,FALSE)</f>
        <v>0</v>
      </c>
      <c r="G217" s="154">
        <f>VLOOKUP(B217,[4]Cumulative!$A$56:$X$91,20,FALSE)</f>
        <v>0</v>
      </c>
      <c r="H217" s="183">
        <f>IF(AND(F217=0,G217&gt;0),"n/a",IF(F217=0,0,100*G217/F217))</f>
        <v>0</v>
      </c>
      <c r="I217" s="153">
        <f>IF(F217="*","*",F217-G217)</f>
        <v>0</v>
      </c>
      <c r="J217" s="154">
        <f>VLOOKUP(B217,[4]Weeks!$A$125:$X$161,20,FALSE)-VLOOKUP(B217,[4]Weeks!$A$165:$X$200,20,FALSE)</f>
        <v>0</v>
      </c>
      <c r="K217" s="154">
        <f>VLOOKUP(B217,[4]Weeks!$A$85:$X$121,20,FALSE)-VLOOKUP(B217,[4]Weeks!$A$125:$X$161,20,FALSE)</f>
        <v>0</v>
      </c>
      <c r="L217" s="154">
        <f>VLOOKUP(B217,[4]Weeks!$A$44:$X$81,20,FALSE)-VLOOKUP(B217,[4]Weeks!$A$85:$X$121,20,FALSE)</f>
        <v>0</v>
      </c>
      <c r="M217" s="154">
        <f>VLOOKUP(B217,[4]Weeks!$A$3:$X$39,20,FALSE)-VLOOKUP(B217,[4]Weeks!$A$44:$X$81,20,FALSE)</f>
        <v>0</v>
      </c>
      <c r="N217" s="46" t="str">
        <f t="shared" ref="N217:N226" si="44">IF(C217="*","*",IF(C217&gt;0,M217/C217*100,"-"))</f>
        <v>-</v>
      </c>
      <c r="O217" s="45">
        <f t="shared" ref="O217:O226" si="45">IF(C217="*","*",SUM(J217:M217)/4)</f>
        <v>0</v>
      </c>
      <c r="P217" s="41" t="str">
        <f>IF(ISNUMBER(VLOOKUP(B217,[4]CLOSURES!B:BI,19,FALSE)),TEXT(VLOOKUP(B217,[4]CLOSURES!B:BI,19,FALSE),"ddmmm"),IF(F217&lt;=0,0,IF(I217&lt;=0,0,IF(AND(F217&gt;0,O217&lt;=0),"&gt;52",IF(I217/O217&gt;52,"&gt;52", MAX(0,I217/O217-2))))))</f>
        <v>01Jan</v>
      </c>
      <c r="R217" s="185"/>
    </row>
    <row r="218" spans="2:18" s="191" customFormat="1" ht="10.7" customHeight="1" x14ac:dyDescent="0.2">
      <c r="B218" s="222" t="s">
        <v>122</v>
      </c>
      <c r="C218" s="151">
        <f>'[5]Maj Pel Combined'!K30</f>
        <v>0</v>
      </c>
      <c r="D218" s="152">
        <f>F218-VLOOKUP(B218,[4]quotas!$B$85:$W$120,19,FALSE)</f>
        <v>0</v>
      </c>
      <c r="E218" s="152">
        <f t="shared" ref="E218:E231" si="46">F218-C218</f>
        <v>0</v>
      </c>
      <c r="F218" s="153">
        <f>VLOOKUP(B218,[4]quotas!$B$46:$W$84,19,FALSE)</f>
        <v>0</v>
      </c>
      <c r="G218" s="154">
        <f>VLOOKUP(B218,[4]Cumulative!$A$56:$X$91,20,FALSE)</f>
        <v>0</v>
      </c>
      <c r="H218" s="183">
        <f t="shared" ref="H218:H227" si="47">IF(AND(F218=0,G218&gt;0),"n/a",IF(F218=0,0,100*G218/F218))</f>
        <v>0</v>
      </c>
      <c r="I218" s="153">
        <f t="shared" ref="I218:I229" si="48">IF(F218="*","*",F218-G218)</f>
        <v>0</v>
      </c>
      <c r="J218" s="154">
        <f>VLOOKUP(B218,[4]Weeks!$A$125:$X$161,20,FALSE)-VLOOKUP(B218,[4]Weeks!$A$165:$X$200,20,FALSE)</f>
        <v>0</v>
      </c>
      <c r="K218" s="154">
        <f>VLOOKUP(B218,[4]Weeks!$A$85:$X$121,20,FALSE)-VLOOKUP(B218,[4]Weeks!$A$125:$X$161,20,FALSE)</f>
        <v>0</v>
      </c>
      <c r="L218" s="154">
        <f>VLOOKUP(B218,[4]Weeks!$A$44:$X$81,20,FALSE)-VLOOKUP(B218,[4]Weeks!$A$85:$X$121,20,FALSE)</f>
        <v>0</v>
      </c>
      <c r="M218" s="154">
        <f>VLOOKUP(B218,[4]Weeks!$A$3:$X$39,20,FALSE)-VLOOKUP(B218,[4]Weeks!$A$44:$X$81,20,FALSE)</f>
        <v>0</v>
      </c>
      <c r="N218" s="46" t="str">
        <f t="shared" si="44"/>
        <v>-</v>
      </c>
      <c r="O218" s="45">
        <f t="shared" si="45"/>
        <v>0</v>
      </c>
      <c r="P218" s="41" t="str">
        <f>IF(ISNUMBER(VLOOKUP(B218,[4]CLOSURES!B:BI,19,FALSE)),TEXT(VLOOKUP(B218,[4]CLOSURES!B:BI,19,FALSE),"ddmmm"),IF(F218&lt;=0,0,IF(I218&lt;=0,0,IF(AND(F218&gt;0,O218&lt;=0),"&gt;52",IF(I218/O218&gt;52,"&gt;52", MAX(0,I218/O218-2))))))</f>
        <v>01Jan</v>
      </c>
      <c r="R218" s="185"/>
    </row>
    <row r="219" spans="2:18" s="191" customFormat="1" ht="10.7" customHeight="1" x14ac:dyDescent="0.2">
      <c r="B219" s="222" t="s">
        <v>123</v>
      </c>
      <c r="C219" s="151">
        <f>'[5]Maj Pel Combined'!K31</f>
        <v>0</v>
      </c>
      <c r="D219" s="152">
        <f>F219-VLOOKUP(B219,[4]quotas!$B$85:$W$120,19,FALSE)</f>
        <v>0</v>
      </c>
      <c r="E219" s="152">
        <f t="shared" si="46"/>
        <v>0</v>
      </c>
      <c r="F219" s="153">
        <f>VLOOKUP(B219,[4]quotas!$B$46:$W$84,19,FALSE)</f>
        <v>0</v>
      </c>
      <c r="G219" s="154">
        <f>VLOOKUP(B219,[4]Cumulative!$A$56:$X$91,20,FALSE)</f>
        <v>0</v>
      </c>
      <c r="H219" s="183">
        <f t="shared" si="47"/>
        <v>0</v>
      </c>
      <c r="I219" s="153">
        <f t="shared" si="48"/>
        <v>0</v>
      </c>
      <c r="J219" s="154">
        <f>VLOOKUP(B219,[4]Weeks!$A$125:$X$161,20,FALSE)-VLOOKUP(B219,[4]Weeks!$A$165:$X$200,20,FALSE)</f>
        <v>0</v>
      </c>
      <c r="K219" s="154">
        <f>VLOOKUP(B219,[4]Weeks!$A$85:$X$121,20,FALSE)-VLOOKUP(B219,[4]Weeks!$A$125:$X$161,20,FALSE)</f>
        <v>0</v>
      </c>
      <c r="L219" s="154">
        <f>VLOOKUP(B219,[4]Weeks!$A$44:$X$81,20,FALSE)-VLOOKUP(B219,[4]Weeks!$A$85:$X$121,20,FALSE)</f>
        <v>0</v>
      </c>
      <c r="M219" s="154">
        <f>VLOOKUP(B219,[4]Weeks!$A$3:$X$39,20,FALSE)-VLOOKUP(B219,[4]Weeks!$A$44:$X$81,20,FALSE)</f>
        <v>0</v>
      </c>
      <c r="N219" s="46" t="str">
        <f t="shared" si="44"/>
        <v>-</v>
      </c>
      <c r="O219" s="45">
        <f t="shared" si="45"/>
        <v>0</v>
      </c>
      <c r="P219" s="41" t="str">
        <f>IF(ISNUMBER(VLOOKUP(B219,[4]CLOSURES!B:BI,19,FALSE)),TEXT(VLOOKUP(B219,[4]CLOSURES!B:BI,19,FALSE),"ddmmm"),IF(F219&lt;=0,0,IF(I219&lt;=0,0,IF(AND(F219&gt;0,O219&lt;=0),"&gt;52",IF(I219/O219&gt;52,"&gt;52", MAX(0,I219/O219-2))))))</f>
        <v>01Jan</v>
      </c>
      <c r="R219" s="185"/>
    </row>
    <row r="220" spans="2:18" s="191" customFormat="1" ht="10.7" customHeight="1" x14ac:dyDescent="0.2">
      <c r="B220" s="222" t="s">
        <v>124</v>
      </c>
      <c r="C220" s="151">
        <f>'[5]Maj Pel Combined'!K32</f>
        <v>0</v>
      </c>
      <c r="D220" s="152">
        <f>F220-VLOOKUP(B220,[4]quotas!$B$85:$W$120,19,FALSE)</f>
        <v>0</v>
      </c>
      <c r="E220" s="152">
        <f t="shared" si="46"/>
        <v>0</v>
      </c>
      <c r="F220" s="153">
        <f>VLOOKUP(B220,[4]quotas!$B$46:$W$84,19,FALSE)</f>
        <v>0</v>
      </c>
      <c r="G220" s="154">
        <f>VLOOKUP(B220,[4]Cumulative!$A$56:$X$91,20,FALSE)</f>
        <v>0</v>
      </c>
      <c r="H220" s="183">
        <f t="shared" si="47"/>
        <v>0</v>
      </c>
      <c r="I220" s="153">
        <f t="shared" si="48"/>
        <v>0</v>
      </c>
      <c r="J220" s="154">
        <f>VLOOKUP(B220,[4]Weeks!$A$125:$X$161,20,FALSE)-VLOOKUP(B220,[4]Weeks!$A$165:$X$200,20,FALSE)</f>
        <v>0</v>
      </c>
      <c r="K220" s="154">
        <f>VLOOKUP(B220,[4]Weeks!$A$85:$X$121,20,FALSE)-VLOOKUP(B220,[4]Weeks!$A$125:$X$161,20,FALSE)</f>
        <v>0</v>
      </c>
      <c r="L220" s="154">
        <f>VLOOKUP(B220,[4]Weeks!$A$44:$X$81,20,FALSE)-VLOOKUP(B220,[4]Weeks!$A$85:$X$121,20,FALSE)</f>
        <v>0</v>
      </c>
      <c r="M220" s="154">
        <f>VLOOKUP(B220,[4]Weeks!$A$3:$X$39,20,FALSE)-VLOOKUP(B220,[4]Weeks!$A$44:$X$81,20,FALSE)</f>
        <v>0</v>
      </c>
      <c r="N220" s="46" t="str">
        <f t="shared" si="44"/>
        <v>-</v>
      </c>
      <c r="O220" s="45">
        <f t="shared" si="45"/>
        <v>0</v>
      </c>
      <c r="P220" s="41" t="str">
        <f>IF(ISNUMBER(VLOOKUP(B220,[4]CLOSURES!B:BI,19,FALSE)),TEXT(VLOOKUP(B220,[4]CLOSURES!B:BI,19,FALSE),"ddmmm"),IF(F220&lt;=0,0,IF(I220&lt;=0,0,IF(AND(F220&gt;0,O220&lt;=0),"&gt;52",IF(I220/O220&gt;52,"&gt;52", MAX(0,I220/O220-2))))))</f>
        <v>01Jan</v>
      </c>
      <c r="R220" s="185"/>
    </row>
    <row r="221" spans="2:18" s="191" customFormat="1" ht="10.7" customHeight="1" x14ac:dyDescent="0.2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7" customHeight="1" x14ac:dyDescent="0.2">
      <c r="B222" s="162" t="s">
        <v>125</v>
      </c>
      <c r="C222" s="151">
        <f>SUM(C217:C220)</f>
        <v>0</v>
      </c>
      <c r="D222" s="152">
        <f>SUM(D217:D221)</f>
        <v>0</v>
      </c>
      <c r="E222" s="152">
        <f t="shared" si="46"/>
        <v>0</v>
      </c>
      <c r="F222" s="153">
        <f>SUM(F217:F220)</f>
        <v>0</v>
      </c>
      <c r="G222" s="153">
        <f>SUM(G217:G220)</f>
        <v>0</v>
      </c>
      <c r="H222" s="183">
        <f t="shared" si="47"/>
        <v>0</v>
      </c>
      <c r="I222" s="153">
        <f t="shared" si="48"/>
        <v>0</v>
      </c>
      <c r="J222" s="154">
        <f>SUM(J217:J220)</f>
        <v>0</v>
      </c>
      <c r="K222" s="154">
        <f>SUM(K217:K220)</f>
        <v>0</v>
      </c>
      <c r="L222" s="154">
        <f>SUM(L217:L220)</f>
        <v>0</v>
      </c>
      <c r="M222" s="154">
        <f>SUM(M217:M220)</f>
        <v>0</v>
      </c>
      <c r="N222" s="46" t="str">
        <f t="shared" si="44"/>
        <v>-</v>
      </c>
      <c r="O222" s="45">
        <f t="shared" si="45"/>
        <v>0</v>
      </c>
      <c r="P222" s="41">
        <f>IF(ISNUMBER(VLOOKUP(B222,[4]CLOSURES!B:BI,19,FALSE)),TEXT(VLOOKUP(B222,[4]CLOSURES!B:BI,19,FALSE),"ddmmm"),IF(F222&lt;=0,0,IF(I222&lt;=0,0,IF(AND(F222&gt;0,O222&lt;=0),"&gt;52",IF(I222/O222&gt;52,"&gt;52", MAX(0,I222/O222-2))))))</f>
        <v>0</v>
      </c>
      <c r="R222" s="185"/>
    </row>
    <row r="223" spans="2:18" s="191" customFormat="1" ht="10.7" customHeight="1" x14ac:dyDescent="0.2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7" customHeight="1" x14ac:dyDescent="0.2">
      <c r="B224" s="223" t="s">
        <v>126</v>
      </c>
      <c r="C224" s="151">
        <f>'[5]Maj Pel Combined'!K36</f>
        <v>0</v>
      </c>
      <c r="D224" s="152">
        <f>F224-VLOOKUP(B224,[4]quotas!$B$85:$W$120,19,FALSE)</f>
        <v>0</v>
      </c>
      <c r="E224" s="152">
        <f t="shared" si="46"/>
        <v>0</v>
      </c>
      <c r="F224" s="153">
        <f>VLOOKUP(B224,[4]quotas!$B$46:$W$84,19,FALSE)</f>
        <v>0</v>
      </c>
      <c r="G224" s="154">
        <f>VLOOKUP(B224,[4]Cumulative!$A$56:$X$91,20,FALSE)</f>
        <v>0</v>
      </c>
      <c r="H224" s="183">
        <v>0</v>
      </c>
      <c r="I224" s="153">
        <f t="shared" si="48"/>
        <v>0</v>
      </c>
      <c r="J224" s="154">
        <f>VLOOKUP(B224,[4]Weeks!$A$125:$X$161,20,FALSE)-VLOOKUP(B224,[4]Weeks!$A$165:$X$200,20,FALSE)</f>
        <v>0</v>
      </c>
      <c r="K224" s="154">
        <f>VLOOKUP(B224,[4]Weeks!$A$85:$X$121,20,FALSE)-VLOOKUP(B224,[4]Weeks!$A$125:$X$161,20,FALSE)</f>
        <v>0</v>
      </c>
      <c r="L224" s="154">
        <f>VLOOKUP(B224,[4]Weeks!$A$44:$X$81,20,FALSE)-VLOOKUP(B224,[4]Weeks!$A$85:$X$121,20,FALSE)</f>
        <v>0</v>
      </c>
      <c r="M224" s="154">
        <f>VLOOKUP(B224,[4]Weeks!$A$3:$X$39,20,FALSE)-VLOOKUP(B224,[4]Weeks!$A$44:$X$81,20,FALSE)</f>
        <v>0</v>
      </c>
      <c r="N224" s="46" t="str">
        <f t="shared" si="44"/>
        <v>-</v>
      </c>
      <c r="O224" s="45">
        <f t="shared" si="45"/>
        <v>0</v>
      </c>
      <c r="P224" s="41" t="str">
        <f>IF(ISNUMBER(VLOOKUP(B224,[4]CLOSURES!B:BI,19,FALSE)),TEXT(VLOOKUP(B224,[4]CLOSURES!B:BI,19,FALSE),"ddmmm"),IF(F224&lt;=0,0,IF(I224&lt;=0,0,IF(AND(F224&gt;0,O224&lt;=0),"&gt;52",IF(I224/O224&gt;52,"&gt;52", MAX(0,I224/O224-2))))))</f>
        <v>01Jan</v>
      </c>
      <c r="R224" s="185"/>
    </row>
    <row r="225" spans="2:18" s="191" customFormat="1" ht="10.7" customHeight="1" x14ac:dyDescent="0.2">
      <c r="B225" s="223" t="s">
        <v>127</v>
      </c>
      <c r="C225" s="151">
        <f>'[5]Maj Pel Combined'!K37</f>
        <v>0</v>
      </c>
      <c r="D225" s="152">
        <f>F225-VLOOKUP(B225,[4]quotas!$B$85:$W$120,19,FALSE)</f>
        <v>0</v>
      </c>
      <c r="E225" s="152">
        <f t="shared" si="46"/>
        <v>0</v>
      </c>
      <c r="F225" s="153">
        <f>VLOOKUP(B225,[4]quotas!$B$46:$W$84,19,FALSE)</f>
        <v>0</v>
      </c>
      <c r="G225" s="154">
        <f>VLOOKUP(B225,[4]Cumulative!$A$56:$X$91,20,FALSE)</f>
        <v>0</v>
      </c>
      <c r="H225" s="183">
        <f t="shared" si="47"/>
        <v>0</v>
      </c>
      <c r="I225" s="153">
        <f t="shared" si="48"/>
        <v>0</v>
      </c>
      <c r="J225" s="154">
        <f>VLOOKUP(B225,[4]Weeks!$A$125:$X$161,20,FALSE)-VLOOKUP(B225,[4]Weeks!$A$165:$X$200,20,FALSE)</f>
        <v>0</v>
      </c>
      <c r="K225" s="154">
        <f>VLOOKUP(B225,[4]Weeks!$A$85:$X$121,20,FALSE)-VLOOKUP(B225,[4]Weeks!$A$125:$X$161,20,FALSE)</f>
        <v>0</v>
      </c>
      <c r="L225" s="154">
        <f>VLOOKUP(B225,[4]Weeks!$A$44:$X$81,20,FALSE)-VLOOKUP(B225,[4]Weeks!$A$85:$X$121,20,FALSE)</f>
        <v>0</v>
      </c>
      <c r="M225" s="154">
        <f>VLOOKUP(B225,[4]Weeks!$A$3:$X$39,20,FALSE)-VLOOKUP(B225,[4]Weeks!$A$44:$X$81,20,FALSE)</f>
        <v>0</v>
      </c>
      <c r="N225" s="46" t="str">
        <f t="shared" si="44"/>
        <v>-</v>
      </c>
      <c r="O225" s="45">
        <f t="shared" si="45"/>
        <v>0</v>
      </c>
      <c r="P225" s="41" t="str">
        <f>IF(ISNUMBER(VLOOKUP(B225,[4]CLOSURES!B:BI,19,FALSE)),TEXT(VLOOKUP(B225,[4]CLOSURES!B:BI,19,FALSE),"ddmmm"),IF(F225&lt;=0,0,IF(I225&lt;=0,0,IF(AND(F225&gt;0,O225&lt;=0),"&gt;52",IF(I225/O225&gt;52,"&gt;52", MAX(0,I225/O225-2))))))</f>
        <v>01Jan</v>
      </c>
      <c r="R225" s="185"/>
    </row>
    <row r="226" spans="2:18" s="191" customFormat="1" ht="10.7" customHeight="1" x14ac:dyDescent="0.2">
      <c r="B226" s="223" t="s">
        <v>128</v>
      </c>
      <c r="C226" s="151">
        <f>'[5]Maj Pel Combined'!K38</f>
        <v>0</v>
      </c>
      <c r="D226" s="152">
        <f>F226-VLOOKUP(B226,[4]quotas!$B$85:$W$120,19,FALSE)</f>
        <v>0</v>
      </c>
      <c r="E226" s="152">
        <f t="shared" si="46"/>
        <v>0</v>
      </c>
      <c r="F226" s="153">
        <f>VLOOKUP(B226,[4]quotas!$B$46:$W$84,19,FALSE)</f>
        <v>0</v>
      </c>
      <c r="G226" s="154">
        <f>VLOOKUP(B226,[4]Cumulative!$A$56:$X$91,20,FALSE)</f>
        <v>0</v>
      </c>
      <c r="H226" s="183">
        <f t="shared" si="47"/>
        <v>0</v>
      </c>
      <c r="I226" s="153">
        <f t="shared" si="48"/>
        <v>0</v>
      </c>
      <c r="J226" s="154">
        <f>VLOOKUP(B226,[4]Weeks!$A$125:$X$161,20,FALSE)-VLOOKUP(B226,[4]Weeks!$A$165:$X$200,20,FALSE)</f>
        <v>0</v>
      </c>
      <c r="K226" s="154">
        <f>VLOOKUP(B226,[4]Weeks!$A$85:$X$121,20,FALSE)-VLOOKUP(B226,[4]Weeks!$A$125:$X$161,20,FALSE)</f>
        <v>0</v>
      </c>
      <c r="L226" s="154">
        <f>VLOOKUP(B226,[4]Weeks!$A$44:$X$81,20,FALSE)-VLOOKUP(B226,[4]Weeks!$A$85:$X$121,20,FALSE)</f>
        <v>0</v>
      </c>
      <c r="M226" s="154">
        <f>VLOOKUP(B226,[4]Weeks!$A$3:$X$39,20,FALSE)-VLOOKUP(B226,[4]Weeks!$A$44:$X$81,20,FALSE)</f>
        <v>0</v>
      </c>
      <c r="N226" s="46" t="str">
        <f t="shared" si="44"/>
        <v>-</v>
      </c>
      <c r="O226" s="45">
        <f t="shared" si="45"/>
        <v>0</v>
      </c>
      <c r="P226" s="41" t="str">
        <f>IF(ISNUMBER(VLOOKUP(B226,[4]CLOSURES!B:BI,19,FALSE)),TEXT(VLOOKUP(B226,[4]CLOSURES!B:BI,19,FALSE),"ddmmm"),IF(F226&lt;=0,0,IF(I226&lt;=0,0,IF(AND(F226&gt;0,O226&lt;=0),"&gt;52",IF(I226/O226&gt;52,"&gt;52", MAX(0,I226/O226-2))))))</f>
        <v>01Jan</v>
      </c>
      <c r="R226" s="185"/>
    </row>
    <row r="227" spans="2:18" s="191" customFormat="1" ht="10.7" customHeight="1" x14ac:dyDescent="0.2">
      <c r="B227" s="223" t="s">
        <v>129</v>
      </c>
      <c r="C227" s="151">
        <f>'[5]Maj Pel Combined'!K39</f>
        <v>0</v>
      </c>
      <c r="D227" s="152">
        <f>F227-VLOOKUP(B227,[4]quotas!$B$85:$W$120,19,FALSE)</f>
        <v>0</v>
      </c>
      <c r="E227" s="152">
        <f t="shared" si="46"/>
        <v>0</v>
      </c>
      <c r="F227" s="153">
        <f>VLOOKUP(B227,[4]quotas!$B$46:$W$84,19,FALSE)</f>
        <v>0</v>
      </c>
      <c r="G227" s="154">
        <f>VLOOKUP(B227,[4]Cumulative!$A$56:$X$91,20,FALSE)</f>
        <v>0</v>
      </c>
      <c r="H227" s="183">
        <f t="shared" si="47"/>
        <v>0</v>
      </c>
      <c r="I227" s="153">
        <f>SUM(I217:I225)</f>
        <v>0</v>
      </c>
      <c r="J227" s="154">
        <f>VLOOKUP(B227,[4]Weeks!$A$125:$X$161,20,FALSE)-VLOOKUP(B227,[4]Weeks!$A$165:$X$200,20,FALSE)</f>
        <v>0</v>
      </c>
      <c r="K227" s="154">
        <f>VLOOKUP(B227,[4]Weeks!$A$85:$X$121,20,FALSE)-VLOOKUP(B227,[4]Weeks!$A$125:$X$161,20,FALSE)</f>
        <v>0</v>
      </c>
      <c r="L227" s="154">
        <f>VLOOKUP(B227,[4]Weeks!$A$44:$X$81,20,FALSE)-VLOOKUP(B227,[4]Weeks!$A$85:$X$121,20,FALSE)</f>
        <v>0</v>
      </c>
      <c r="M227" s="154">
        <f>VLOOKUP(B227,[4]Weeks!$A$3:$X$39,20,FALSE)-VLOOKUP(B227,[4]Weeks!$A$44:$X$81,20,FALSE)</f>
        <v>0</v>
      </c>
      <c r="N227" s="48">
        <f>SUM(N217:N226)</f>
        <v>0</v>
      </c>
      <c r="O227" s="45">
        <f>SUM(O217:O226)</f>
        <v>0</v>
      </c>
      <c r="P227" s="41" t="str">
        <f>IF(ISNUMBER(VLOOKUP(B227,[4]CLOSURES!B:BI,19,FALSE)),TEXT(VLOOKUP(B227,[4]CLOSURES!B:BI,19,FALSE),"ddmmm"),IF(F227&lt;=0,0,IF(I227&lt;=0,0,IF(AND(F227&gt;0,O227&lt;=0),"&gt;52",IF(I227/O227&gt;52,"&gt;52", MAX(0,I227/O227-2))))))</f>
        <v>01Jan</v>
      </c>
      <c r="R227" s="185"/>
    </row>
    <row r="228" spans="2:18" s="191" customFormat="1" ht="10.7" customHeight="1" x14ac:dyDescent="0.2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7" customHeight="1" x14ac:dyDescent="0.2">
      <c r="B229" s="196" t="s">
        <v>130</v>
      </c>
      <c r="C229" s="151">
        <v>0</v>
      </c>
      <c r="D229" s="152">
        <f>SUM(C229)</f>
        <v>0</v>
      </c>
      <c r="E229" s="152">
        <f t="shared" si="46"/>
        <v>0</v>
      </c>
      <c r="F229" s="153">
        <f>SUM(F224:F227)</f>
        <v>0</v>
      </c>
      <c r="G229" s="153">
        <f>SUM(G224:G227)</f>
        <v>0</v>
      </c>
      <c r="H229" s="183">
        <v>0</v>
      </c>
      <c r="I229" s="153">
        <f t="shared" si="48"/>
        <v>0</v>
      </c>
      <c r="J229" s="154">
        <f>SUM(J224:J227)</f>
        <v>0</v>
      </c>
      <c r="K229" s="154">
        <f>SUM(K224:K227)</f>
        <v>0</v>
      </c>
      <c r="L229" s="154">
        <f>SUM(L224:L227)</f>
        <v>0</v>
      </c>
      <c r="M229" s="154">
        <f>SUM(M224:M227)</f>
        <v>0</v>
      </c>
      <c r="N229" s="46" t="str">
        <f>IF(C229="*","*",IF(C229&gt;0,M229/C229*100,"-"))</f>
        <v>-</v>
      </c>
      <c r="O229" s="45">
        <f>IF(C229="*","*",SUM(J229:M229)/4)</f>
        <v>0</v>
      </c>
      <c r="P229" s="41">
        <f>IF(ISNUMBER(VLOOKUP(B229,[4]CLOSURES!B:BI,19,FALSE)),TEXT(VLOOKUP(B229,[4]CLOSURES!B:BI,19,FALSE),"ddmmm"),IF(F229&lt;=0,0,IF(I229&lt;=0,0,IF(AND(F229&gt;0,O229&lt;=0),"&gt;52",IF(I229/O229&gt;52,"&gt;52", MAX(0,I229/O229-2))))))</f>
        <v>0</v>
      </c>
      <c r="R229" s="185"/>
    </row>
    <row r="230" spans="2:18" s="191" customFormat="1" ht="10.7" customHeight="1" x14ac:dyDescent="0.2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7" customHeight="1" x14ac:dyDescent="0.2">
      <c r="B231" s="187" t="s">
        <v>91</v>
      </c>
      <c r="C231" s="157">
        <f>C229+C222</f>
        <v>0</v>
      </c>
      <c r="D231" s="160">
        <f>D222+D229</f>
        <v>0</v>
      </c>
      <c r="E231" s="160">
        <f t="shared" si="46"/>
        <v>0</v>
      </c>
      <c r="F231" s="156">
        <f>F229+F222</f>
        <v>0</v>
      </c>
      <c r="G231" s="155">
        <f>G222+G229</f>
        <v>0</v>
      </c>
      <c r="H231" s="188">
        <v>0</v>
      </c>
      <c r="I231" s="156">
        <f>IF(F231="*","*",F231-G231)</f>
        <v>0</v>
      </c>
      <c r="J231" s="155">
        <f>J222+J229</f>
        <v>0</v>
      </c>
      <c r="K231" s="155">
        <f>K222+K229</f>
        <v>0</v>
      </c>
      <c r="L231" s="155">
        <f>L222+L229</f>
        <v>0</v>
      </c>
      <c r="M231" s="155">
        <f>M222+M229</f>
        <v>0</v>
      </c>
      <c r="N231" s="58" t="str">
        <f>IF(C231="*","*",IF(C231&gt;0,M231/C231*100,"-"))</f>
        <v>-</v>
      </c>
      <c r="O231" s="52">
        <f>IF(C231="*","*",SUM(J231:M231)/4)</f>
        <v>0</v>
      </c>
      <c r="P231" s="54">
        <f>IF(ISNUMBER(VLOOKUP(B231,[4]CLOSURES!B:BI,19,FALSE)),TEXT(VLOOKUP(B231,[4]CLOSURES!B:BI,19,FALSE),"ddmmm"),IF(F231&lt;=0,0,IF(I231&lt;=0,0,IF(AND(F231&gt;0,O231&lt;=0),"&gt;52",IF(I231/O231&gt;52,"&gt;52", MAX(0,I231/O231-2))))))</f>
        <v>0</v>
      </c>
      <c r="R231" s="185"/>
    </row>
    <row r="232" spans="2:18" s="191" customFormat="1" ht="10.7" customHeight="1" x14ac:dyDescent="0.2">
      <c r="B232" s="198" t="str">
        <f>B69</f>
        <v>Number of Weeks to end of year is 10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7" customHeight="1" x14ac:dyDescent="0.2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7" customHeight="1" x14ac:dyDescent="0.2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7" customHeight="1" x14ac:dyDescent="0.2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2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2">
      <c r="B237" s="198">
        <f>B95</f>
        <v>0</v>
      </c>
      <c r="F237" s="192"/>
      <c r="I237" s="192"/>
      <c r="N237" s="194"/>
      <c r="P237" s="194"/>
      <c r="R237" s="185"/>
    </row>
    <row r="238" spans="2:18" s="191" customFormat="1" hidden="1" x14ac:dyDescent="0.2">
      <c r="B238" s="198">
        <f>B96</f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2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2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f>#REF!</f>
        <v>#REF!</v>
      </c>
      <c r="K240" s="33" t="e">
        <f>#REF!</f>
        <v>#REF!</v>
      </c>
      <c r="L240" s="33" t="e">
        <f>#REF!</f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2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2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2">
      <c r="B243" s="40"/>
      <c r="C243" s="237" t="s">
        <v>101</v>
      </c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41" t="s">
        <v>4</v>
      </c>
      <c r="R243" s="185"/>
    </row>
    <row r="244" spans="2:18" s="191" customFormat="1" hidden="1" x14ac:dyDescent="0.2">
      <c r="B244" s="40" t="s">
        <v>62</v>
      </c>
      <c r="C244" s="42">
        <f>[4]quotas!V47</f>
        <v>0</v>
      </c>
      <c r="D244" s="45">
        <f>[4]quotas!V47-[4]quotas!V87</f>
        <v>0</v>
      </c>
      <c r="E244" s="45"/>
      <c r="F244" s="71">
        <f>[4]quotas!Y47</f>
        <v>0</v>
      </c>
      <c r="G244" s="45" t="e">
        <f>IF(#REF!="*","*",[4]Cumulative!X57)</f>
        <v>#REF!</v>
      </c>
      <c r="H244" s="46" t="str">
        <f>IF(C244="*","*",IF(C244&gt;0,#REF!/C244*100,"-"))</f>
        <v>-</v>
      </c>
      <c r="I244" s="44" t="e">
        <f>IF(C244="*","*",C244-#REF!)</f>
        <v>#REF!</v>
      </c>
      <c r="J244" s="45">
        <f>IF(C244="*","*",[4]Weeks!V126-[4]Weeks!V166)</f>
        <v>0</v>
      </c>
      <c r="K244" s="45">
        <f>IF(C244="*","*",[4]Weeks!V86-[4]Weeks!V126)</f>
        <v>0</v>
      </c>
      <c r="L244" s="45">
        <f>IF(C244="*","*",[4]Weeks!V46-[4]Weeks!V86)</f>
        <v>0</v>
      </c>
      <c r="M244" s="45" t="e">
        <f>IF(C244="*","*",[4]Weeks!V4-[4]Weeks!V46)</f>
        <v>#VALUE!</v>
      </c>
      <c r="N244" s="46" t="str">
        <f t="shared" ref="N244:N266" si="49">IF(C244="*","*",IF(C244&gt;0,M244/C244*100,"-"))</f>
        <v>-</v>
      </c>
      <c r="O244" s="45" t="e">
        <f t="shared" ref="O244:O266" si="50">IF(C244="*","*",SUM(J244:M244)/4)</f>
        <v>#VALUE!</v>
      </c>
      <c r="P244" s="41">
        <f>IF(ISTEXT(C244),#REF!,IF(ISNUMBER([4]CLOSURES!V5),TEXT([4]CLOSURES!V5,"ddmmm"),IF(C244&lt;=0,0,IF(I244&lt;0,0,IF(AND(C244&gt;0,O244&lt;=0),"&gt;99",IF(I244/O244&gt;100,"&gt;99",MAX(0,I244/O244-2)))))))</f>
        <v>0</v>
      </c>
      <c r="R244" s="185"/>
    </row>
    <row r="245" spans="2:18" s="191" customFormat="1" hidden="1" x14ac:dyDescent="0.2">
      <c r="B245" s="40" t="s">
        <v>63</v>
      </c>
      <c r="C245" s="42">
        <f>[4]quotas!V48</f>
        <v>0</v>
      </c>
      <c r="D245" s="45">
        <f>[4]quotas!V48-[4]quotas!V88</f>
        <v>0</v>
      </c>
      <c r="E245" s="45"/>
      <c r="F245" s="71">
        <f>[4]quotas!Y48</f>
        <v>0</v>
      </c>
      <c r="G245" s="45" t="e">
        <f>IF(#REF!="*","*",[4]Cumulative!X58)</f>
        <v>#REF!</v>
      </c>
      <c r="H245" s="46" t="str">
        <f>IF(C245="*","*",IF(C245&gt;0,#REF!/C245*100,"-"))</f>
        <v>-</v>
      </c>
      <c r="I245" s="44" t="e">
        <f>IF(C245="*","*",C245-#REF!)</f>
        <v>#REF!</v>
      </c>
      <c r="J245" s="45">
        <f>IF(C245="*","*",[4]Weeks!V127-[4]Weeks!V167)</f>
        <v>0</v>
      </c>
      <c r="K245" s="45">
        <f>IF(C245="*","*",[4]Weeks!V87-[4]Weeks!V127)</f>
        <v>0</v>
      </c>
      <c r="L245" s="45">
        <f>IF(C245="*","*",[4]Weeks!V47-[4]Weeks!V87)</f>
        <v>0</v>
      </c>
      <c r="M245" s="45">
        <f>IF(C245="*","*",[4]Weeks!V5-[4]Weeks!V47)</f>
        <v>0</v>
      </c>
      <c r="N245" s="46" t="str">
        <f t="shared" si="49"/>
        <v>-</v>
      </c>
      <c r="O245" s="45">
        <f t="shared" si="50"/>
        <v>0</v>
      </c>
      <c r="P245" s="41">
        <f>IF(ISTEXT(C245),#REF!,IF(ISNUMBER([4]CLOSURES!V6),TEXT([4]CLOSURES!V6,"ddmmm"),IF(C245&lt;=0,0,IF(I245&lt;0,0,IF(AND(C245&gt;0,O245&lt;=0),"&gt;99",IF(I245/O245&gt;100,"&gt;99",MAX(0,I245/O245-2)))))))</f>
        <v>0</v>
      </c>
      <c r="R245" s="185"/>
    </row>
    <row r="246" spans="2:18" s="191" customFormat="1" hidden="1" x14ac:dyDescent="0.2">
      <c r="B246" s="40" t="s">
        <v>65</v>
      </c>
      <c r="C246" s="42">
        <f>[4]quotas!V49</f>
        <v>0</v>
      </c>
      <c r="D246" s="45">
        <f>[4]quotas!V49-[4]quotas!V89</f>
        <v>0</v>
      </c>
      <c r="E246" s="45"/>
      <c r="F246" s="71">
        <f>[4]quotas!Y49</f>
        <v>0</v>
      </c>
      <c r="G246" s="45" t="e">
        <f>IF(#REF!="*","*",[4]Cumulative!X59)</f>
        <v>#REF!</v>
      </c>
      <c r="H246" s="46" t="str">
        <f>IF(C246="*","*",IF(C246&gt;0,#REF!/C246*100,"-"))</f>
        <v>-</v>
      </c>
      <c r="I246" s="44" t="e">
        <f>IF(C246="*","*",C246-#REF!)</f>
        <v>#REF!</v>
      </c>
      <c r="J246" s="45">
        <f>IF(C246="*","*",[4]Weeks!V128-[4]Weeks!V168)</f>
        <v>0</v>
      </c>
      <c r="K246" s="45">
        <f>IF(C246="*","*",[4]Weeks!V88-[4]Weeks!V128)</f>
        <v>0</v>
      </c>
      <c r="L246" s="45">
        <f>IF(C246="*","*",[4]Weeks!V48-[4]Weeks!V88)</f>
        <v>0</v>
      </c>
      <c r="M246" s="45">
        <f>IF(C246="*","*",[4]Weeks!V6-[4]Weeks!V48)</f>
        <v>0</v>
      </c>
      <c r="N246" s="46" t="str">
        <f t="shared" si="49"/>
        <v>-</v>
      </c>
      <c r="O246" s="45">
        <f t="shared" si="50"/>
        <v>0</v>
      </c>
      <c r="P246" s="41">
        <f>IF(ISTEXT(C246),#REF!,IF(ISNUMBER([4]CLOSURES!V7),TEXT([4]CLOSURES!V7,"ddmmm"),IF(C246&lt;=0,0,IF(I246&lt;0,0,IF(AND(C246&gt;0,O246&lt;=0),"&gt;99",IF(I246/O246&gt;100,"&gt;99",MAX(0,I246/O246-2)))))))</f>
        <v>0</v>
      </c>
      <c r="R246" s="185"/>
    </row>
    <row r="247" spans="2:18" s="191" customFormat="1" hidden="1" x14ac:dyDescent="0.2">
      <c r="B247" s="40" t="s">
        <v>66</v>
      </c>
      <c r="C247" s="42">
        <f>[4]quotas!V50</f>
        <v>0</v>
      </c>
      <c r="D247" s="45">
        <f>[4]quotas!V50-[4]quotas!V90</f>
        <v>0</v>
      </c>
      <c r="E247" s="45"/>
      <c r="F247" s="71">
        <f>[4]quotas!Y50</f>
        <v>0</v>
      </c>
      <c r="G247" s="45" t="e">
        <f>IF(#REF!="*","*",[4]Cumulative!X60)</f>
        <v>#REF!</v>
      </c>
      <c r="H247" s="46" t="str">
        <f>IF(C247="*","*",IF(C247&gt;0,#REF!/C247*100,"-"))</f>
        <v>-</v>
      </c>
      <c r="I247" s="44" t="e">
        <f>IF(C247="*","*",C247-#REF!)</f>
        <v>#REF!</v>
      </c>
      <c r="J247" s="45">
        <f>IF(C247="*","*",[4]Weeks!V129-[4]Weeks!V169)</f>
        <v>0</v>
      </c>
      <c r="K247" s="45">
        <f>IF(C247="*","*",[4]Weeks!V89-[4]Weeks!V129)</f>
        <v>0</v>
      </c>
      <c r="L247" s="45">
        <f>IF(C247="*","*",[4]Weeks!V49-[4]Weeks!V89)</f>
        <v>0</v>
      </c>
      <c r="M247" s="45">
        <f>IF(C247="*","*",[4]Weeks!V7-[4]Weeks!V49)</f>
        <v>0</v>
      </c>
      <c r="N247" s="46" t="str">
        <f t="shared" si="49"/>
        <v>-</v>
      </c>
      <c r="O247" s="45">
        <f t="shared" si="50"/>
        <v>0</v>
      </c>
      <c r="P247" s="41">
        <f>IF(ISTEXT(C247),#REF!,IF(ISNUMBER([4]CLOSURES!V8),TEXT([4]CLOSURES!V8,"ddmmm"),IF(C247&lt;=0,0,IF(I247&lt;0,0,IF(AND(C247&gt;0,O247&lt;=0),"&gt;99",IF(I247/O247&gt;100,"&gt;99",MAX(0,I247/O247-2)))))))</f>
        <v>0</v>
      </c>
      <c r="R247" s="185"/>
    </row>
    <row r="248" spans="2:18" s="191" customFormat="1" hidden="1" x14ac:dyDescent="0.2">
      <c r="B248" s="40" t="s">
        <v>67</v>
      </c>
      <c r="C248" s="42">
        <f>[4]quotas!V51</f>
        <v>0</v>
      </c>
      <c r="D248" s="45">
        <f>[4]quotas!V51-[4]quotas!V91</f>
        <v>0</v>
      </c>
      <c r="E248" s="45"/>
      <c r="F248" s="71">
        <f>[4]quotas!Y51</f>
        <v>0</v>
      </c>
      <c r="G248" s="45" t="e">
        <f>IF(#REF!="*","*",[4]Cumulative!X61)</f>
        <v>#REF!</v>
      </c>
      <c r="H248" s="46" t="str">
        <f>IF(C248="*","*",IF(C248&gt;0,#REF!/C248*100,"-"))</f>
        <v>-</v>
      </c>
      <c r="I248" s="44" t="e">
        <f>IF(C248="*","*",C248-#REF!)</f>
        <v>#REF!</v>
      </c>
      <c r="J248" s="45">
        <f>IF(C248="*","*",[4]Weeks!V130-[4]Weeks!V170)</f>
        <v>0</v>
      </c>
      <c r="K248" s="45">
        <f>IF(C248="*","*",[4]Weeks!V90-[4]Weeks!V130)</f>
        <v>0</v>
      </c>
      <c r="L248" s="45">
        <f>IF(C248="*","*",[4]Weeks!V50-[4]Weeks!V90)</f>
        <v>0</v>
      </c>
      <c r="M248" s="45">
        <f>IF(C248="*","*",[4]Weeks!V8-[4]Weeks!V50)</f>
        <v>0</v>
      </c>
      <c r="N248" s="46" t="str">
        <f t="shared" si="49"/>
        <v>-</v>
      </c>
      <c r="O248" s="45">
        <f t="shared" si="50"/>
        <v>0</v>
      </c>
      <c r="P248" s="41">
        <f>IF(ISTEXT(C248),#REF!,IF(ISNUMBER([4]CLOSURES!V9),TEXT([4]CLOSURES!V9,"ddmmm"),IF(C248&lt;=0,0,IF(I248&lt;0,0,IF(AND(C248&gt;0,O248&lt;=0),"&gt;99",IF(I248/O248&gt;100,"&gt;99",MAX(0,I248/O248-2)))))))</f>
        <v>0</v>
      </c>
      <c r="R248" s="185"/>
    </row>
    <row r="249" spans="2:18" s="191" customFormat="1" hidden="1" x14ac:dyDescent="0.2">
      <c r="B249" s="40" t="s">
        <v>68</v>
      </c>
      <c r="C249" s="42">
        <f>[4]quotas!V52</f>
        <v>0</v>
      </c>
      <c r="D249" s="45">
        <f>[4]quotas!V52-[4]quotas!V92</f>
        <v>0</v>
      </c>
      <c r="E249" s="45"/>
      <c r="F249" s="71">
        <f>[4]quotas!Y52</f>
        <v>0</v>
      </c>
      <c r="G249" s="45" t="e">
        <f>IF(#REF!="*","*",[4]Cumulative!X62)</f>
        <v>#REF!</v>
      </c>
      <c r="H249" s="46" t="str">
        <f>IF(C249="*","*",IF(C249&gt;0,#REF!/C249*100,"-"))</f>
        <v>-</v>
      </c>
      <c r="I249" s="44" t="e">
        <f>IF(C249="*","*",C249-#REF!)</f>
        <v>#REF!</v>
      </c>
      <c r="J249" s="45">
        <f>IF(C249="*","*",[4]Weeks!V131-[4]Weeks!V171)</f>
        <v>0</v>
      </c>
      <c r="K249" s="45">
        <f>IF(C249="*","*",[4]Weeks!V91-[4]Weeks!V131)</f>
        <v>0</v>
      </c>
      <c r="L249" s="45">
        <f>IF(C249="*","*",[4]Weeks!V51-[4]Weeks!V91)</f>
        <v>0</v>
      </c>
      <c r="M249" s="45">
        <f>IF(C249="*","*",[4]Weeks!V9-[4]Weeks!V51)</f>
        <v>0</v>
      </c>
      <c r="N249" s="46" t="str">
        <f t="shared" si="49"/>
        <v>-</v>
      </c>
      <c r="O249" s="45">
        <f t="shared" si="50"/>
        <v>0</v>
      </c>
      <c r="P249" s="41">
        <f>IF(ISTEXT(C249),#REF!,IF(ISNUMBER([4]CLOSURES!V10),TEXT([4]CLOSURES!V10,"ddmmm"),IF(C249&lt;=0,0,IF(I249&lt;0,0,IF(AND(C249&gt;0,O249&lt;=0),"&gt;99",IF(I249/O249&gt;100,"&gt;99",MAX(0,I249/O249-2)))))))</f>
        <v>0</v>
      </c>
      <c r="R249" s="185"/>
    </row>
    <row r="250" spans="2:18" s="191" customFormat="1" hidden="1" x14ac:dyDescent="0.2">
      <c r="B250" s="40" t="s">
        <v>69</v>
      </c>
      <c r="C250" s="42">
        <f>[4]quotas!V53</f>
        <v>0</v>
      </c>
      <c r="D250" s="45">
        <f>[4]quotas!V53-[4]quotas!V93</f>
        <v>0</v>
      </c>
      <c r="E250" s="45"/>
      <c r="F250" s="71">
        <f>[4]quotas!Y53</f>
        <v>0</v>
      </c>
      <c r="G250" s="45" t="e">
        <f>IF(#REF!="*","*",[4]Cumulative!X63)</f>
        <v>#REF!</v>
      </c>
      <c r="H250" s="46" t="str">
        <f>IF(C250="*","*",IF(C250&gt;0,#REF!/C250*100,"-"))</f>
        <v>-</v>
      </c>
      <c r="I250" s="44" t="e">
        <f>IF(C250="*","*",C250-#REF!)</f>
        <v>#REF!</v>
      </c>
      <c r="J250" s="45">
        <f>IF(C250="*","*",[4]Weeks!V132-[4]Weeks!V172)</f>
        <v>0</v>
      </c>
      <c r="K250" s="45">
        <f>IF(C250="*","*",[4]Weeks!V92-[4]Weeks!V132)</f>
        <v>0</v>
      </c>
      <c r="L250" s="45">
        <f>IF(C250="*","*",[4]Weeks!V52-[4]Weeks!V92)</f>
        <v>0</v>
      </c>
      <c r="M250" s="45">
        <f>IF(C250="*","*",[4]Weeks!V10-[4]Weeks!V52)</f>
        <v>0</v>
      </c>
      <c r="N250" s="46" t="str">
        <f t="shared" si="49"/>
        <v>-</v>
      </c>
      <c r="O250" s="45">
        <f t="shared" si="50"/>
        <v>0</v>
      </c>
      <c r="P250" s="41">
        <f>IF(ISTEXT(C250),#REF!,IF(ISNUMBER([4]CLOSURES!V11),TEXT([4]CLOSURES!V11,"ddmmm"),IF(C250&lt;=0,0,IF(I250&lt;0,0,IF(AND(C250&gt;0,O250&lt;=0),"&gt;99",IF(I250/O250&gt;100,"&gt;99",MAX(0,I250/O250-2)))))))</f>
        <v>0</v>
      </c>
      <c r="R250" s="185"/>
    </row>
    <row r="251" spans="2:18" s="191" customFormat="1" hidden="1" x14ac:dyDescent="0.2">
      <c r="B251" s="40" t="s">
        <v>102</v>
      </c>
      <c r="C251" s="42">
        <f>[4]quotas!V57</f>
        <v>0</v>
      </c>
      <c r="D251" s="45">
        <f>[4]quotas!V57-[4]quotas!V97</f>
        <v>0</v>
      </c>
      <c r="E251" s="45"/>
      <c r="F251" s="71">
        <f>[4]quotas!Y57</f>
        <v>0</v>
      </c>
      <c r="G251" s="45" t="e">
        <f>IF(#REF!="*","*",[4]Cumulative!X67)</f>
        <v>#REF!</v>
      </c>
      <c r="H251" s="46" t="str">
        <f>IF(C251="*","*",IF(C251&gt;0,#REF!/C251*100,"-"))</f>
        <v>-</v>
      </c>
      <c r="I251" s="44" t="e">
        <f>IF(C251="*","*",C251-#REF!)</f>
        <v>#REF!</v>
      </c>
      <c r="J251" s="45">
        <f>IF(C251="*","*",[4]Weeks!V136-[4]Weeks!V176)</f>
        <v>0</v>
      </c>
      <c r="K251" s="45">
        <f>IF(C251="*","*",[4]Weeks!V96-[4]Weeks!V136)</f>
        <v>0</v>
      </c>
      <c r="L251" s="45">
        <f>IF(C251="*","*",[4]Weeks!V56-[4]Weeks!V96)</f>
        <v>0</v>
      </c>
      <c r="M251" s="45">
        <f>IF(C251="*","*",[4]Weeks!V14-[4]Weeks!V56)</f>
        <v>0</v>
      </c>
      <c r="N251" s="46" t="str">
        <f t="shared" si="49"/>
        <v>-</v>
      </c>
      <c r="O251" s="45">
        <f t="shared" si="50"/>
        <v>0</v>
      </c>
      <c r="P251" s="41">
        <f>IF(ISTEXT(C251),#REF!,IF(ISNUMBER([4]CLOSURES!V15),TEXT([4]CLOSURES!V15,"ddmmm"),IF(C251&lt;=0,0,IF(I251&lt;0,0,IF(AND(C251&gt;0,O251&lt;=0),"&gt;99",IF(I251/O251&gt;100,"&gt;99",MAX(0,I251/O251-2)))))))</f>
        <v>0</v>
      </c>
      <c r="R251" s="185"/>
    </row>
    <row r="252" spans="2:18" s="191" customFormat="1" hidden="1" x14ac:dyDescent="0.2">
      <c r="B252" s="40" t="s">
        <v>75</v>
      </c>
      <c r="C252" s="42">
        <f>[4]quotas!V58</f>
        <v>0</v>
      </c>
      <c r="D252" s="45">
        <f>[4]quotas!V58-[4]quotas!V98</f>
        <v>0</v>
      </c>
      <c r="E252" s="45"/>
      <c r="F252" s="71">
        <f>[4]quotas!Y58</f>
        <v>0</v>
      </c>
      <c r="G252" s="45" t="e">
        <f>IF(#REF!="*","*",[4]Cumulative!X68)</f>
        <v>#REF!</v>
      </c>
      <c r="H252" s="46" t="str">
        <f>IF(C252="*","*",IF(C252&gt;0,#REF!/C252*100,"-"))</f>
        <v>-</v>
      </c>
      <c r="I252" s="44" t="e">
        <f>IF(C252="*","*",C252-#REF!)</f>
        <v>#REF!</v>
      </c>
      <c r="J252" s="45">
        <f>IF(C252="*","*",[4]Weeks!V133-[4]Weeks!V173)</f>
        <v>0</v>
      </c>
      <c r="K252" s="45">
        <f>IF(C252="*","*",[4]Weeks!V93-[4]Weeks!V133)</f>
        <v>0</v>
      </c>
      <c r="L252" s="45">
        <f>IF(C252="*","*",[4]Weeks!V53-[4]Weeks!V93)</f>
        <v>0</v>
      </c>
      <c r="M252" s="45">
        <f>IF(C252="*","*",[4]Weeks!V15-[4]Weeks!V53)</f>
        <v>0</v>
      </c>
      <c r="N252" s="46" t="str">
        <f t="shared" si="49"/>
        <v>-</v>
      </c>
      <c r="O252" s="45">
        <f t="shared" si="50"/>
        <v>0</v>
      </c>
      <c r="P252" s="41">
        <f>IF(ISTEXT(C252),#REF!,IF(ISNUMBER([4]CLOSURES!V16),TEXT([4]CLOSURES!V16,"ddmmm"),IF(C252&lt;=0,0,IF(I252&lt;0,0,IF(AND(C252&gt;0,O252&lt;=0),"&gt;99",IF(I252/O252&gt;100,"&gt;99",MAX(0,I252/O252-2)))))))</f>
        <v>0</v>
      </c>
      <c r="R252" s="185"/>
    </row>
    <row r="253" spans="2:18" s="191" customFormat="1" hidden="1" x14ac:dyDescent="0.2">
      <c r="B253" s="40" t="s">
        <v>157</v>
      </c>
      <c r="C253" s="42">
        <f>[4]quotas!V59</f>
        <v>0</v>
      </c>
      <c r="D253" s="45">
        <f>[4]quotas!V59-[4]quotas!V99</f>
        <v>0</v>
      </c>
      <c r="E253" s="45"/>
      <c r="F253" s="71">
        <f>[4]quotas!Y59</f>
        <v>0</v>
      </c>
      <c r="G253" s="45" t="e">
        <f>IF(#REF!="*","*",[4]Cumulative!X69)</f>
        <v>#REF!</v>
      </c>
      <c r="H253" s="46" t="str">
        <f>IF(C253="*","*",IF(C253&gt;0,#REF!/C253*100,"-"))</f>
        <v>-</v>
      </c>
      <c r="I253" s="44" t="e">
        <f>IF(C253="*","*",C253-#REF!)</f>
        <v>#REF!</v>
      </c>
      <c r="J253" s="45">
        <f>IF(C253="*","*",[4]Weeks!V134-[4]Weeks!V174)</f>
        <v>0</v>
      </c>
      <c r="K253" s="45">
        <f>IF(C253="*","*",[4]Weeks!V94-[4]Weeks!V134)</f>
        <v>0</v>
      </c>
      <c r="L253" s="45">
        <f>IF(C253="*","*",[4]Weeks!V54-[4]Weeks!V94)</f>
        <v>0</v>
      </c>
      <c r="M253" s="45">
        <f>IF(C253="*","*",[4]Weeks!V16-[4]Weeks!V54)</f>
        <v>0</v>
      </c>
      <c r="N253" s="46" t="str">
        <f t="shared" si="49"/>
        <v>-</v>
      </c>
      <c r="O253" s="45">
        <f t="shared" si="50"/>
        <v>0</v>
      </c>
      <c r="P253" s="41">
        <f>IF(ISTEXT(C253),#REF!,IF(ISNUMBER([4]CLOSURES!V17),TEXT([4]CLOSURES!V17,"ddmmm"),IF(C253&lt;=0,0,IF(I253&lt;0,0,IF(AND(C253&gt;0,O253&lt;=0),"&gt;99",IF(I253/O253&gt;100,"&gt;99",MAX(0,I253/O253-2)))))))</f>
        <v>0</v>
      </c>
      <c r="R253" s="185"/>
    </row>
    <row r="254" spans="2:18" s="191" customFormat="1" hidden="1" x14ac:dyDescent="0.2">
      <c r="B254" s="40" t="s">
        <v>76</v>
      </c>
      <c r="C254" s="42">
        <f>[4]quotas!V60</f>
        <v>0</v>
      </c>
      <c r="D254" s="45">
        <f>[4]quotas!V60-[4]quotas!V100</f>
        <v>0</v>
      </c>
      <c r="E254" s="45"/>
      <c r="F254" s="71">
        <f>[4]quotas!Y60</f>
        <v>0</v>
      </c>
      <c r="G254" s="45" t="e">
        <f>IF(#REF!="*","*",[4]Cumulative!X70)</f>
        <v>#REF!</v>
      </c>
      <c r="H254" s="46" t="str">
        <f>IF(C254="*","*",IF(C254&gt;0,#REF!/C254*100,"-"))</f>
        <v>-</v>
      </c>
      <c r="I254" s="44" t="e">
        <f>IF(C254="*","*",C254-#REF!)</f>
        <v>#REF!</v>
      </c>
      <c r="J254" s="45">
        <f>IF(C254="*","*",[4]Weeks!V137-[4]Weeks!V177)</f>
        <v>0</v>
      </c>
      <c r="K254" s="45">
        <f>IF(C254="*","*",[4]Weeks!V97-[4]Weeks!V137)</f>
        <v>0</v>
      </c>
      <c r="L254" s="45">
        <f>IF(C254="*","*",[4]Weeks!V57-[4]Weeks!V97)</f>
        <v>0</v>
      </c>
      <c r="M254" s="45">
        <f>IF(C254="*","*",[4]Weeks!V17-[4]Weeks!V57)</f>
        <v>0</v>
      </c>
      <c r="N254" s="46" t="str">
        <f t="shared" si="49"/>
        <v>-</v>
      </c>
      <c r="O254" s="45">
        <f t="shared" si="50"/>
        <v>0</v>
      </c>
      <c r="P254" s="41">
        <f>IF(ISTEXT(C254),#REF!,IF(ISNUMBER([4]CLOSURES!V18),TEXT([4]CLOSURES!V18,"ddmmm"),IF(C254&lt;=0,0,IF(I254&lt;0,0,IF(AND(C254&gt;0,O254&lt;=0),"&gt;99",IF(I254/O254&gt;100,"&gt;99",MAX(0,I254/O254-2)))))))</f>
        <v>0</v>
      </c>
      <c r="R254" s="185"/>
    </row>
    <row r="255" spans="2:18" s="191" customFormat="1" hidden="1" x14ac:dyDescent="0.2">
      <c r="B255" s="40" t="s">
        <v>77</v>
      </c>
      <c r="C255" s="42">
        <f>[4]quotas!V61</f>
        <v>0</v>
      </c>
      <c r="D255" s="45">
        <f>[4]quotas!V61-[4]quotas!V101</f>
        <v>0</v>
      </c>
      <c r="E255" s="45"/>
      <c r="F255" s="71">
        <f>[4]quotas!Y61</f>
        <v>0</v>
      </c>
      <c r="G255" s="45" t="e">
        <f>IF(#REF!="*","*",[4]Cumulative!X71)</f>
        <v>#REF!</v>
      </c>
      <c r="H255" s="46" t="str">
        <f>IF(C255="*","*",IF(C255&gt;0,#REF!/C255*100,"-"))</f>
        <v>-</v>
      </c>
      <c r="I255" s="44" t="e">
        <f>IF(C255="*","*",C255-#REF!)</f>
        <v>#REF!</v>
      </c>
      <c r="J255" s="45">
        <f>IF(C255="*","*",[4]Weeks!V138-[4]Weeks!V178)</f>
        <v>0</v>
      </c>
      <c r="K255" s="45">
        <f>IF(C255="*","*",[4]Weeks!V98-[4]Weeks!V138)</f>
        <v>0</v>
      </c>
      <c r="L255" s="45">
        <f>IF(C255="*","*",[4]Weeks!V58-[4]Weeks!V98)</f>
        <v>0</v>
      </c>
      <c r="M255" s="45">
        <f>IF(C255="*","*",[4]Weeks!V18-[4]Weeks!V58)</f>
        <v>0</v>
      </c>
      <c r="N255" s="46" t="str">
        <f t="shared" si="49"/>
        <v>-</v>
      </c>
      <c r="O255" s="45">
        <f t="shared" si="50"/>
        <v>0</v>
      </c>
      <c r="P255" s="41">
        <f>IF(ISTEXT(C255),#REF!,IF(ISNUMBER([4]CLOSURES!V19),TEXT([4]CLOSURES!V19,"ddmmm"),IF(C255&lt;=0,0,IF(I255&lt;0,0,IF(AND(C255&gt;0,O255&lt;=0),"&gt;99",IF(I255/O255&gt;100,"&gt;99",MAX(0,I255/O255-2)))))))</f>
        <v>0</v>
      </c>
      <c r="R255" s="185"/>
    </row>
    <row r="256" spans="2:18" s="191" customFormat="1" hidden="1" x14ac:dyDescent="0.2">
      <c r="B256" s="40" t="s">
        <v>78</v>
      </c>
      <c r="C256" s="42">
        <f>[4]quotas!V62</f>
        <v>0</v>
      </c>
      <c r="D256" s="45">
        <f>[4]quotas!V62-[4]quotas!V102</f>
        <v>0</v>
      </c>
      <c r="E256" s="45"/>
      <c r="F256" s="71">
        <f>[4]quotas!Y62</f>
        <v>0</v>
      </c>
      <c r="G256" s="45" t="e">
        <f>IF(#REF!="*","*",[4]Cumulative!X72)</f>
        <v>#REF!</v>
      </c>
      <c r="H256" s="46" t="str">
        <f>IF(C256="*","*",IF(C256&gt;0,#REF!/C256*100,"-"))</f>
        <v>-</v>
      </c>
      <c r="I256" s="44" t="e">
        <f>IF(C256="*","*",C256-#REF!)</f>
        <v>#REF!</v>
      </c>
      <c r="J256" s="45">
        <f>IF(C256="*","*",[4]Weeks!V139-[4]Weeks!V179)</f>
        <v>0</v>
      </c>
      <c r="K256" s="45">
        <f>IF(C256="*","*",[4]Weeks!V99-[4]Weeks!V139)</f>
        <v>0</v>
      </c>
      <c r="L256" s="45">
        <f>IF(C256="*","*",[4]Weeks!V59-[4]Weeks!V99)</f>
        <v>0</v>
      </c>
      <c r="M256" s="45">
        <f>IF(C256="*","*",[4]Weeks!V19-[4]Weeks!V59)</f>
        <v>0</v>
      </c>
      <c r="N256" s="46" t="str">
        <f t="shared" si="49"/>
        <v>-</v>
      </c>
      <c r="O256" s="45">
        <f t="shared" si="50"/>
        <v>0</v>
      </c>
      <c r="P256" s="41">
        <f>IF(ISTEXT(C256),#REF!,IF(ISNUMBER([4]CLOSURES!V20),TEXT([4]CLOSURES!V20,"ddmmm"),IF(C256&lt;=0,0,IF(I256&lt;0,0,IF(AND(C256&gt;0,O256&lt;=0),"&gt;99",IF(I256/O256&gt;100,"&gt;99",MAX(0,I256/O256-2)))))))</f>
        <v>0</v>
      </c>
      <c r="R256" s="185"/>
    </row>
    <row r="257" spans="1:254" s="191" customFormat="1" hidden="1" x14ac:dyDescent="0.2">
      <c r="B257" s="40" t="s">
        <v>79</v>
      </c>
      <c r="C257" s="42">
        <f>[4]quotas!V63</f>
        <v>0</v>
      </c>
      <c r="D257" s="45">
        <f>[4]quotas!V63-[4]quotas!V103</f>
        <v>0</v>
      </c>
      <c r="E257" s="45"/>
      <c r="F257" s="71">
        <f>[4]quotas!Y63</f>
        <v>0</v>
      </c>
      <c r="G257" s="45" t="e">
        <f>IF(#REF!="*","*",[4]Cumulative!X73)</f>
        <v>#REF!</v>
      </c>
      <c r="H257" s="46" t="str">
        <f>IF(C257="*","*",IF(C257&gt;0,#REF!/C257*100,"-"))</f>
        <v>-</v>
      </c>
      <c r="I257" s="44" t="e">
        <f>IF(C257="*","*",C257-#REF!)</f>
        <v>#REF!</v>
      </c>
      <c r="J257" s="45">
        <f>IF(C257="*","*",[4]Weeks!V140-[4]Weeks!V180)</f>
        <v>0</v>
      </c>
      <c r="K257" s="45">
        <f>IF(C257="*","*",[4]Weeks!V100-[4]Weeks!V140)</f>
        <v>0</v>
      </c>
      <c r="L257" s="45">
        <f>IF(C257="*","*",[4]Weeks!V60-[4]Weeks!V100)</f>
        <v>0</v>
      </c>
      <c r="M257" s="45">
        <f>IF(C257="*","*",[4]Weeks!V20-[4]Weeks!V60)</f>
        <v>0</v>
      </c>
      <c r="N257" s="46" t="str">
        <f t="shared" si="49"/>
        <v>-</v>
      </c>
      <c r="O257" s="45">
        <f t="shared" si="50"/>
        <v>0</v>
      </c>
      <c r="P257" s="41">
        <f>IF(ISTEXT(C257),#REF!,IF(ISNUMBER([4]CLOSURES!V21),TEXT([4]CLOSURES!V21,"ddmmm"),IF(C257&lt;=0,0,IF(I257&lt;0,0,IF(AND(C257&gt;0,O257&lt;=0),"&gt;99",IF(I257/O257&gt;100,"&gt;99",MAX(0,I257/O257-2)))))))</f>
        <v>0</v>
      </c>
      <c r="R257" s="185"/>
    </row>
    <row r="258" spans="1:254" s="191" customFormat="1" hidden="1" x14ac:dyDescent="0.2">
      <c r="B258" s="40" t="s">
        <v>80</v>
      </c>
      <c r="C258" s="42">
        <f>[4]quotas!V64</f>
        <v>0</v>
      </c>
      <c r="D258" s="45">
        <f>[4]quotas!V64-[4]quotas!V104</f>
        <v>0</v>
      </c>
      <c r="E258" s="45"/>
      <c r="F258" s="71">
        <f>[4]quotas!Y64</f>
        <v>0</v>
      </c>
      <c r="G258" s="45" t="e">
        <f>IF(#REF!="*","*",[4]Cumulative!X74)</f>
        <v>#REF!</v>
      </c>
      <c r="H258" s="46" t="str">
        <f>IF(C258="*","*",IF(C258&gt;0,#REF!/C258*100,"-"))</f>
        <v>-</v>
      </c>
      <c r="I258" s="44" t="e">
        <f>IF(C258="*","*",C258-#REF!)</f>
        <v>#REF!</v>
      </c>
      <c r="J258" s="45">
        <f>IF(C258="*","*",[4]Weeks!V141-[4]Weeks!V181)</f>
        <v>0</v>
      </c>
      <c r="K258" s="45">
        <f>IF(C258="*","*",[4]Weeks!V101-[4]Weeks!V141)</f>
        <v>0</v>
      </c>
      <c r="L258" s="45">
        <f>IF(C258="*","*",[4]Weeks!V61-[4]Weeks!V101)</f>
        <v>0</v>
      </c>
      <c r="M258" s="45">
        <f>IF(C258="*","*",[4]Weeks!V21-[4]Weeks!V61)</f>
        <v>0</v>
      </c>
      <c r="N258" s="46" t="str">
        <f t="shared" si="49"/>
        <v>-</v>
      </c>
      <c r="O258" s="45">
        <f t="shared" si="50"/>
        <v>0</v>
      </c>
      <c r="P258" s="41">
        <f>IF(ISTEXT(C258),#REF!,IF(ISNUMBER([4]CLOSURES!V22),TEXT([4]CLOSURES!V22,"ddmmm"),IF(C258&lt;=0,0,IF(I258&lt;0,0,IF(AND(C258&gt;0,O258&lt;=0),"&gt;99",IF(I258/O258&gt;100,"&gt;99",MAX(0,I258/O258-2)))))))</f>
        <v>0</v>
      </c>
      <c r="R258" s="185"/>
    </row>
    <row r="259" spans="1:254" s="191" customFormat="1" hidden="1" x14ac:dyDescent="0.2">
      <c r="B259" s="40" t="s">
        <v>81</v>
      </c>
      <c r="C259" s="42">
        <f>[4]quotas!V65</f>
        <v>0</v>
      </c>
      <c r="D259" s="45">
        <f>[4]quotas!V65-[4]quotas!V105</f>
        <v>0</v>
      </c>
      <c r="E259" s="45"/>
      <c r="F259" s="71">
        <f>[4]quotas!Y65</f>
        <v>0</v>
      </c>
      <c r="G259" s="45" t="e">
        <f>IF(#REF!="*","*",[4]Cumulative!X75)</f>
        <v>#REF!</v>
      </c>
      <c r="H259" s="46" t="str">
        <f>IF(C259="*","*",IF(C259&gt;0,#REF!/C259*100,"-"))</f>
        <v>-</v>
      </c>
      <c r="I259" s="44" t="e">
        <f>IF(C259="*","*",C259-#REF!)</f>
        <v>#REF!</v>
      </c>
      <c r="J259" s="45">
        <f>IF(C259="*","*",[4]Weeks!V142-[4]Weeks!V182)</f>
        <v>0</v>
      </c>
      <c r="K259" s="45">
        <f>IF(C259="*","*",[4]Weeks!V102-[4]Weeks!V142)</f>
        <v>0</v>
      </c>
      <c r="L259" s="45">
        <f>IF(C259="*","*",[4]Weeks!V62-[4]Weeks!V102)</f>
        <v>0</v>
      </c>
      <c r="M259" s="45">
        <f>IF(C259="*","*",[4]Weeks!V22-[4]Weeks!V62)</f>
        <v>0</v>
      </c>
      <c r="N259" s="46" t="str">
        <f t="shared" si="49"/>
        <v>-</v>
      </c>
      <c r="O259" s="45">
        <f t="shared" si="50"/>
        <v>0</v>
      </c>
      <c r="P259" s="41">
        <f>IF(ISTEXT(C259),#REF!,IF(ISNUMBER([4]CLOSURES!V23),TEXT([4]CLOSURES!V23,"ddmmm"),IF(C259&lt;=0,0,IF(I259&lt;0,0,IF(AND(C259&gt;0,O259&lt;=0),"&gt;99",IF(I259/O259&gt;100,"&gt;99",MAX(0,I259/O259-2)))))))</f>
        <v>0</v>
      </c>
      <c r="R259" s="185"/>
    </row>
    <row r="260" spans="1:254" s="191" customFormat="1" hidden="1" x14ac:dyDescent="0.2">
      <c r="B260" s="40" t="s">
        <v>103</v>
      </c>
      <c r="C260" s="42">
        <f>[4]quotas!V66</f>
        <v>0</v>
      </c>
      <c r="D260" s="45">
        <f>[4]quotas!V66-[4]quotas!V106</f>
        <v>0</v>
      </c>
      <c r="E260" s="45"/>
      <c r="F260" s="71">
        <f>[4]quotas!Y66</f>
        <v>0</v>
      </c>
      <c r="G260" s="45" t="e">
        <f>IF(#REF!="*","*",[4]Cumulative!X76)</f>
        <v>#REF!</v>
      </c>
      <c r="H260" s="46" t="str">
        <f>IF(C260="*","*",IF(C260&gt;0,#REF!/C260*100,"-"))</f>
        <v>-</v>
      </c>
      <c r="I260" s="44" t="e">
        <f>IF(C260="*","*",C260-#REF!)</f>
        <v>#REF!</v>
      </c>
      <c r="J260" s="45">
        <f>IF(C260="*","*",[4]Weeks!V143-[4]Weeks!V183)</f>
        <v>0</v>
      </c>
      <c r="K260" s="45">
        <f>IF(C260="*","*",[4]Weeks!V103-[4]Weeks!V143)</f>
        <v>0</v>
      </c>
      <c r="L260" s="45">
        <f>IF(C260="*","*",[4]Weeks!V63-[4]Weeks!V103)</f>
        <v>0</v>
      </c>
      <c r="M260" s="45">
        <f>IF(C260="*","*",[4]Weeks!V23-[4]Weeks!V63)</f>
        <v>0</v>
      </c>
      <c r="N260" s="46" t="str">
        <f t="shared" si="49"/>
        <v>-</v>
      </c>
      <c r="O260" s="45">
        <f t="shared" si="50"/>
        <v>0</v>
      </c>
      <c r="P260" s="41">
        <f>IF(ISTEXT(C260),#REF!,IF(ISNUMBER([4]CLOSURES!V24),TEXT([4]CLOSURES!V24,"ddmmm"),IF(C260&lt;=0,0,IF(I260&lt;0,0,IF(AND(C260&gt;0,O260&lt;=0),"&gt;99",IF(I260/O260&gt;100,"&gt;99",MAX(0,I260/O260-2)))))))</f>
        <v>0</v>
      </c>
      <c r="R260" s="185"/>
    </row>
    <row r="261" spans="1:254" s="191" customFormat="1" hidden="1" x14ac:dyDescent="0.2">
      <c r="B261" s="40" t="s">
        <v>104</v>
      </c>
      <c r="C261" s="42">
        <f>[4]quotas!V67</f>
        <v>0</v>
      </c>
      <c r="D261" s="45">
        <f>[4]quotas!V67-[4]quotas!V107</f>
        <v>0</v>
      </c>
      <c r="E261" s="45"/>
      <c r="F261" s="71">
        <f>[4]quotas!Y67</f>
        <v>0</v>
      </c>
      <c r="G261" s="45" t="e">
        <f>IF(#REF!="*","*",[4]Cumulative!X77)</f>
        <v>#REF!</v>
      </c>
      <c r="H261" s="46" t="str">
        <f>IF(C261="*","*",IF(C261&gt;0,#REF!/C261*100,"-"))</f>
        <v>-</v>
      </c>
      <c r="I261" s="44" t="e">
        <f>IF(C261="*","*",C261-#REF!)</f>
        <v>#REF!</v>
      </c>
      <c r="J261" s="45">
        <f>IF(C261="*","*",[4]Weeks!V144-[4]Weeks!V184)</f>
        <v>0</v>
      </c>
      <c r="K261" s="45">
        <f>IF(C261="*","*",[4]Weeks!V104-[4]Weeks!V144)</f>
        <v>0</v>
      </c>
      <c r="L261" s="45">
        <f>IF(C261="*","*",[4]Weeks!V64-[4]Weeks!V104)</f>
        <v>0</v>
      </c>
      <c r="M261" s="45">
        <f>IF(C261="*","*",[4]Weeks!V24-[4]Weeks!V64)</f>
        <v>0</v>
      </c>
      <c r="N261" s="46" t="str">
        <f t="shared" si="49"/>
        <v>-</v>
      </c>
      <c r="O261" s="45">
        <f t="shared" si="50"/>
        <v>0</v>
      </c>
      <c r="P261" s="41">
        <f>IF(ISTEXT(C261),#REF!,IF(ISNUMBER([4]CLOSURES!V25),TEXT([4]CLOSURES!V25,"ddmmm"),IF(C261&lt;=0,0,IF(I261&lt;0,0,IF(AND(C261&gt;0,O261&lt;=0),"&gt;99",IF(I261/O261&gt;100,"&gt;99",MAX(0,I261/O261-2)))))))</f>
        <v>0</v>
      </c>
      <c r="R261" s="185"/>
    </row>
    <row r="262" spans="1:254" s="191" customFormat="1" hidden="1" x14ac:dyDescent="0.2">
      <c r="B262" s="40" t="s">
        <v>70</v>
      </c>
      <c r="C262" s="42">
        <f>[4]quotas!V68</f>
        <v>0</v>
      </c>
      <c r="D262" s="45">
        <f>[4]quotas!V68-[4]quotas!V108</f>
        <v>0</v>
      </c>
      <c r="E262" s="45"/>
      <c r="F262" s="71">
        <f>[4]quotas!Y68</f>
        <v>0</v>
      </c>
      <c r="G262" s="45" t="e">
        <f>IF(#REF!="*","*",[4]Cumulative!X64)</f>
        <v>#REF!</v>
      </c>
      <c r="H262" s="46" t="str">
        <f>IF(C262="*","*",IF(C262&gt;0,#REF!/C262*100,"-"))</f>
        <v>-</v>
      </c>
      <c r="I262" s="44" t="e">
        <f>IF(C262="*","*",C262-#REF!)</f>
        <v>#REF!</v>
      </c>
      <c r="J262" s="45">
        <f>IF(C262="*","*",[4]Weeks!V145-[4]Weeks!V185)</f>
        <v>0</v>
      </c>
      <c r="K262" s="45">
        <f>IF(C262="*","*",[4]Weeks!V105-[4]Weeks!V145)</f>
        <v>0</v>
      </c>
      <c r="L262" s="45">
        <f>IF(C262="*","*",[4]Weeks!V65-[4]Weeks!V105)</f>
        <v>0</v>
      </c>
      <c r="M262" s="45">
        <f>IF(C262="*","*",[4]Weeks!V25-[4]Weeks!V65)</f>
        <v>0</v>
      </c>
      <c r="N262" s="46" t="str">
        <f t="shared" si="49"/>
        <v>-</v>
      </c>
      <c r="O262" s="45">
        <f t="shared" si="50"/>
        <v>0</v>
      </c>
      <c r="P262" s="41">
        <f>IF(ISTEXT(C262),#REF!,IF(ISNUMBER([4]CLOSURES!V12),TEXT([4]CLOSURES!V12,"ddmmm"),IF(C262&lt;=0,0,IF(I262&lt;0,0,IF(AND(C262&gt;0,O262&lt;=0),"&gt;99",IF(I262/O262&gt;100,"&gt;99",MAX(0,I262/O262-2)))))))</f>
        <v>0</v>
      </c>
      <c r="R262" s="185"/>
    </row>
    <row r="263" spans="1:254" s="191" customFormat="1" hidden="1" x14ac:dyDescent="0.2">
      <c r="B263" s="40" t="s">
        <v>105</v>
      </c>
      <c r="C263" s="42">
        <f>[4]quotas!V56</f>
        <v>0</v>
      </c>
      <c r="D263" s="45">
        <f>[4]quotas!V56-[4]quotas!V96</f>
        <v>0</v>
      </c>
      <c r="E263" s="45"/>
      <c r="F263" s="71">
        <f>[4]quotas!Y56</f>
        <v>0</v>
      </c>
      <c r="G263" s="45" t="e">
        <f>IF(#REF!="*","*",SUM([4]Cumulative!X66:X66))</f>
        <v>#REF!</v>
      </c>
      <c r="H263" s="46" t="str">
        <f>IF(C263="*","*",IF(C263&gt;0,#REF!/C263*100,"-"))</f>
        <v>-</v>
      </c>
      <c r="I263" s="44" t="e">
        <f>IF(C263="*","*",C263-#REF!)</f>
        <v>#REF!</v>
      </c>
      <c r="J263" s="45">
        <f>IF(C263="*","*",[4]Weeks!V146-[4]Weeks!V186)</f>
        <v>0</v>
      </c>
      <c r="K263" s="45">
        <f>IF(C263="*","*",[4]Weeks!V106-[4]Weeks!V146)</f>
        <v>0</v>
      </c>
      <c r="L263" s="45">
        <f>IF(C263="*","*",[4]Weeks!V66-[4]Weeks!V106)</f>
        <v>0</v>
      </c>
      <c r="M263" s="45">
        <f>IF(C263="*","*",[4]Weeks!V13-[4]Weeks!V66)</f>
        <v>0</v>
      </c>
      <c r="N263" s="46" t="str">
        <f t="shared" si="49"/>
        <v>-</v>
      </c>
      <c r="O263" s="45">
        <f t="shared" si="50"/>
        <v>0</v>
      </c>
      <c r="P263" s="41">
        <f>IF(ISTEXT(C263),#REF!,IF(ISNUMBER([4]CLOSURES!V14),TEXT([4]CLOSURES!V14,"ddmmm"),IF(C263&lt;=0,0,IF(I263&lt;0,0,IF(AND(C263&gt;0,O263&lt;=0),"&gt;99",IF(I263/O263&gt;100,"&gt;99",MAX(0,I263/O263-2)))))))</f>
        <v>0</v>
      </c>
      <c r="R263" s="185"/>
    </row>
    <row r="264" spans="1:254" hidden="1" x14ac:dyDescent="0.2">
      <c r="A264" s="191"/>
      <c r="B264" s="57" t="s">
        <v>87</v>
      </c>
      <c r="C264" s="42">
        <f>[4]quotas!V73</f>
        <v>0</v>
      </c>
      <c r="D264" s="45">
        <f>[4]quotas!V73-[4]quotas!V113</f>
        <v>0</v>
      </c>
      <c r="E264" s="45"/>
      <c r="F264" s="71">
        <f>[4]quotas!Y73</f>
        <v>0</v>
      </c>
      <c r="G264" s="45" t="e">
        <f>IF(#REF!="*","*",([4]Cumulative!X58+[4]Cumulative!X61)+SUM([4]Cumulative!X64:X69)+SUM([4]Cumulative!X76:X77)+[4]Cumulative!X80)</f>
        <v>#REF!</v>
      </c>
      <c r="H264" s="46" t="str">
        <f>IF(C264="*","*",IF(C264&gt;0,#REF!/C264*100,"-"))</f>
        <v>-</v>
      </c>
      <c r="I264" s="44" t="e">
        <f>IF(C264="*","*",C264-#REF!)</f>
        <v>#REF!</v>
      </c>
      <c r="J264" s="45">
        <f>IF(C264="*","*",[4]Weeks!V147-[4]Weeks!V187)</f>
        <v>0</v>
      </c>
      <c r="K264" s="45">
        <f>IF(C264="*","*",[4]Weeks!V107-[4]Weeks!V147)</f>
        <v>0</v>
      </c>
      <c r="L264" s="45">
        <f>IF(C264="*","*",[4]Weeks!V67-[4]Weeks!V107)</f>
        <v>0</v>
      </c>
      <c r="M264" s="45">
        <f>IF(C264="*","*",[4]Weeks!V27-[4]Weeks!V67)</f>
        <v>0</v>
      </c>
      <c r="N264" s="46" t="str">
        <f t="shared" si="49"/>
        <v>-</v>
      </c>
      <c r="O264" s="45">
        <f t="shared" si="50"/>
        <v>0</v>
      </c>
      <c r="P264" s="41">
        <f>IF(ISTEXT(C264),#REF!,IF(ISNUMBER([4]CLOSURES!V33),TEXT([4]CLOSURES!V33,"ddmmm"),IF(C264&lt;=0,0,IF(I264&lt;0,0,IF(AND(C264&gt;0,O264&lt;=0),"&gt;99",IF(I264/O264&gt;100,"&gt;99",MAX(0,I264/O264-2)))))))</f>
        <v>0</v>
      </c>
      <c r="Q264" s="191"/>
    </row>
    <row r="265" spans="1:254" hidden="1" x14ac:dyDescent="0.2">
      <c r="A265" s="191"/>
      <c r="B265" s="49" t="s">
        <v>88</v>
      </c>
      <c r="C265" s="42">
        <f>[4]quotas!V74</f>
        <v>0</v>
      </c>
      <c r="D265" s="45">
        <f>[4]quotas!V74-[4]quotas!V114</f>
        <v>0</v>
      </c>
      <c r="E265" s="45"/>
      <c r="F265" s="71">
        <f>[4]quotas!Y74</f>
        <v>0</v>
      </c>
      <c r="G265" s="45" t="e">
        <f>IF(#REF!="*","*",[4]Cumulative!X84)</f>
        <v>#REF!</v>
      </c>
      <c r="H265" s="46" t="str">
        <f>IF(C265="*","*",IF(C265&gt;0,#REF!/C265*100,"-"))</f>
        <v>-</v>
      </c>
      <c r="I265" s="44" t="e">
        <f>IF(C265="*","*",C265-#REF!)</f>
        <v>#REF!</v>
      </c>
      <c r="J265" s="45">
        <f>IF(C265="*","*",[4]Weeks!V135-[4]Weeks!V175)</f>
        <v>0</v>
      </c>
      <c r="K265" s="45">
        <f>IF(C265="*","*",[4]Weeks!V95-[4]Weeks!V135)</f>
        <v>0</v>
      </c>
      <c r="L265" s="45">
        <f>IF(C265="*","*",[4]Weeks!V55-[4]Weeks!V95)</f>
        <v>0</v>
      </c>
      <c r="M265" s="45">
        <f>IF(C265="*","*",[4]Weeks!V28-[4]Weeks!V55)</f>
        <v>0</v>
      </c>
      <c r="N265" s="46" t="str">
        <f t="shared" si="49"/>
        <v>-</v>
      </c>
      <c r="O265" s="45">
        <f t="shared" si="50"/>
        <v>0</v>
      </c>
      <c r="P265" s="41">
        <f>IF(ISTEXT(C265),#REF!,IF(ISNUMBER([4]CLOSURES!V35),TEXT([4]CLOSURES!V35,"ddmmm"),IF(C265&lt;=0,0,IF(I265&lt;0,0,IF(AND(C265&gt;0,O265&lt;=0),"&gt;99",IF(I265/O265&gt;100,"&gt;99",MAX(0,I265/O265-2)))))))</f>
        <v>0</v>
      </c>
      <c r="Q265" s="191"/>
    </row>
    <row r="266" spans="1:254" hidden="1" x14ac:dyDescent="0.2">
      <c r="A266" s="191"/>
      <c r="B266" s="49" t="s">
        <v>89</v>
      </c>
      <c r="C266" s="42">
        <f>[4]quotas!V78</f>
        <v>0</v>
      </c>
      <c r="D266" s="45">
        <f>[4]quotas!V78-[4]quotas!V118</f>
        <v>0</v>
      </c>
      <c r="E266" s="45"/>
      <c r="F266" s="71">
        <f>[4]quotas!Y78</f>
        <v>0</v>
      </c>
      <c r="G266" s="45" t="e">
        <f>IF(#REF!="*","*",[4]Cumulative!X85)</f>
        <v>#REF!</v>
      </c>
      <c r="H266" s="46" t="str">
        <f>IF(C266="*","*",IF(C266&gt;0,#REF!/C266*100,"-"))</f>
        <v>-</v>
      </c>
      <c r="I266" s="44" t="e">
        <f>IF(C266="*","*",C266-#REF!)</f>
        <v>#REF!</v>
      </c>
      <c r="J266" s="45">
        <f>IF(C266="*","*",[4]Weeks!V152-[4]Weeks!V192)</f>
        <v>0</v>
      </c>
      <c r="K266" s="45">
        <f>IF(C266="*","*",[4]Weeks!V112-[4]Weeks!V152)</f>
        <v>0</v>
      </c>
      <c r="L266" s="45">
        <f>IF(C266="*","*",[4]Weeks!V72-[4]Weeks!V112)</f>
        <v>0</v>
      </c>
      <c r="M266" s="45">
        <f>IF(C266="*","*",[4]Weeks!V32-[4]Weeks!V72)</f>
        <v>0</v>
      </c>
      <c r="N266" s="46" t="str">
        <f t="shared" si="49"/>
        <v>-</v>
      </c>
      <c r="O266" s="45">
        <f t="shared" si="50"/>
        <v>0</v>
      </c>
      <c r="P266" s="41">
        <f>IF(ISTEXT(C266),#REF!,IF(ISNUMBER([4]CLOSURES!V39),TEXT([4]CLOSURES!V39,"ddmmm"),IF(C266&lt;=0,0,IF(I266&lt;0,0,IF(AND(C266&gt;0,O266&lt;=0),"&gt;99",IF(I266/O266&gt;100,"&gt;99",MAX(0,I266/O266-2)))))))</f>
        <v>0</v>
      </c>
      <c r="Q266" s="191"/>
    </row>
    <row r="267" spans="1:254" hidden="1" x14ac:dyDescent="0.2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2">
      <c r="A268" s="191"/>
      <c r="B268" s="208" t="s">
        <v>91</v>
      </c>
      <c r="C268" s="50">
        <f>[4]PELAGIC!P24</f>
        <v>0</v>
      </c>
      <c r="D268" s="52">
        <f>[4]quotas!V80-[4]quotas!V120</f>
        <v>0</v>
      </c>
      <c r="E268" s="52"/>
      <c r="F268" s="72" t="e">
        <f>[4]PELAGIC!S24</f>
        <v>#DIV/0!</v>
      </c>
      <c r="G268" s="52" t="e">
        <f>SUM(G244:G267)</f>
        <v>#REF!</v>
      </c>
      <c r="H268" s="58" t="str">
        <f>IF(C268="*","*",IF(C268&gt;0,#REF!/C268*100,"-"))</f>
        <v>-</v>
      </c>
      <c r="I268" s="51" t="e">
        <f>C268-#REF!</f>
        <v>#REF!</v>
      </c>
      <c r="J268" s="52">
        <f>SUM(J244:J267)</f>
        <v>0</v>
      </c>
      <c r="K268" s="52">
        <f>SUM(K244:K267)</f>
        <v>0</v>
      </c>
      <c r="L268" s="52">
        <f>SUM(L244:L267)</f>
        <v>0</v>
      </c>
      <c r="M268" s="52" t="e">
        <f>SUM(M244:M267)</f>
        <v>#VALUE!</v>
      </c>
      <c r="N268" s="58" t="str">
        <f>IF(C268="*","*",IF(C268&gt;0,M268/C268*100,"-"))</f>
        <v>-</v>
      </c>
      <c r="O268" s="52" t="e">
        <f>IF(C268="*","*",SUM(J268:M268)/4)</f>
        <v>#VALUE!</v>
      </c>
      <c r="P268" s="54">
        <f>IF(ISTEXT(C268),#REF!,IF(ISNUMBER([4]CLOSURES!#REF!),TEXT([4]CLOSURES!#REF!,"ddmmm"),IF(C268&lt;=0,0,IF(I268&lt;0,0,IF(AND(C268&gt;0,O268&lt;=0),"&gt;99",IF(I268/O268&gt;100,"&gt;99",MAX(0,I268/O268-2)))))))</f>
        <v>0</v>
      </c>
      <c r="Q268" s="191"/>
    </row>
    <row r="269" spans="1:254" ht="10.7" hidden="1" customHeight="1" x14ac:dyDescent="0.2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7" hidden="1" customHeight="1" x14ac:dyDescent="0.2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7" hidden="1" customHeight="1" x14ac:dyDescent="0.2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7" hidden="1" customHeight="1" x14ac:dyDescent="0.2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7" hidden="1" customHeight="1" x14ac:dyDescent="0.2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7" hidden="1" customHeight="1" x14ac:dyDescent="0.2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f>$J7</f>
        <v>44468</v>
      </c>
      <c r="K274" s="33">
        <f>$K7</f>
        <v>44475</v>
      </c>
      <c r="L274" s="33">
        <f>$L7</f>
        <v>44482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7" hidden="1" customHeight="1" x14ac:dyDescent="0.2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7" hidden="1" customHeight="1" x14ac:dyDescent="0.2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7" hidden="1" customHeight="1" x14ac:dyDescent="0.2">
      <c r="B277" s="40"/>
      <c r="C277" s="237" t="s">
        <v>26</v>
      </c>
      <c r="D277" s="234"/>
      <c r="E277" s="234"/>
      <c r="F277" s="234"/>
      <c r="G277" s="234"/>
      <c r="H277" s="234"/>
      <c r="I277" s="234"/>
      <c r="J277" s="234"/>
      <c r="K277" s="234"/>
      <c r="L277" s="234"/>
      <c r="M277" s="234"/>
      <c r="N277" s="234"/>
      <c r="O277" s="234"/>
      <c r="P277" s="41" t="s">
        <v>4</v>
      </c>
      <c r="R277" s="185"/>
    </row>
    <row r="278" spans="2:18" s="191" customFormat="1" ht="10.7" hidden="1" customHeight="1" x14ac:dyDescent="0.2">
      <c r="B278" s="40" t="s">
        <v>62</v>
      </c>
      <c r="C278" s="42">
        <f>[4]quotas!P47</f>
        <v>0</v>
      </c>
      <c r="D278" s="45">
        <f>[4]quotas!P47-[4]quotas!P87</f>
        <v>0</v>
      </c>
      <c r="E278" s="45"/>
      <c r="F278" s="71">
        <f>[4]quotas!S47</f>
        <v>0</v>
      </c>
      <c r="G278" s="45" t="e">
        <f>IF(#REF!="*","*",[4]Cumulative!R57)</f>
        <v>#REF!</v>
      </c>
      <c r="H278" s="46" t="str">
        <f>IF(C278="*","*",IF(C278&gt;0,#REF!/C278*100,"-"))</f>
        <v>-</v>
      </c>
      <c r="I278" s="44" t="e">
        <f>IF(C278="*","*",C278-#REF!)</f>
        <v>#REF!</v>
      </c>
      <c r="J278" s="45">
        <f>IF(C278="*","*",[4]Weeks!P126-[4]Weeks!P166)</f>
        <v>0</v>
      </c>
      <c r="K278" s="45">
        <f>IF(C278="*","*",[4]Weeks!P86-[4]Weeks!P126)</f>
        <v>0</v>
      </c>
      <c r="L278" s="45">
        <f>IF(C278="*","*",[4]Weeks!P46-[4]Weeks!P86)</f>
        <v>0</v>
      </c>
      <c r="M278" s="45" t="e">
        <f>IF(C278="*","*",[4]Weeks!P4-[4]Weeks!P46)</f>
        <v>#VALUE!</v>
      </c>
      <c r="N278" s="46" t="str">
        <f t="shared" ref="N278:N300" si="51">IF(C278="*","*",IF(C278&gt;0,M278/C278*100,"-"))</f>
        <v>-</v>
      </c>
      <c r="O278" s="45" t="e">
        <f t="shared" ref="O278:O300" si="52">IF(C278="*","*",SUM(J278:M278)/4)</f>
        <v>#VALUE!</v>
      </c>
      <c r="P278" s="41">
        <f>IF(ISTEXT(C278),#REF!,IF(ISNUMBER([4]CLOSURES!P5),TEXT([4]CLOSURES!P5,"ddmmm"),IF(C278&lt;=0,0,IF(I278&lt;0,0,IF(AND(C278&gt;0,O278&lt;=0),"&gt;99",IF(I278/O278&gt;100,"&gt;99",MAX(0,I278/O278-2)))))))</f>
        <v>0</v>
      </c>
      <c r="R278" s="185"/>
    </row>
    <row r="279" spans="2:18" s="191" customFormat="1" ht="10.7" hidden="1" customHeight="1" x14ac:dyDescent="0.2">
      <c r="B279" s="40" t="s">
        <v>63</v>
      </c>
      <c r="C279" s="42">
        <f>[4]quotas!P48</f>
        <v>0</v>
      </c>
      <c r="D279" s="45">
        <f>[4]quotas!P48-[4]quotas!P88</f>
        <v>0</v>
      </c>
      <c r="E279" s="45"/>
      <c r="F279" s="71">
        <f>[4]quotas!S48</f>
        <v>0</v>
      </c>
      <c r="G279" s="45" t="e">
        <f>IF(#REF!="*","*",[4]Cumulative!R58)</f>
        <v>#REF!</v>
      </c>
      <c r="H279" s="46" t="str">
        <f>IF(C279="*","*",IF(C279&gt;0,#REF!/C279*100,"-"))</f>
        <v>-</v>
      </c>
      <c r="I279" s="44" t="e">
        <f>IF(C279="*","*",C279-#REF!)</f>
        <v>#REF!</v>
      </c>
      <c r="J279" s="45">
        <f>IF(C279="*","*",[4]Weeks!P127-[4]Weeks!P167)</f>
        <v>0</v>
      </c>
      <c r="K279" s="45">
        <f>IF(C279="*","*",[4]Weeks!P87-[4]Weeks!P127)</f>
        <v>0</v>
      </c>
      <c r="L279" s="45">
        <f>IF(C279="*","*",[4]Weeks!P47-[4]Weeks!P87)</f>
        <v>0</v>
      </c>
      <c r="M279" s="45">
        <f>IF(C279="*","*",[4]Weeks!P5-[4]Weeks!P47)</f>
        <v>0</v>
      </c>
      <c r="N279" s="46" t="str">
        <f t="shared" si="51"/>
        <v>-</v>
      </c>
      <c r="O279" s="45">
        <f t="shared" si="52"/>
        <v>0</v>
      </c>
      <c r="P279" s="41">
        <f>IF(ISTEXT(C279),#REF!,IF(ISNUMBER([4]CLOSURES!P6),TEXT([4]CLOSURES!P6,"ddmmm"),IF(C279&lt;=0,0,IF(I279&lt;0,0,IF(AND(C279&gt;0,O279&lt;=0),"&gt;99",IF(I279/O279&gt;100,"&gt;99",MAX(0,I279/O279-2)))))))</f>
        <v>0</v>
      </c>
      <c r="R279" s="185"/>
    </row>
    <row r="280" spans="2:18" s="191" customFormat="1" ht="10.7" hidden="1" customHeight="1" x14ac:dyDescent="0.2">
      <c r="B280" s="40" t="s">
        <v>65</v>
      </c>
      <c r="C280" s="42">
        <f>[4]quotas!P49</f>
        <v>0</v>
      </c>
      <c r="D280" s="45">
        <f>[4]quotas!P49-[4]quotas!P89</f>
        <v>0</v>
      </c>
      <c r="E280" s="45"/>
      <c r="F280" s="71">
        <f>[4]quotas!S49</f>
        <v>0</v>
      </c>
      <c r="G280" s="45" t="e">
        <f>IF(#REF!="*","*",[4]Cumulative!R59)</f>
        <v>#REF!</v>
      </c>
      <c r="H280" s="46" t="str">
        <f>IF(C280="*","*",IF(C280&gt;0,#REF!/C280*100,"-"))</f>
        <v>-</v>
      </c>
      <c r="I280" s="44" t="e">
        <f>IF(C280="*","*",C280-#REF!)</f>
        <v>#REF!</v>
      </c>
      <c r="J280" s="45">
        <f>IF(C280="*","*",[4]Weeks!P128-[4]Weeks!P168)</f>
        <v>0</v>
      </c>
      <c r="K280" s="45">
        <f>IF(C280="*","*",[4]Weeks!P88-[4]Weeks!P128)</f>
        <v>0</v>
      </c>
      <c r="L280" s="45">
        <f>IF(C280="*","*",[4]Weeks!P48-[4]Weeks!P88)</f>
        <v>0</v>
      </c>
      <c r="M280" s="45">
        <f>IF(C280="*","*",[4]Weeks!P6-[4]Weeks!P48)</f>
        <v>0</v>
      </c>
      <c r="N280" s="46" t="str">
        <f t="shared" si="51"/>
        <v>-</v>
      </c>
      <c r="O280" s="45">
        <f t="shared" si="52"/>
        <v>0</v>
      </c>
      <c r="P280" s="41">
        <f>IF(ISTEXT(C280),#REF!,IF(ISNUMBER([4]CLOSURES!P7),TEXT([4]CLOSURES!P7,"ddmmm"),IF(C280&lt;=0,0,IF(I280&lt;0,0,IF(AND(C280&gt;0,O280&lt;=0),"&gt;99",IF(I280/O280&gt;100,"&gt;99",MAX(0,I280/O280-2)))))))</f>
        <v>0</v>
      </c>
      <c r="R280" s="185"/>
    </row>
    <row r="281" spans="2:18" s="191" customFormat="1" ht="10.7" hidden="1" customHeight="1" x14ac:dyDescent="0.2">
      <c r="B281" s="40" t="s">
        <v>66</v>
      </c>
      <c r="C281" s="42">
        <f>[4]quotas!P50</f>
        <v>0</v>
      </c>
      <c r="D281" s="45">
        <f>[4]quotas!P50-[4]quotas!P90</f>
        <v>0</v>
      </c>
      <c r="E281" s="45"/>
      <c r="F281" s="71">
        <f>[4]quotas!S50</f>
        <v>0</v>
      </c>
      <c r="G281" s="45" t="e">
        <f>IF(#REF!="*","*",[4]Cumulative!R60)</f>
        <v>#REF!</v>
      </c>
      <c r="H281" s="46" t="str">
        <f>IF(C281="*","*",IF(C281&gt;0,#REF!/C281*100,"-"))</f>
        <v>-</v>
      </c>
      <c r="I281" s="44" t="e">
        <f>IF(C281="*","*",C281-#REF!)</f>
        <v>#REF!</v>
      </c>
      <c r="J281" s="45">
        <f>IF(C281="*","*",[4]Weeks!P129-[4]Weeks!P169)</f>
        <v>0</v>
      </c>
      <c r="K281" s="45">
        <f>IF(C281="*","*",[4]Weeks!P89-[4]Weeks!P129)</f>
        <v>0</v>
      </c>
      <c r="L281" s="45">
        <f>IF(C281="*","*",[4]Weeks!P49-[4]Weeks!P89)</f>
        <v>0</v>
      </c>
      <c r="M281" s="45">
        <f>IF(C281="*","*",[4]Weeks!P7-[4]Weeks!P49)</f>
        <v>0</v>
      </c>
      <c r="N281" s="46" t="str">
        <f t="shared" si="51"/>
        <v>-</v>
      </c>
      <c r="O281" s="45">
        <f t="shared" si="52"/>
        <v>0</v>
      </c>
      <c r="P281" s="41">
        <f>IF(ISTEXT(C281),#REF!,IF(ISNUMBER([4]CLOSURES!P8),TEXT([4]CLOSURES!P8,"ddmmm"),IF(C281&lt;=0,0,IF(I281&lt;0,0,IF(AND(C281&gt;0,O281&lt;=0),"&gt;99",IF(I281/O281&gt;100,"&gt;99",MAX(0,I281/O281-2)))))))</f>
        <v>0</v>
      </c>
      <c r="R281" s="185"/>
    </row>
    <row r="282" spans="2:18" s="191" customFormat="1" ht="10.7" hidden="1" customHeight="1" x14ac:dyDescent="0.2">
      <c r="B282" s="40" t="s">
        <v>67</v>
      </c>
      <c r="C282" s="42">
        <f>[4]quotas!P51</f>
        <v>0</v>
      </c>
      <c r="D282" s="45">
        <f>[4]quotas!P51-[4]quotas!P91</f>
        <v>0</v>
      </c>
      <c r="E282" s="45"/>
      <c r="F282" s="71">
        <f>[4]quotas!S51</f>
        <v>0</v>
      </c>
      <c r="G282" s="45" t="e">
        <f>IF(#REF!="*","*",[4]Cumulative!R61)</f>
        <v>#REF!</v>
      </c>
      <c r="H282" s="46" t="str">
        <f>IF(C282="*","*",IF(C282&gt;0,#REF!/C282*100,"-"))</f>
        <v>-</v>
      </c>
      <c r="I282" s="44" t="e">
        <f>IF(C282="*","*",C282-#REF!)</f>
        <v>#REF!</v>
      </c>
      <c r="J282" s="45">
        <f>IF(C282="*","*",[4]Weeks!P130-[4]Weeks!P170)</f>
        <v>0</v>
      </c>
      <c r="K282" s="45">
        <f>IF(C282="*","*",[4]Weeks!P90-[4]Weeks!P130)</f>
        <v>0</v>
      </c>
      <c r="L282" s="45">
        <f>IF(C282="*","*",[4]Weeks!P50-[4]Weeks!P90)</f>
        <v>0</v>
      </c>
      <c r="M282" s="45">
        <f>IF(C282="*","*",[4]Weeks!P8-[4]Weeks!P50)</f>
        <v>0</v>
      </c>
      <c r="N282" s="46" t="str">
        <f t="shared" si="51"/>
        <v>-</v>
      </c>
      <c r="O282" s="45">
        <f t="shared" si="52"/>
        <v>0</v>
      </c>
      <c r="P282" s="41">
        <f>IF(ISTEXT(C282),#REF!,IF(ISNUMBER([4]CLOSURES!P9),TEXT([4]CLOSURES!P9,"ddmmm"),IF(C282&lt;=0,0,IF(I282&lt;0,0,IF(AND(C282&gt;0,O282&lt;=0),"&gt;99",IF(I282/O282&gt;100,"&gt;99",MAX(0,I282/O282-2)))))))</f>
        <v>0</v>
      </c>
      <c r="R282" s="185"/>
    </row>
    <row r="283" spans="2:18" s="191" customFormat="1" ht="10.7" hidden="1" customHeight="1" x14ac:dyDescent="0.2">
      <c r="B283" s="40" t="s">
        <v>68</v>
      </c>
      <c r="C283" s="42">
        <f>[4]quotas!P52</f>
        <v>0</v>
      </c>
      <c r="D283" s="45">
        <f>[4]quotas!P52-[4]quotas!P92</f>
        <v>0</v>
      </c>
      <c r="E283" s="45"/>
      <c r="F283" s="71">
        <f>[4]quotas!S52</f>
        <v>0</v>
      </c>
      <c r="G283" s="45" t="e">
        <f>IF(#REF!="*","*",[4]Cumulative!R62)</f>
        <v>#REF!</v>
      </c>
      <c r="H283" s="46" t="str">
        <f>IF(C283="*","*",IF(C283&gt;0,#REF!/C283*100,"-"))</f>
        <v>-</v>
      </c>
      <c r="I283" s="44" t="e">
        <f>IF(C283="*","*",C283-#REF!)</f>
        <v>#REF!</v>
      </c>
      <c r="J283" s="45">
        <f>IF(C283="*","*",[4]Weeks!P131-[4]Weeks!P171)</f>
        <v>0</v>
      </c>
      <c r="K283" s="45">
        <f>IF(C283="*","*",[4]Weeks!P91-[4]Weeks!P131)</f>
        <v>0</v>
      </c>
      <c r="L283" s="45">
        <f>IF(C283="*","*",[4]Weeks!P51-[4]Weeks!P91)</f>
        <v>0</v>
      </c>
      <c r="M283" s="45">
        <f>IF(C283="*","*",[4]Weeks!P9-[4]Weeks!P51)</f>
        <v>0</v>
      </c>
      <c r="N283" s="46" t="str">
        <f t="shared" si="51"/>
        <v>-</v>
      </c>
      <c r="O283" s="45">
        <f t="shared" si="52"/>
        <v>0</v>
      </c>
      <c r="P283" s="41">
        <f>IF(ISTEXT(C283),#REF!,IF(ISNUMBER([4]CLOSURES!P10),TEXT([4]CLOSURES!P10,"ddmmm"),IF(C283&lt;=0,0,IF(I283&lt;0,0,IF(AND(C283&gt;0,O283&lt;=0),"&gt;99",IF(I283/O283&gt;100,"&gt;99",MAX(0,I283/O283-2)))))))</f>
        <v>0</v>
      </c>
      <c r="R283" s="185"/>
    </row>
    <row r="284" spans="2:18" s="191" customFormat="1" hidden="1" x14ac:dyDescent="0.2">
      <c r="B284" s="40" t="s">
        <v>69</v>
      </c>
      <c r="C284" s="42">
        <f>[4]quotas!P53</f>
        <v>0</v>
      </c>
      <c r="D284" s="45">
        <f>[4]quotas!P53-[4]quotas!P93</f>
        <v>0</v>
      </c>
      <c r="E284" s="45"/>
      <c r="F284" s="71">
        <f>[4]quotas!S53</f>
        <v>0</v>
      </c>
      <c r="G284" s="45" t="e">
        <f>IF(#REF!="*","*",[4]Cumulative!R63)</f>
        <v>#REF!</v>
      </c>
      <c r="H284" s="46" t="str">
        <f>IF(C284="*","*",IF(C284&gt;0,#REF!/C284*100,"-"))</f>
        <v>-</v>
      </c>
      <c r="I284" s="44" t="e">
        <f>IF(C284="*","*",C284-#REF!)</f>
        <v>#REF!</v>
      </c>
      <c r="J284" s="45">
        <f>IF(C284="*","*",[4]Weeks!P132-[4]Weeks!P172)</f>
        <v>0</v>
      </c>
      <c r="K284" s="45">
        <f>IF(C284="*","*",[4]Weeks!P92-[4]Weeks!P132)</f>
        <v>0</v>
      </c>
      <c r="L284" s="45">
        <f>IF(C284="*","*",[4]Weeks!P52-[4]Weeks!P92)</f>
        <v>0</v>
      </c>
      <c r="M284" s="45">
        <f>IF(C284="*","*",[4]Weeks!P10-[4]Weeks!P52)</f>
        <v>0</v>
      </c>
      <c r="N284" s="46" t="str">
        <f t="shared" si="51"/>
        <v>-</v>
      </c>
      <c r="O284" s="45">
        <f t="shared" si="52"/>
        <v>0</v>
      </c>
      <c r="P284" s="41">
        <f>IF(ISTEXT(C284),#REF!,IF(ISNUMBER([4]CLOSURES!P11),TEXT([4]CLOSURES!P11,"ddmmm"),IF(C284&lt;=0,0,IF(I284&lt;0,0,IF(AND(C284&gt;0,O284&lt;=0),"&gt;99",IF(I284/O284&gt;100,"&gt;99",MAX(0,I284/O284-2)))))))</f>
        <v>0</v>
      </c>
      <c r="R284" s="185"/>
    </row>
    <row r="285" spans="2:18" s="191" customFormat="1" ht="10.7" hidden="1" customHeight="1" x14ac:dyDescent="0.2">
      <c r="B285" s="40" t="s">
        <v>102</v>
      </c>
      <c r="C285" s="42">
        <f>[4]quotas!P57</f>
        <v>0</v>
      </c>
      <c r="D285" s="45">
        <f>[4]quotas!P57-[4]quotas!P97</f>
        <v>0</v>
      </c>
      <c r="E285" s="45"/>
      <c r="F285" s="71">
        <f>[4]quotas!S57</f>
        <v>0</v>
      </c>
      <c r="G285" s="45" t="e">
        <f>IF(#REF!="*","*",[4]Cumulative!R67)</f>
        <v>#REF!</v>
      </c>
      <c r="H285" s="46" t="str">
        <f>IF(C285="*","*",IF(C285&gt;0,#REF!/C285*100,"-"))</f>
        <v>-</v>
      </c>
      <c r="I285" s="44" t="e">
        <f>IF(C285="*","*",C285-#REF!)</f>
        <v>#REF!</v>
      </c>
      <c r="J285" s="45">
        <f>IF(C285="*","*",[4]Weeks!P136-[4]Weeks!P176)</f>
        <v>0</v>
      </c>
      <c r="K285" s="45">
        <f>IF(C285="*","*",[4]Weeks!P96-[4]Weeks!P136)</f>
        <v>0</v>
      </c>
      <c r="L285" s="45">
        <f>IF(C285="*","*",[4]Weeks!P56-[4]Weeks!P96)</f>
        <v>0</v>
      </c>
      <c r="M285" s="45">
        <f>IF(C285="*","*",[4]Weeks!P14-[4]Weeks!P56)</f>
        <v>0</v>
      </c>
      <c r="N285" s="46" t="str">
        <f t="shared" si="51"/>
        <v>-</v>
      </c>
      <c r="O285" s="45">
        <f t="shared" si="52"/>
        <v>0</v>
      </c>
      <c r="P285" s="41">
        <f>IF(ISTEXT(C285),#REF!,IF(ISNUMBER([4]CLOSURES!P15),TEXT([4]CLOSURES!P15,"ddmmm"),IF(C285&lt;=0,0,IF(I285&lt;0,0,IF(AND(C285&gt;0,O285&lt;=0),"&gt;99",IF(I285/O285&gt;100,"&gt;99",MAX(0,I285/O285-2)))))))</f>
        <v>0</v>
      </c>
      <c r="R285" s="185"/>
    </row>
    <row r="286" spans="2:18" s="191" customFormat="1" ht="10.7" hidden="1" customHeight="1" x14ac:dyDescent="0.2">
      <c r="B286" s="40" t="s">
        <v>75</v>
      </c>
      <c r="C286" s="42">
        <f>[4]quotas!P58</f>
        <v>0</v>
      </c>
      <c r="D286" s="45">
        <f>[4]quotas!P58-[4]quotas!P98</f>
        <v>0</v>
      </c>
      <c r="E286" s="45"/>
      <c r="F286" s="71">
        <f>[4]quotas!S58</f>
        <v>0</v>
      </c>
      <c r="G286" s="45" t="e">
        <f>IF(#REF!="*","*",[4]Cumulative!R68)</f>
        <v>#REF!</v>
      </c>
      <c r="H286" s="46" t="str">
        <f>IF(C286="*","*",IF(C286&gt;0,#REF!/C286*100,"-"))</f>
        <v>-</v>
      </c>
      <c r="I286" s="44" t="e">
        <f>IF(C286="*","*",C286-#REF!)</f>
        <v>#REF!</v>
      </c>
      <c r="J286" s="45">
        <f>IF(C286="*","*",[4]Weeks!P133-[4]Weeks!P173)</f>
        <v>0</v>
      </c>
      <c r="K286" s="45">
        <f>IF(C286="*","*",[4]Weeks!P93-[4]Weeks!P133)</f>
        <v>0</v>
      </c>
      <c r="L286" s="45">
        <f>IF(C286="*","*",[4]Weeks!P53-[4]Weeks!P93)</f>
        <v>0</v>
      </c>
      <c r="M286" s="45">
        <f>IF(C286="*","*",[4]Weeks!P15-[4]Weeks!P53)</f>
        <v>0</v>
      </c>
      <c r="N286" s="46" t="str">
        <f t="shared" si="51"/>
        <v>-</v>
      </c>
      <c r="O286" s="45">
        <f t="shared" si="52"/>
        <v>0</v>
      </c>
      <c r="P286" s="41">
        <f>IF(ISTEXT(C286),#REF!,IF(ISNUMBER([4]CLOSURES!P16),TEXT([4]CLOSURES!P16,"ddmmm"),IF(C286&lt;=0,0,IF(I286&lt;0,0,IF(AND(C286&gt;0,O286&lt;=0),"&gt;99",IF(I286/O286&gt;100,"&gt;99",MAX(0,I286/O286-2)))))))</f>
        <v>0</v>
      </c>
      <c r="R286" s="185"/>
    </row>
    <row r="287" spans="2:18" s="191" customFormat="1" ht="10.7" hidden="1" customHeight="1" x14ac:dyDescent="0.2">
      <c r="B287" s="40" t="s">
        <v>157</v>
      </c>
      <c r="C287" s="42">
        <f>[4]quotas!P59</f>
        <v>0</v>
      </c>
      <c r="D287" s="45">
        <f>[4]quotas!P59-[4]quotas!P99</f>
        <v>0</v>
      </c>
      <c r="E287" s="45"/>
      <c r="F287" s="71">
        <f>[4]quotas!S59</f>
        <v>0</v>
      </c>
      <c r="G287" s="45" t="e">
        <f>IF(#REF!="*","*",[4]Cumulative!R69)</f>
        <v>#REF!</v>
      </c>
      <c r="H287" s="46" t="str">
        <f>IF(C287="*","*",IF(C287&gt;0,#REF!/C287*100,"-"))</f>
        <v>-</v>
      </c>
      <c r="I287" s="44" t="e">
        <f>IF(C287="*","*",C287-#REF!)</f>
        <v>#REF!</v>
      </c>
      <c r="J287" s="45">
        <f>IF(C287="*","*",[4]Weeks!P134-[4]Weeks!P174)</f>
        <v>0</v>
      </c>
      <c r="K287" s="45">
        <f>IF(C287="*","*",[4]Weeks!P94-[4]Weeks!P134)</f>
        <v>0</v>
      </c>
      <c r="L287" s="45">
        <f>IF(C287="*","*",[4]Weeks!P54-[4]Weeks!P94)</f>
        <v>0</v>
      </c>
      <c r="M287" s="45">
        <f>IF(C287="*","*",[4]Weeks!P16-[4]Weeks!P54)</f>
        <v>0</v>
      </c>
      <c r="N287" s="46" t="str">
        <f t="shared" si="51"/>
        <v>-</v>
      </c>
      <c r="O287" s="45">
        <f t="shared" si="52"/>
        <v>0</v>
      </c>
      <c r="P287" s="41">
        <f>IF(ISTEXT(C287),#REF!,IF(ISNUMBER([4]CLOSURES!P17),TEXT([4]CLOSURES!P17,"ddmmm"),IF(C287&lt;=0,0,IF(I287&lt;0,0,IF(AND(C287&gt;0,O287&lt;=0),"&gt;99",IF(I287/O287&gt;100,"&gt;99",MAX(0,I287/O287-2)))))))</f>
        <v>0</v>
      </c>
      <c r="R287" s="185"/>
    </row>
    <row r="288" spans="2:18" s="191" customFormat="1" ht="10.7" hidden="1" customHeight="1" x14ac:dyDescent="0.2">
      <c r="B288" s="40" t="s">
        <v>76</v>
      </c>
      <c r="C288" s="42">
        <f>[4]quotas!P60</f>
        <v>0</v>
      </c>
      <c r="D288" s="45">
        <f>[4]quotas!P60-[4]quotas!P100</f>
        <v>0</v>
      </c>
      <c r="E288" s="45"/>
      <c r="F288" s="71">
        <f>[4]quotas!S60</f>
        <v>0</v>
      </c>
      <c r="G288" s="45" t="e">
        <f>IF(#REF!="*","*",[4]Cumulative!R70)</f>
        <v>#REF!</v>
      </c>
      <c r="H288" s="46" t="str">
        <f>IF(C288="*","*",IF(C288&gt;0,#REF!/C288*100,"-"))</f>
        <v>-</v>
      </c>
      <c r="I288" s="44" t="e">
        <f>IF(C288="*","*",C288-#REF!)</f>
        <v>#REF!</v>
      </c>
      <c r="J288" s="45">
        <f>IF(C288="*","*",[4]Weeks!P137-[4]Weeks!P177)</f>
        <v>0</v>
      </c>
      <c r="K288" s="45">
        <f>IF(C288="*","*",[4]Weeks!P97-[4]Weeks!P137)</f>
        <v>0</v>
      </c>
      <c r="L288" s="45">
        <f>IF(C288="*","*",[4]Weeks!P57-[4]Weeks!P97)</f>
        <v>0</v>
      </c>
      <c r="M288" s="45">
        <f>IF(C288="*","*",[4]Weeks!P17-[4]Weeks!P57)</f>
        <v>0</v>
      </c>
      <c r="N288" s="46" t="str">
        <f t="shared" si="51"/>
        <v>-</v>
      </c>
      <c r="O288" s="45">
        <f t="shared" si="52"/>
        <v>0</v>
      </c>
      <c r="P288" s="41">
        <f>IF(ISTEXT(C288),#REF!,IF(ISNUMBER([4]CLOSURES!P18),TEXT([4]CLOSURES!P18,"ddmmm"),IF(C288&lt;=0,0,IF(I288&lt;0,0,IF(AND(C288&gt;0,O288&lt;=0),"&gt;99",IF(I288/O288&gt;100,"&gt;99",MAX(0,I288/O288-2)))))))</f>
        <v>0</v>
      </c>
      <c r="R288" s="185"/>
    </row>
    <row r="289" spans="2:254" s="191" customFormat="1" ht="10.7" hidden="1" customHeight="1" x14ac:dyDescent="0.2">
      <c r="B289" s="40" t="s">
        <v>77</v>
      </c>
      <c r="C289" s="42">
        <f>[4]quotas!P61</f>
        <v>0</v>
      </c>
      <c r="D289" s="45">
        <f>[4]quotas!P61-[4]quotas!P101</f>
        <v>0</v>
      </c>
      <c r="E289" s="45"/>
      <c r="F289" s="71">
        <f>[4]quotas!S61</f>
        <v>0</v>
      </c>
      <c r="G289" s="45" t="e">
        <f>IF(#REF!="*","*",[4]Cumulative!R71)</f>
        <v>#REF!</v>
      </c>
      <c r="H289" s="46" t="str">
        <f>IF(C289="*","*",IF(C289&gt;0,#REF!/C289*100,"-"))</f>
        <v>-</v>
      </c>
      <c r="I289" s="44" t="e">
        <f>IF(C289="*","*",C289-#REF!)</f>
        <v>#REF!</v>
      </c>
      <c r="J289" s="45">
        <f>IF(C289="*","*",[4]Weeks!P138-[4]Weeks!P178)</f>
        <v>0</v>
      </c>
      <c r="K289" s="45">
        <f>IF(C289="*","*",[4]Weeks!P98-[4]Weeks!P138)</f>
        <v>0</v>
      </c>
      <c r="L289" s="45">
        <f>IF(C289="*","*",[4]Weeks!P58-[4]Weeks!P98)</f>
        <v>0</v>
      </c>
      <c r="M289" s="45">
        <f>IF(C289="*","*",[4]Weeks!P18-[4]Weeks!P58)</f>
        <v>0</v>
      </c>
      <c r="N289" s="46" t="str">
        <f t="shared" si="51"/>
        <v>-</v>
      </c>
      <c r="O289" s="45">
        <f t="shared" si="52"/>
        <v>0</v>
      </c>
      <c r="P289" s="41">
        <f>IF(ISTEXT(C289),#REF!,IF(ISNUMBER([4]CLOSURES!P19),TEXT([4]CLOSURES!P19,"ddmmm"),IF(C289&lt;=0,0,IF(I289&lt;0,0,IF(AND(C289&gt;0,O289&lt;=0),"&gt;99",IF(I289/O289&gt;100,"&gt;99",MAX(0,I289/O289-2)))))))</f>
        <v>0</v>
      </c>
      <c r="R289" s="185"/>
    </row>
    <row r="290" spans="2:254" s="191" customFormat="1" ht="10.7" hidden="1" customHeight="1" x14ac:dyDescent="0.2">
      <c r="B290" s="40" t="s">
        <v>78</v>
      </c>
      <c r="C290" s="42">
        <f>[4]quotas!P62</f>
        <v>0</v>
      </c>
      <c r="D290" s="45">
        <f>[4]quotas!P62-[4]quotas!P102</f>
        <v>0</v>
      </c>
      <c r="E290" s="45"/>
      <c r="F290" s="71">
        <f>[4]quotas!S62</f>
        <v>0</v>
      </c>
      <c r="G290" s="45" t="e">
        <f>IF(#REF!="*","*",[4]Cumulative!R72)</f>
        <v>#REF!</v>
      </c>
      <c r="H290" s="46" t="str">
        <f>IF(C290="*","*",IF(C290&gt;0,#REF!/C290*100,"-"))</f>
        <v>-</v>
      </c>
      <c r="I290" s="44" t="e">
        <f>IF(C290="*","*",C290-#REF!)</f>
        <v>#REF!</v>
      </c>
      <c r="J290" s="45">
        <f>IF(C290="*","*",[4]Weeks!P139-[4]Weeks!P179)</f>
        <v>0</v>
      </c>
      <c r="K290" s="45">
        <f>IF(C290="*","*",[4]Weeks!P99-[4]Weeks!P139)</f>
        <v>0</v>
      </c>
      <c r="L290" s="45">
        <f>IF(C290="*","*",[4]Weeks!P59-[4]Weeks!P99)</f>
        <v>0</v>
      </c>
      <c r="M290" s="45">
        <f>IF(C290="*","*",[4]Weeks!P19-[4]Weeks!P59)</f>
        <v>0</v>
      </c>
      <c r="N290" s="46" t="str">
        <f t="shared" si="51"/>
        <v>-</v>
      </c>
      <c r="O290" s="45">
        <f t="shared" si="52"/>
        <v>0</v>
      </c>
      <c r="P290" s="41">
        <f>IF(ISTEXT(C290),#REF!,IF(ISNUMBER([4]CLOSURES!P20),TEXT([4]CLOSURES!P20,"ddmmm"),IF(C290&lt;=0,0,IF(I290&lt;0,0,IF(AND(C290&gt;0,O290&lt;=0),"&gt;99",IF(I290/O290&gt;100,"&gt;99",MAX(0,I290/O290-2)))))))</f>
        <v>0</v>
      </c>
      <c r="R290" s="185"/>
    </row>
    <row r="291" spans="2:254" s="191" customFormat="1" ht="10.7" hidden="1" customHeight="1" x14ac:dyDescent="0.2">
      <c r="B291" s="40" t="s">
        <v>79</v>
      </c>
      <c r="C291" s="42">
        <f>[4]quotas!P63</f>
        <v>0</v>
      </c>
      <c r="D291" s="45">
        <f>[4]quotas!P63-[4]quotas!P103</f>
        <v>0</v>
      </c>
      <c r="E291" s="45"/>
      <c r="F291" s="71">
        <f>[4]quotas!S63</f>
        <v>0</v>
      </c>
      <c r="G291" s="45" t="e">
        <f>IF(#REF!="*","*",[4]Cumulative!R73)</f>
        <v>#REF!</v>
      </c>
      <c r="H291" s="46" t="str">
        <f>IF(C291="*","*",IF(C291&gt;0,#REF!/C291*100,"-"))</f>
        <v>-</v>
      </c>
      <c r="I291" s="44" t="e">
        <f>IF(C291="*","*",C291-#REF!)</f>
        <v>#REF!</v>
      </c>
      <c r="J291" s="45">
        <f>IF(C291="*","*",[4]Weeks!P140-[4]Weeks!P180)</f>
        <v>0</v>
      </c>
      <c r="K291" s="45">
        <f>IF(C291="*","*",[4]Weeks!P100-[4]Weeks!P140)</f>
        <v>0</v>
      </c>
      <c r="L291" s="45">
        <f>IF(C291="*","*",[4]Weeks!P60-[4]Weeks!P100)</f>
        <v>0</v>
      </c>
      <c r="M291" s="45">
        <f>IF(C291="*","*",[4]Weeks!P20-[4]Weeks!P60)</f>
        <v>0</v>
      </c>
      <c r="N291" s="46" t="str">
        <f t="shared" si="51"/>
        <v>-</v>
      </c>
      <c r="O291" s="45">
        <f t="shared" si="52"/>
        <v>0</v>
      </c>
      <c r="P291" s="41">
        <f>IF(ISTEXT(C291),#REF!,IF(ISNUMBER([4]CLOSURES!P21),TEXT([4]CLOSURES!P21,"ddmmm"),IF(C291&lt;=0,0,IF(I291&lt;0,0,IF(AND(C291&gt;0,O291&lt;=0),"&gt;99",IF(I291/O291&gt;100,"&gt;99",MAX(0,I291/O291-2)))))))</f>
        <v>0</v>
      </c>
      <c r="R291" s="185"/>
    </row>
    <row r="292" spans="2:254" s="191" customFormat="1" ht="10.7" hidden="1" customHeight="1" x14ac:dyDescent="0.2">
      <c r="B292" s="40" t="s">
        <v>80</v>
      </c>
      <c r="C292" s="42">
        <f>[4]quotas!P64</f>
        <v>0</v>
      </c>
      <c r="D292" s="45">
        <f>[4]quotas!P64-[4]quotas!P104</f>
        <v>0</v>
      </c>
      <c r="E292" s="45"/>
      <c r="F292" s="71">
        <f>[4]quotas!S64</f>
        <v>0</v>
      </c>
      <c r="G292" s="45" t="e">
        <f>IF(#REF!="*","*",[4]Cumulative!R74)</f>
        <v>#REF!</v>
      </c>
      <c r="H292" s="46" t="str">
        <f>IF(C292="*","*",IF(C292&gt;0,#REF!/C292*100,"-"))</f>
        <v>-</v>
      </c>
      <c r="I292" s="44" t="e">
        <f>IF(C292="*","*",C292-#REF!)</f>
        <v>#REF!</v>
      </c>
      <c r="J292" s="45">
        <f>IF(C292="*","*",[4]Weeks!P141-[4]Weeks!P181)</f>
        <v>0</v>
      </c>
      <c r="K292" s="45">
        <f>IF(C292="*","*",[4]Weeks!P101-[4]Weeks!P141)</f>
        <v>0</v>
      </c>
      <c r="L292" s="45">
        <f>IF(C292="*","*",[4]Weeks!P61-[4]Weeks!P101)</f>
        <v>0</v>
      </c>
      <c r="M292" s="45">
        <f>IF(C292="*","*",[4]Weeks!P21-[4]Weeks!P61)</f>
        <v>0</v>
      </c>
      <c r="N292" s="46" t="str">
        <f t="shared" si="51"/>
        <v>-</v>
      </c>
      <c r="O292" s="45">
        <f t="shared" si="52"/>
        <v>0</v>
      </c>
      <c r="P292" s="41">
        <f>IF(ISTEXT(C292),#REF!,IF(ISNUMBER([4]CLOSURES!P22),TEXT([4]CLOSURES!P22,"ddmmm"),IF(C292&lt;=0,0,IF(I292&lt;0,0,IF(AND(C292&gt;0,O292&lt;=0),"&gt;99",IF(I292/O292&gt;100,"&gt;99",MAX(0,I292/O292-2)))))))</f>
        <v>0</v>
      </c>
      <c r="R292" s="185"/>
    </row>
    <row r="293" spans="2:254" s="191" customFormat="1" ht="10.7" hidden="1" customHeight="1" x14ac:dyDescent="0.2">
      <c r="B293" s="40" t="s">
        <v>81</v>
      </c>
      <c r="C293" s="42">
        <f>[4]quotas!P65</f>
        <v>0</v>
      </c>
      <c r="D293" s="45">
        <f>[4]quotas!P65-[4]quotas!P105</f>
        <v>0</v>
      </c>
      <c r="E293" s="45"/>
      <c r="F293" s="71">
        <f>[4]quotas!S65</f>
        <v>0</v>
      </c>
      <c r="G293" s="45" t="e">
        <f>IF(#REF!="*","*",[4]Cumulative!R75)</f>
        <v>#REF!</v>
      </c>
      <c r="H293" s="46" t="str">
        <f>IF(C293="*","*",IF(C293&gt;0,#REF!/C293*100,"-"))</f>
        <v>-</v>
      </c>
      <c r="I293" s="44" t="e">
        <f>IF(C293="*","*",C293-#REF!)</f>
        <v>#REF!</v>
      </c>
      <c r="J293" s="45">
        <f>IF(C293="*","*",[4]Weeks!P142-[4]Weeks!P182)</f>
        <v>0</v>
      </c>
      <c r="K293" s="45">
        <f>IF(C293="*","*",[4]Weeks!P102-[4]Weeks!P142)</f>
        <v>0</v>
      </c>
      <c r="L293" s="45">
        <f>IF(C293="*","*",[4]Weeks!P62-[4]Weeks!P102)</f>
        <v>0</v>
      </c>
      <c r="M293" s="45">
        <f>IF(C293="*","*",[4]Weeks!P22-[4]Weeks!P62)</f>
        <v>0</v>
      </c>
      <c r="N293" s="46" t="str">
        <f t="shared" si="51"/>
        <v>-</v>
      </c>
      <c r="O293" s="45">
        <f t="shared" si="52"/>
        <v>0</v>
      </c>
      <c r="P293" s="41">
        <f>IF(ISTEXT(C293),#REF!,IF(ISNUMBER([4]CLOSURES!P23),TEXT([4]CLOSURES!P23,"ddmmm"),IF(C293&lt;=0,0,IF(I293&lt;0,0,IF(AND(C293&gt;0,O293&lt;=0),"&gt;99",IF(I293/O293&gt;100,"&gt;99",MAX(0,I293/O293-2)))))))</f>
        <v>0</v>
      </c>
      <c r="R293" s="185"/>
    </row>
    <row r="294" spans="2:254" s="191" customFormat="1" ht="10.7" hidden="1" customHeight="1" x14ac:dyDescent="0.2">
      <c r="B294" s="40" t="s">
        <v>103</v>
      </c>
      <c r="C294" s="42">
        <f>[4]quotas!P66</f>
        <v>0</v>
      </c>
      <c r="D294" s="45">
        <f>[4]quotas!P66-[4]quotas!P106</f>
        <v>0</v>
      </c>
      <c r="E294" s="45"/>
      <c r="F294" s="71">
        <f>[4]quotas!S66</f>
        <v>0</v>
      </c>
      <c r="G294" s="45" t="e">
        <f>IF(#REF!="*","*",[4]Cumulative!R76)</f>
        <v>#REF!</v>
      </c>
      <c r="H294" s="46" t="str">
        <f>IF(C294="*","*",IF(C294&gt;0,#REF!/C294*100,"-"))</f>
        <v>-</v>
      </c>
      <c r="I294" s="44" t="e">
        <f>IF(C294="*","*",C294-#REF!)</f>
        <v>#REF!</v>
      </c>
      <c r="J294" s="45">
        <f>IF(C294="*","*",[4]Weeks!P143-[4]Weeks!P183)</f>
        <v>0</v>
      </c>
      <c r="K294" s="45">
        <f>IF(C294="*","*",[4]Weeks!P103-[4]Weeks!P143)</f>
        <v>0</v>
      </c>
      <c r="L294" s="45">
        <f>IF(C294="*","*",[4]Weeks!P63-[4]Weeks!P103)</f>
        <v>0</v>
      </c>
      <c r="M294" s="45">
        <f>IF(C294="*","*",[4]Weeks!P23-[4]Weeks!P63)</f>
        <v>0</v>
      </c>
      <c r="N294" s="46" t="str">
        <f t="shared" si="51"/>
        <v>-</v>
      </c>
      <c r="O294" s="45">
        <f t="shared" si="52"/>
        <v>0</v>
      </c>
      <c r="P294" s="41">
        <f>IF(ISTEXT(C294),#REF!,IF(ISNUMBER([4]CLOSURES!P24),TEXT([4]CLOSURES!P24,"ddmmm"),IF(C294&lt;=0,0,IF(I294&lt;0,0,IF(AND(C294&gt;0,O294&lt;=0),"&gt;99",IF(I294/O294&gt;100,"&gt;99",MAX(0,I294/O294-2)))))))</f>
        <v>0</v>
      </c>
      <c r="R294" s="185"/>
    </row>
    <row r="295" spans="2:254" s="191" customFormat="1" ht="10.7" hidden="1" customHeight="1" x14ac:dyDescent="0.2">
      <c r="B295" s="40" t="s">
        <v>104</v>
      </c>
      <c r="C295" s="42">
        <f>[4]quotas!P67</f>
        <v>0</v>
      </c>
      <c r="D295" s="45">
        <f>[4]quotas!P67-[4]quotas!P107</f>
        <v>0</v>
      </c>
      <c r="E295" s="45"/>
      <c r="F295" s="71">
        <f>[4]quotas!S67</f>
        <v>0</v>
      </c>
      <c r="G295" s="45" t="e">
        <f>IF(#REF!="*","*",[4]Cumulative!R77)</f>
        <v>#REF!</v>
      </c>
      <c r="H295" s="46" t="str">
        <f>IF(C295="*","*",IF(C295&gt;0,#REF!/C295*100,"-"))</f>
        <v>-</v>
      </c>
      <c r="I295" s="44" t="e">
        <f>IF(C295="*","*",C295-#REF!)</f>
        <v>#REF!</v>
      </c>
      <c r="J295" s="45">
        <f>IF(C295="*","*",[4]Weeks!P144-[4]Weeks!P184)</f>
        <v>0</v>
      </c>
      <c r="K295" s="45">
        <f>IF(C295="*","*",[4]Weeks!P104-[4]Weeks!P144)</f>
        <v>0</v>
      </c>
      <c r="L295" s="45">
        <f>IF(C295="*","*",[4]Weeks!P64-[4]Weeks!P104)</f>
        <v>0</v>
      </c>
      <c r="M295" s="45">
        <f>IF(C295="*","*",[4]Weeks!P24-[4]Weeks!P64)</f>
        <v>0</v>
      </c>
      <c r="N295" s="46" t="str">
        <f t="shared" si="51"/>
        <v>-</v>
      </c>
      <c r="O295" s="45">
        <f t="shared" si="52"/>
        <v>0</v>
      </c>
      <c r="P295" s="41">
        <f>IF(ISTEXT(C295),#REF!,IF(ISNUMBER([4]CLOSURES!P25),TEXT([4]CLOSURES!P25,"ddmmm"),IF(C295&lt;=0,0,IF(I295&lt;0,0,IF(AND(C295&gt;0,O295&lt;=0),"&gt;99",IF(I295/O295&gt;100,"&gt;99",MAX(0,I295/O295-2)))))))</f>
        <v>0</v>
      </c>
      <c r="R295" s="185"/>
    </row>
    <row r="296" spans="2:254" s="191" customFormat="1" hidden="1" x14ac:dyDescent="0.2">
      <c r="B296" s="40" t="s">
        <v>70</v>
      </c>
      <c r="C296" s="42">
        <f>[4]quotas!P68</f>
        <v>0</v>
      </c>
      <c r="D296" s="45">
        <f>[4]quotas!P68-[4]quotas!P108</f>
        <v>0</v>
      </c>
      <c r="E296" s="45"/>
      <c r="F296" s="71">
        <f>[4]quotas!S68</f>
        <v>0</v>
      </c>
      <c r="G296" s="45" t="e">
        <f>IF(#REF!="*","*",[4]Cumulative!R64)</f>
        <v>#REF!</v>
      </c>
      <c r="H296" s="46" t="str">
        <f>IF(C296="*","*",IF(C296&gt;0,#REF!/C296*100,"-"))</f>
        <v>-</v>
      </c>
      <c r="I296" s="44" t="e">
        <f>IF(C296="*","*",C296-#REF!)</f>
        <v>#REF!</v>
      </c>
      <c r="J296" s="45">
        <f>IF(C296="*","*",[4]Weeks!P145-[4]Weeks!P185)</f>
        <v>0</v>
      </c>
      <c r="K296" s="45">
        <f>IF(C296="*","*",[4]Weeks!P105-[4]Weeks!P145)</f>
        <v>0</v>
      </c>
      <c r="L296" s="45">
        <f>IF(C296="*","*",[4]Weeks!P65-[4]Weeks!P105)</f>
        <v>0</v>
      </c>
      <c r="M296" s="45">
        <f>IF(C296="*","*",[4]Weeks!P25-[4]Weeks!P65)</f>
        <v>0</v>
      </c>
      <c r="N296" s="46" t="str">
        <f t="shared" si="51"/>
        <v>-</v>
      </c>
      <c r="O296" s="45">
        <f t="shared" si="52"/>
        <v>0</v>
      </c>
      <c r="P296" s="41">
        <f>IF(ISTEXT(C296),#REF!,IF(ISNUMBER([4]CLOSURES!P12),TEXT([4]CLOSURES!P12,"ddmmm"),IF(C296&lt;=0,0,IF(I296&lt;0,0,IF(AND(C296&gt;0,O296&lt;=0),"&gt;99",IF(I296/O296&gt;100,"&gt;99",MAX(0,I296/O296-2)))))))</f>
        <v>0</v>
      </c>
      <c r="R296" s="185"/>
    </row>
    <row r="297" spans="2:254" s="191" customFormat="1" hidden="1" x14ac:dyDescent="0.2">
      <c r="B297" s="40" t="s">
        <v>105</v>
      </c>
      <c r="C297" s="42">
        <f>[4]quotas!P56</f>
        <v>0</v>
      </c>
      <c r="D297" s="45">
        <f>[4]quotas!P56-[4]quotas!P96</f>
        <v>0</v>
      </c>
      <c r="E297" s="45"/>
      <c r="F297" s="71">
        <f>[4]quotas!S56</f>
        <v>0</v>
      </c>
      <c r="G297" s="45" t="e">
        <f>IF(#REF!="*","*",SUM([4]Cumulative!R66:R66))</f>
        <v>#REF!</v>
      </c>
      <c r="H297" s="46" t="str">
        <f>IF(C297="*","*",IF(C297&gt;0,#REF!/C297*100,"-"))</f>
        <v>-</v>
      </c>
      <c r="I297" s="44" t="e">
        <f>IF(C297="*","*",C297-#REF!)</f>
        <v>#REF!</v>
      </c>
      <c r="J297" s="45">
        <f>IF(C297="*","*",[4]Weeks!P146-[4]Weeks!P186)</f>
        <v>0</v>
      </c>
      <c r="K297" s="45">
        <f>IF(C297="*","*",[4]Weeks!P106-[4]Weeks!P146)</f>
        <v>0</v>
      </c>
      <c r="L297" s="45">
        <f>IF(C297="*","*",[4]Weeks!P66-[4]Weeks!P106)</f>
        <v>0</v>
      </c>
      <c r="M297" s="45">
        <f>IF(C297="*","*",[4]Weeks!P13-[4]Weeks!P66)</f>
        <v>0</v>
      </c>
      <c r="N297" s="46" t="str">
        <f t="shared" si="51"/>
        <v>-</v>
      </c>
      <c r="O297" s="45">
        <f t="shared" si="52"/>
        <v>0</v>
      </c>
      <c r="P297" s="41">
        <f>IF(ISTEXT(C297),#REF!,IF(ISNUMBER([4]CLOSURES!P14),TEXT([4]CLOSURES!P14,"ddmmm"),IF(C297&lt;=0,0,IF(I297&lt;0,0,IF(AND(C297&gt;0,O297&lt;=0),"&gt;99",IF(I297/O297&gt;100,"&gt;99",MAX(0,I297/O297-2)))))))</f>
        <v>0</v>
      </c>
      <c r="R297" s="185"/>
    </row>
    <row r="298" spans="2:254" s="191" customFormat="1" hidden="1" x14ac:dyDescent="0.2">
      <c r="B298" s="57" t="s">
        <v>87</v>
      </c>
      <c r="C298" s="42">
        <f>[4]quotas!P73</f>
        <v>0</v>
      </c>
      <c r="D298" s="45">
        <f>[4]quotas!P73-[4]quotas!P113</f>
        <v>0</v>
      </c>
      <c r="E298" s="45"/>
      <c r="F298" s="71">
        <f>[4]quotas!S73</f>
        <v>0</v>
      </c>
      <c r="G298" s="45" t="e">
        <f>IF(#REF!="*","*",([4]Cumulative!R58+[4]Cumulative!R61)+SUM([4]Cumulative!R64:R69)+SUM([4]Cumulative!R76:R77)+[4]Cumulative!R80)</f>
        <v>#REF!</v>
      </c>
      <c r="H298" s="46" t="str">
        <f>IF(C298="*","*",IF(C298&gt;0,#REF!/C298*100,"-"))</f>
        <v>-</v>
      </c>
      <c r="I298" s="44" t="e">
        <f>IF(C298="*","*",C298-#REF!)</f>
        <v>#REF!</v>
      </c>
      <c r="J298" s="45">
        <f>IF(C298="*","*",[4]Weeks!P147-[4]Weeks!P187)</f>
        <v>0</v>
      </c>
      <c r="K298" s="45">
        <f>IF(C298="*","*",[4]Weeks!P107-[4]Weeks!P147)</f>
        <v>0</v>
      </c>
      <c r="L298" s="45">
        <f>IF(C298="*","*",[4]Weeks!P67-[4]Weeks!P107)</f>
        <v>0</v>
      </c>
      <c r="M298" s="45">
        <f>IF(C298="*","*",[4]Weeks!P27-[4]Weeks!P67)</f>
        <v>0</v>
      </c>
      <c r="N298" s="46" t="str">
        <f t="shared" si="51"/>
        <v>-</v>
      </c>
      <c r="O298" s="45">
        <f t="shared" si="52"/>
        <v>0</v>
      </c>
      <c r="P298" s="41">
        <f>IF(ISTEXT(C298),#REF!,IF(ISNUMBER([4]CLOSURES!P33),TEXT([4]CLOSURES!P33,"ddmmm"),IF(C298&lt;=0,0,IF(I298&lt;0,0,IF(AND(C298&gt;0,O298&lt;=0),"&gt;99",IF(I298/O298&gt;100,"&gt;99",MAX(0,I298/O298-2)))))))</f>
        <v>0</v>
      </c>
      <c r="R298" s="185"/>
    </row>
    <row r="299" spans="2:254" s="191" customFormat="1" hidden="1" x14ac:dyDescent="0.2">
      <c r="B299" s="49" t="s">
        <v>88</v>
      </c>
      <c r="C299" s="42">
        <f>[4]quotas!P74</f>
        <v>0</v>
      </c>
      <c r="D299" s="45">
        <f>[4]quotas!P74-[4]quotas!P114</f>
        <v>0</v>
      </c>
      <c r="E299" s="45"/>
      <c r="F299" s="71">
        <f>[4]quotas!S74</f>
        <v>0</v>
      </c>
      <c r="G299" s="45" t="e">
        <f>IF(#REF!="*","*",[4]Cumulative!R84)</f>
        <v>#REF!</v>
      </c>
      <c r="H299" s="46" t="str">
        <f>IF(C299="*","*",IF(C299&gt;0,#REF!/C299*100,"-"))</f>
        <v>-</v>
      </c>
      <c r="I299" s="44" t="e">
        <f>IF(C299="*","*",C299-#REF!)</f>
        <v>#REF!</v>
      </c>
      <c r="J299" s="45">
        <f>IF(C299="*","*",[4]Weeks!P135-[4]Weeks!P175)</f>
        <v>0</v>
      </c>
      <c r="K299" s="45">
        <f>IF(C299="*","*",[4]Weeks!P95-[4]Weeks!P135)</f>
        <v>0</v>
      </c>
      <c r="L299" s="45">
        <f>IF(C299="*","*",[4]Weeks!P55-[4]Weeks!P95)</f>
        <v>0</v>
      </c>
      <c r="M299" s="45">
        <f>IF(C299="*","*",[4]Weeks!P28-[4]Weeks!P55)</f>
        <v>0</v>
      </c>
      <c r="N299" s="46" t="str">
        <f t="shared" si="51"/>
        <v>-</v>
      </c>
      <c r="O299" s="45">
        <f t="shared" si="52"/>
        <v>0</v>
      </c>
      <c r="P299" s="41">
        <f>IF(ISTEXT(C299),#REF!,IF(ISNUMBER([4]CLOSURES!P35),TEXT([4]CLOSURES!P35,"ddmmm"),IF(C299&lt;=0,0,IF(I299&lt;0,0,IF(AND(C299&gt;0,O299&lt;=0),"&gt;99",IF(I299/O299&gt;100,"&gt;99",MAX(0,I299/O299-2)))))))</f>
        <v>0</v>
      </c>
      <c r="R299" s="185"/>
    </row>
    <row r="300" spans="2:254" s="191" customFormat="1" hidden="1" x14ac:dyDescent="0.2">
      <c r="B300" s="49" t="s">
        <v>89</v>
      </c>
      <c r="C300" s="42">
        <f>[4]quotas!P78</f>
        <v>0</v>
      </c>
      <c r="D300" s="45">
        <f>[4]quotas!P78-[4]quotas!P118</f>
        <v>0</v>
      </c>
      <c r="E300" s="45"/>
      <c r="F300" s="71">
        <f>[4]quotas!S78</f>
        <v>0</v>
      </c>
      <c r="G300" s="45" t="e">
        <f>IF(#REF!="*","*",[4]Cumulative!R85)</f>
        <v>#REF!</v>
      </c>
      <c r="H300" s="46" t="str">
        <f>IF(C300="*","*",IF(C300&gt;0,#REF!/C300*100,"-"))</f>
        <v>-</v>
      </c>
      <c r="I300" s="44" t="e">
        <f>IF(C300="*","*",C300-#REF!)</f>
        <v>#REF!</v>
      </c>
      <c r="J300" s="45">
        <f>IF(C300="*","*",[4]Weeks!P152-[4]Weeks!P192)</f>
        <v>0</v>
      </c>
      <c r="K300" s="45">
        <f>IF(C300="*","*",[4]Weeks!P112-[4]Weeks!P152)</f>
        <v>0</v>
      </c>
      <c r="L300" s="45">
        <f>IF(C300="*","*",[4]Weeks!P72-[4]Weeks!P112)</f>
        <v>0</v>
      </c>
      <c r="M300" s="45">
        <f>IF(C300="*","*",[4]Weeks!P32-[4]Weeks!P72)</f>
        <v>0</v>
      </c>
      <c r="N300" s="46" t="str">
        <f t="shared" si="51"/>
        <v>-</v>
      </c>
      <c r="O300" s="45">
        <f t="shared" si="52"/>
        <v>0</v>
      </c>
      <c r="P300" s="41">
        <f>IF(ISTEXT(C300),#REF!,IF(ISNUMBER([4]CLOSURES!P39),TEXT([4]CLOSURES!P39,"ddmmm"),IF(C300&lt;=0,0,IF(I300&lt;0,0,IF(AND(C300&gt;0,O300&lt;=0),"&gt;99",IF(I300/O300&gt;100,"&gt;99",MAX(0,I300/O300-2)))))))</f>
        <v>0</v>
      </c>
      <c r="R300" s="185"/>
    </row>
    <row r="301" spans="2:254" s="191" customFormat="1" hidden="1" x14ac:dyDescent="0.2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2">
      <c r="B302" s="208" t="s">
        <v>91</v>
      </c>
      <c r="C302" s="50">
        <f>[4]PELAGIC!P18</f>
        <v>0</v>
      </c>
      <c r="D302" s="52">
        <f>[4]quotas!P80-[4]quotas!P120</f>
        <v>0</v>
      </c>
      <c r="E302" s="52"/>
      <c r="F302" s="72" t="e">
        <f>[4]PELAGIC!S18</f>
        <v>#DIV/0!</v>
      </c>
      <c r="G302" s="52" t="e">
        <f>SUM(G278:G301)</f>
        <v>#REF!</v>
      </c>
      <c r="H302" s="58" t="str">
        <f>IF(C302="*","*",IF(C302&gt;0,#REF!/C302*100,"-"))</f>
        <v>-</v>
      </c>
      <c r="I302" s="51" t="e">
        <f>C302-#REF!</f>
        <v>#REF!</v>
      </c>
      <c r="J302" s="52">
        <f>SUM(J278:J301)</f>
        <v>0</v>
      </c>
      <c r="K302" s="52">
        <f>SUM(K278:K301)</f>
        <v>0</v>
      </c>
      <c r="L302" s="52">
        <f>SUM(L278:L301)</f>
        <v>0</v>
      </c>
      <c r="M302" s="52" t="e">
        <f>SUM(M278:M301)</f>
        <v>#VALUE!</v>
      </c>
      <c r="N302" s="58" t="str">
        <f>IF(C302="*","*",IF(C302&gt;0,M302/C302*100,"-"))</f>
        <v>-</v>
      </c>
      <c r="O302" s="52" t="e">
        <f>IF(C302="*","*",SUM(J302:M302)/4)</f>
        <v>#VALUE!</v>
      </c>
      <c r="P302" s="54">
        <f>IF(ISTEXT(C302),#REF!,IF(ISNUMBER([4]CLOSURES!#REF!),TEXT([4]CLOSURES!#REF!,"ddmmm"),IF(C302&lt;=0,0,IF(I302&lt;0,0,IF(AND(C302&gt;0,O302&lt;=0),"&gt;99",IF(I302/O302&gt;100,"&gt;99",MAX(0,I302/O302-2)))))))</f>
        <v>0</v>
      </c>
      <c r="R302" s="185"/>
    </row>
    <row r="303" spans="2:254" ht="10.7" hidden="1" customHeight="1" x14ac:dyDescent="0.2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7" hidden="1" customHeight="1" x14ac:dyDescent="0.2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88"/>
  <sheetViews>
    <sheetView workbookViewId="0"/>
  </sheetViews>
  <sheetFormatPr defaultRowHeight="12.75" x14ac:dyDescent="0.2"/>
  <cols>
    <col min="1" max="1" width="16.85546875" bestFit="1" customWidth="1"/>
    <col min="2" max="2" width="17.28515625" customWidth="1"/>
    <col min="3" max="3" width="13.28515625" customWidth="1"/>
    <col min="16" max="16" width="11.7109375" bestFit="1" customWidth="1"/>
    <col min="17" max="17" width="18" bestFit="1" customWidth="1"/>
    <col min="18" max="18" width="91.140625" bestFit="1" customWidth="1"/>
  </cols>
  <sheetData>
    <row r="1" spans="1:19" x14ac:dyDescent="0.2">
      <c r="R1" s="227"/>
      <c r="S1">
        <v>1</v>
      </c>
    </row>
    <row r="2" spans="1:19" x14ac:dyDescent="0.2">
      <c r="S2">
        <v>0.6</v>
      </c>
    </row>
    <row r="3" spans="1:19" x14ac:dyDescent="0.2">
      <c r="C3" s="228" t="s">
        <v>158</v>
      </c>
    </row>
    <row r="4" spans="1:19" x14ac:dyDescent="0.2">
      <c r="B4" t="s">
        <v>159</v>
      </c>
      <c r="C4" t="s">
        <v>160</v>
      </c>
      <c r="D4" t="s">
        <v>161</v>
      </c>
    </row>
    <row r="5" spans="1:19" x14ac:dyDescent="0.2">
      <c r="A5" t="s">
        <v>62</v>
      </c>
    </row>
    <row r="6" spans="1:19" x14ac:dyDescent="0.2">
      <c r="A6" t="s">
        <v>63</v>
      </c>
    </row>
    <row r="7" spans="1:19" x14ac:dyDescent="0.2">
      <c r="A7" t="s">
        <v>65</v>
      </c>
    </row>
    <row r="8" spans="1:19" x14ac:dyDescent="0.2">
      <c r="A8" t="s">
        <v>66</v>
      </c>
    </row>
    <row r="9" spans="1:19" x14ac:dyDescent="0.2">
      <c r="A9" t="s">
        <v>67</v>
      </c>
    </row>
    <row r="10" spans="1:19" x14ac:dyDescent="0.2">
      <c r="A10" t="s">
        <v>68</v>
      </c>
    </row>
    <row r="11" spans="1:19" x14ac:dyDescent="0.2">
      <c r="A11" t="s">
        <v>69</v>
      </c>
    </row>
    <row r="12" spans="1:19" x14ac:dyDescent="0.2">
      <c r="A12" t="s">
        <v>70</v>
      </c>
    </row>
    <row r="13" spans="1:19" x14ac:dyDescent="0.2">
      <c r="A13" t="s">
        <v>71</v>
      </c>
    </row>
    <row r="14" spans="1:19" x14ac:dyDescent="0.2">
      <c r="A14" t="s">
        <v>72</v>
      </c>
    </row>
    <row r="15" spans="1:19" x14ac:dyDescent="0.2">
      <c r="A15" t="s">
        <v>73</v>
      </c>
    </row>
    <row r="17" spans="1:1" x14ac:dyDescent="0.2">
      <c r="A17" t="s">
        <v>74</v>
      </c>
    </row>
    <row r="18" spans="1:1" x14ac:dyDescent="0.2">
      <c r="A18" t="s">
        <v>75</v>
      </c>
    </row>
    <row r="19" spans="1:1" x14ac:dyDescent="0.2">
      <c r="A19" t="s">
        <v>157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86</v>
      </c>
    </row>
    <row r="32" spans="1:1" x14ac:dyDescent="0.2">
      <c r="A32" t="s">
        <v>87</v>
      </c>
    </row>
    <row r="33" spans="1:4" x14ac:dyDescent="0.2">
      <c r="A33" t="s">
        <v>88</v>
      </c>
    </row>
    <row r="34" spans="1:4" x14ac:dyDescent="0.2">
      <c r="A34" t="s">
        <v>89</v>
      </c>
    </row>
    <row r="36" spans="1:4" x14ac:dyDescent="0.2">
      <c r="A36" t="s">
        <v>90</v>
      </c>
    </row>
    <row r="37" spans="1:4" x14ac:dyDescent="0.2">
      <c r="A37" t="s">
        <v>91</v>
      </c>
    </row>
    <row r="41" spans="1:4" x14ac:dyDescent="0.2">
      <c r="C41" s="228" t="s">
        <v>162</v>
      </c>
    </row>
    <row r="42" spans="1:4" x14ac:dyDescent="0.2">
      <c r="B42" t="s">
        <v>159</v>
      </c>
      <c r="C42" t="s">
        <v>160</v>
      </c>
      <c r="D42" t="s">
        <v>161</v>
      </c>
    </row>
    <row r="43" spans="1:4" x14ac:dyDescent="0.2">
      <c r="A43" t="s">
        <v>62</v>
      </c>
    </row>
    <row r="44" spans="1:4" x14ac:dyDescent="0.2">
      <c r="A44" t="s">
        <v>63</v>
      </c>
    </row>
    <row r="45" spans="1:4" x14ac:dyDescent="0.2">
      <c r="A45" t="s">
        <v>65</v>
      </c>
    </row>
    <row r="46" spans="1:4" x14ac:dyDescent="0.2">
      <c r="A46" t="s">
        <v>66</v>
      </c>
    </row>
    <row r="47" spans="1:4" x14ac:dyDescent="0.2">
      <c r="A47" t="s">
        <v>67</v>
      </c>
    </row>
    <row r="48" spans="1:4" x14ac:dyDescent="0.2">
      <c r="A48" t="s">
        <v>68</v>
      </c>
    </row>
    <row r="49" spans="1:1" x14ac:dyDescent="0.2">
      <c r="A49" t="s">
        <v>69</v>
      </c>
    </row>
    <row r="50" spans="1:1" x14ac:dyDescent="0.2">
      <c r="A50" t="s">
        <v>70</v>
      </c>
    </row>
    <row r="51" spans="1:1" x14ac:dyDescent="0.2">
      <c r="A51" t="s">
        <v>71</v>
      </c>
    </row>
    <row r="52" spans="1:1" x14ac:dyDescent="0.2">
      <c r="A52" t="s">
        <v>72</v>
      </c>
    </row>
    <row r="53" spans="1:1" x14ac:dyDescent="0.2">
      <c r="A53" t="s">
        <v>73</v>
      </c>
    </row>
    <row r="55" spans="1:1" x14ac:dyDescent="0.2">
      <c r="A55" t="s">
        <v>74</v>
      </c>
    </row>
    <row r="56" spans="1:1" x14ac:dyDescent="0.2">
      <c r="A56" t="s">
        <v>75</v>
      </c>
    </row>
    <row r="57" spans="1:1" x14ac:dyDescent="0.2">
      <c r="A57" t="s">
        <v>157</v>
      </c>
    </row>
    <row r="58" spans="1:1" x14ac:dyDescent="0.2">
      <c r="A58" t="s">
        <v>76</v>
      </c>
    </row>
    <row r="59" spans="1:1" x14ac:dyDescent="0.2">
      <c r="A59" t="s">
        <v>77</v>
      </c>
    </row>
    <row r="60" spans="1:1" x14ac:dyDescent="0.2">
      <c r="A60" t="s">
        <v>78</v>
      </c>
    </row>
    <row r="61" spans="1:1" x14ac:dyDescent="0.2">
      <c r="A61" t="s">
        <v>79</v>
      </c>
    </row>
    <row r="62" spans="1:1" x14ac:dyDescent="0.2">
      <c r="A62" t="s">
        <v>80</v>
      </c>
    </row>
    <row r="63" spans="1:1" x14ac:dyDescent="0.2">
      <c r="A63" t="s">
        <v>81</v>
      </c>
    </row>
    <row r="64" spans="1:1" x14ac:dyDescent="0.2">
      <c r="A64" t="s">
        <v>82</v>
      </c>
    </row>
    <row r="65" spans="1:3" x14ac:dyDescent="0.2">
      <c r="A65" t="s">
        <v>83</v>
      </c>
    </row>
    <row r="66" spans="1:3" x14ac:dyDescent="0.2">
      <c r="A66" t="s">
        <v>84</v>
      </c>
    </row>
    <row r="67" spans="1:3" x14ac:dyDescent="0.2">
      <c r="A67" t="s">
        <v>85</v>
      </c>
    </row>
    <row r="68" spans="1:3" x14ac:dyDescent="0.2">
      <c r="A68" t="s">
        <v>86</v>
      </c>
    </row>
    <row r="70" spans="1:3" x14ac:dyDescent="0.2">
      <c r="A70" t="s">
        <v>87</v>
      </c>
    </row>
    <row r="71" spans="1:3" x14ac:dyDescent="0.2">
      <c r="A71" t="s">
        <v>88</v>
      </c>
    </row>
    <row r="72" spans="1:3" x14ac:dyDescent="0.2">
      <c r="A72" t="s">
        <v>89</v>
      </c>
    </row>
    <row r="74" spans="1:3" x14ac:dyDescent="0.2">
      <c r="A74" t="s">
        <v>90</v>
      </c>
    </row>
    <row r="75" spans="1:3" x14ac:dyDescent="0.2">
      <c r="A75" t="s">
        <v>91</v>
      </c>
    </row>
    <row r="78" spans="1:3" x14ac:dyDescent="0.2">
      <c r="C78" s="229" t="s">
        <v>163</v>
      </c>
    </row>
    <row r="79" spans="1:3" x14ac:dyDescent="0.2">
      <c r="B79" t="s">
        <v>159</v>
      </c>
      <c r="C79" t="s">
        <v>160</v>
      </c>
    </row>
    <row r="80" spans="1:3" x14ac:dyDescent="0.2">
      <c r="A80" t="s">
        <v>62</v>
      </c>
    </row>
    <row r="81" spans="1:1" x14ac:dyDescent="0.2">
      <c r="A81" t="s">
        <v>63</v>
      </c>
    </row>
    <row r="82" spans="1:1" x14ac:dyDescent="0.2">
      <c r="A82" t="s">
        <v>65</v>
      </c>
    </row>
    <row r="83" spans="1:1" x14ac:dyDescent="0.2">
      <c r="A83" t="s">
        <v>66</v>
      </c>
    </row>
    <row r="84" spans="1:1" x14ac:dyDescent="0.2">
      <c r="A84" t="s">
        <v>67</v>
      </c>
    </row>
    <row r="85" spans="1:1" x14ac:dyDescent="0.2">
      <c r="A85" t="s">
        <v>68</v>
      </c>
    </row>
    <row r="86" spans="1:1" x14ac:dyDescent="0.2">
      <c r="A86" t="s">
        <v>69</v>
      </c>
    </row>
    <row r="87" spans="1:1" x14ac:dyDescent="0.2">
      <c r="A87" t="s">
        <v>70</v>
      </c>
    </row>
    <row r="88" spans="1:1" x14ac:dyDescent="0.2">
      <c r="A88" t="s">
        <v>71</v>
      </c>
    </row>
    <row r="89" spans="1:1" x14ac:dyDescent="0.2">
      <c r="A89" t="s">
        <v>72</v>
      </c>
    </row>
    <row r="90" spans="1:1" x14ac:dyDescent="0.2">
      <c r="A90" t="s">
        <v>73</v>
      </c>
    </row>
    <row r="92" spans="1:1" x14ac:dyDescent="0.2">
      <c r="A92" t="s">
        <v>74</v>
      </c>
    </row>
    <row r="93" spans="1:1" x14ac:dyDescent="0.2">
      <c r="A93" t="s">
        <v>75</v>
      </c>
    </row>
    <row r="94" spans="1:1" x14ac:dyDescent="0.2">
      <c r="A94" t="s">
        <v>157</v>
      </c>
    </row>
    <row r="95" spans="1:1" x14ac:dyDescent="0.2">
      <c r="A95" t="s">
        <v>76</v>
      </c>
    </row>
    <row r="96" spans="1:1" x14ac:dyDescent="0.2">
      <c r="A96" t="s">
        <v>77</v>
      </c>
    </row>
    <row r="97" spans="1:1" x14ac:dyDescent="0.2">
      <c r="A97" t="s">
        <v>78</v>
      </c>
    </row>
    <row r="98" spans="1:1" x14ac:dyDescent="0.2">
      <c r="A98" t="s">
        <v>79</v>
      </c>
    </row>
    <row r="99" spans="1:1" x14ac:dyDescent="0.2">
      <c r="A99" t="s">
        <v>80</v>
      </c>
    </row>
    <row r="100" spans="1:1" x14ac:dyDescent="0.2">
      <c r="A100" t="s">
        <v>81</v>
      </c>
    </row>
    <row r="101" spans="1:1" x14ac:dyDescent="0.2">
      <c r="A101" t="s">
        <v>82</v>
      </c>
    </row>
    <row r="102" spans="1:1" x14ac:dyDescent="0.2">
      <c r="A102" t="s">
        <v>83</v>
      </c>
    </row>
    <row r="103" spans="1:1" x14ac:dyDescent="0.2">
      <c r="A103" t="s">
        <v>84</v>
      </c>
    </row>
    <row r="104" spans="1:1" x14ac:dyDescent="0.2">
      <c r="A104" t="s">
        <v>85</v>
      </c>
    </row>
    <row r="105" spans="1:1" x14ac:dyDescent="0.2">
      <c r="A105" t="s">
        <v>86</v>
      </c>
    </row>
    <row r="107" spans="1:1" x14ac:dyDescent="0.2">
      <c r="A107" t="s">
        <v>87</v>
      </c>
    </row>
    <row r="108" spans="1:1" x14ac:dyDescent="0.2">
      <c r="A108" t="s">
        <v>88</v>
      </c>
    </row>
    <row r="109" spans="1:1" x14ac:dyDescent="0.2">
      <c r="A109" t="s">
        <v>89</v>
      </c>
    </row>
    <row r="111" spans="1:1" x14ac:dyDescent="0.2">
      <c r="A111" t="s">
        <v>90</v>
      </c>
    </row>
    <row r="112" spans="1:1" x14ac:dyDescent="0.2">
      <c r="A112" t="s">
        <v>91</v>
      </c>
    </row>
    <row r="116" spans="1:3" x14ac:dyDescent="0.2">
      <c r="C116" s="228" t="s">
        <v>164</v>
      </c>
    </row>
    <row r="117" spans="1:3" x14ac:dyDescent="0.2">
      <c r="B117" t="s">
        <v>159</v>
      </c>
      <c r="C117" t="s">
        <v>160</v>
      </c>
    </row>
    <row r="118" spans="1:3" x14ac:dyDescent="0.2">
      <c r="A118" t="s">
        <v>62</v>
      </c>
    </row>
    <row r="119" spans="1:3" x14ac:dyDescent="0.2">
      <c r="A119" t="s">
        <v>63</v>
      </c>
    </row>
    <row r="120" spans="1:3" x14ac:dyDescent="0.2">
      <c r="A120" t="s">
        <v>65</v>
      </c>
    </row>
    <row r="121" spans="1:3" x14ac:dyDescent="0.2">
      <c r="A121" t="s">
        <v>66</v>
      </c>
    </row>
    <row r="122" spans="1:3" x14ac:dyDescent="0.2">
      <c r="A122" t="s">
        <v>67</v>
      </c>
    </row>
    <row r="123" spans="1:3" x14ac:dyDescent="0.2">
      <c r="A123" t="s">
        <v>68</v>
      </c>
    </row>
    <row r="124" spans="1:3" x14ac:dyDescent="0.2">
      <c r="A124" t="s">
        <v>69</v>
      </c>
    </row>
    <row r="125" spans="1:3" x14ac:dyDescent="0.2">
      <c r="A125" t="s">
        <v>70</v>
      </c>
    </row>
    <row r="126" spans="1:3" x14ac:dyDescent="0.2">
      <c r="A126" t="s">
        <v>71</v>
      </c>
    </row>
    <row r="127" spans="1:3" x14ac:dyDescent="0.2">
      <c r="A127" t="s">
        <v>72</v>
      </c>
    </row>
    <row r="128" spans="1:3" x14ac:dyDescent="0.2">
      <c r="A128" t="s">
        <v>73</v>
      </c>
    </row>
    <row r="130" spans="1:1" x14ac:dyDescent="0.2">
      <c r="A130" t="s">
        <v>74</v>
      </c>
    </row>
    <row r="131" spans="1:1" x14ac:dyDescent="0.2">
      <c r="A131" t="s">
        <v>75</v>
      </c>
    </row>
    <row r="132" spans="1:1" x14ac:dyDescent="0.2">
      <c r="A132" t="s">
        <v>157</v>
      </c>
    </row>
    <row r="133" spans="1:1" x14ac:dyDescent="0.2">
      <c r="A133" t="s">
        <v>76</v>
      </c>
    </row>
    <row r="134" spans="1:1" x14ac:dyDescent="0.2">
      <c r="A134" t="s">
        <v>77</v>
      </c>
    </row>
    <row r="135" spans="1:1" x14ac:dyDescent="0.2">
      <c r="A135" t="s">
        <v>78</v>
      </c>
    </row>
    <row r="136" spans="1:1" x14ac:dyDescent="0.2">
      <c r="A136" t="s">
        <v>79</v>
      </c>
    </row>
    <row r="137" spans="1:1" x14ac:dyDescent="0.2">
      <c r="A137" t="s">
        <v>80</v>
      </c>
    </row>
    <row r="138" spans="1:1" x14ac:dyDescent="0.2">
      <c r="A138" t="s">
        <v>81</v>
      </c>
    </row>
    <row r="139" spans="1:1" x14ac:dyDescent="0.2">
      <c r="A139" t="s">
        <v>82</v>
      </c>
    </row>
    <row r="140" spans="1:1" x14ac:dyDescent="0.2">
      <c r="A140" t="s">
        <v>83</v>
      </c>
    </row>
    <row r="141" spans="1:1" x14ac:dyDescent="0.2">
      <c r="A141" t="s">
        <v>84</v>
      </c>
    </row>
    <row r="142" spans="1:1" x14ac:dyDescent="0.2">
      <c r="A142" t="s">
        <v>85</v>
      </c>
    </row>
    <row r="143" spans="1:1" x14ac:dyDescent="0.2">
      <c r="A143" t="s">
        <v>86</v>
      </c>
    </row>
    <row r="145" spans="1:3" x14ac:dyDescent="0.2">
      <c r="A145" t="s">
        <v>87</v>
      </c>
    </row>
    <row r="146" spans="1:3" x14ac:dyDescent="0.2">
      <c r="A146" t="s">
        <v>88</v>
      </c>
    </row>
    <row r="147" spans="1:3" x14ac:dyDescent="0.2">
      <c r="A147" t="s">
        <v>89</v>
      </c>
      <c r="C147">
        <v>300</v>
      </c>
    </row>
    <row r="149" spans="1:3" x14ac:dyDescent="0.2">
      <c r="A149" t="s">
        <v>90</v>
      </c>
    </row>
    <row r="150" spans="1:3" x14ac:dyDescent="0.2">
      <c r="A150" t="s">
        <v>91</v>
      </c>
    </row>
    <row r="154" spans="1:3" x14ac:dyDescent="0.2">
      <c r="C154" s="228" t="s">
        <v>165</v>
      </c>
    </row>
    <row r="155" spans="1:3" x14ac:dyDescent="0.2">
      <c r="B155" t="s">
        <v>159</v>
      </c>
      <c r="C155" t="s">
        <v>160</v>
      </c>
    </row>
    <row r="156" spans="1:3" x14ac:dyDescent="0.2">
      <c r="A156" t="s">
        <v>62</v>
      </c>
    </row>
    <row r="157" spans="1:3" x14ac:dyDescent="0.2">
      <c r="A157" t="s">
        <v>63</v>
      </c>
    </row>
    <row r="158" spans="1:3" x14ac:dyDescent="0.2">
      <c r="A158" t="s">
        <v>65</v>
      </c>
    </row>
    <row r="159" spans="1:3" x14ac:dyDescent="0.2">
      <c r="A159" t="s">
        <v>66</v>
      </c>
    </row>
    <row r="160" spans="1:3" x14ac:dyDescent="0.2">
      <c r="A160" t="s">
        <v>67</v>
      </c>
    </row>
    <row r="161" spans="1:1" x14ac:dyDescent="0.2">
      <c r="A161" t="s">
        <v>68</v>
      </c>
    </row>
    <row r="162" spans="1:1" x14ac:dyDescent="0.2">
      <c r="A162" t="s">
        <v>69</v>
      </c>
    </row>
    <row r="163" spans="1:1" x14ac:dyDescent="0.2">
      <c r="A163" t="s">
        <v>70</v>
      </c>
    </row>
    <row r="164" spans="1:1" x14ac:dyDescent="0.2">
      <c r="A164" t="s">
        <v>71</v>
      </c>
    </row>
    <row r="165" spans="1:1" x14ac:dyDescent="0.2">
      <c r="A165" t="s">
        <v>72</v>
      </c>
    </row>
    <row r="166" spans="1:1" x14ac:dyDescent="0.2">
      <c r="A166" t="s">
        <v>73</v>
      </c>
    </row>
    <row r="168" spans="1:1" x14ac:dyDescent="0.2">
      <c r="A168" t="s">
        <v>74</v>
      </c>
    </row>
    <row r="169" spans="1:1" x14ac:dyDescent="0.2">
      <c r="A169" t="s">
        <v>75</v>
      </c>
    </row>
    <row r="170" spans="1:1" x14ac:dyDescent="0.2">
      <c r="A170" t="s">
        <v>157</v>
      </c>
    </row>
    <row r="171" spans="1:1" x14ac:dyDescent="0.2">
      <c r="A171" t="s">
        <v>76</v>
      </c>
    </row>
    <row r="172" spans="1:1" x14ac:dyDescent="0.2">
      <c r="A172" t="s">
        <v>77</v>
      </c>
    </row>
    <row r="173" spans="1:1" x14ac:dyDescent="0.2">
      <c r="A173" t="s">
        <v>78</v>
      </c>
    </row>
    <row r="174" spans="1:1" x14ac:dyDescent="0.2">
      <c r="A174" t="s">
        <v>79</v>
      </c>
    </row>
    <row r="175" spans="1:1" x14ac:dyDescent="0.2">
      <c r="A175" t="s">
        <v>80</v>
      </c>
    </row>
    <row r="176" spans="1:1" x14ac:dyDescent="0.2">
      <c r="A176" t="s">
        <v>81</v>
      </c>
    </row>
    <row r="177" spans="1:1" x14ac:dyDescent="0.2">
      <c r="A177" t="s">
        <v>82</v>
      </c>
    </row>
    <row r="178" spans="1:1" x14ac:dyDescent="0.2">
      <c r="A178" t="s">
        <v>83</v>
      </c>
    </row>
    <row r="179" spans="1:1" x14ac:dyDescent="0.2">
      <c r="A179" t="s">
        <v>84</v>
      </c>
    </row>
    <row r="180" spans="1:1" x14ac:dyDescent="0.2">
      <c r="A180" t="s">
        <v>85</v>
      </c>
    </row>
    <row r="181" spans="1:1" x14ac:dyDescent="0.2">
      <c r="A181" t="s">
        <v>86</v>
      </c>
    </row>
    <row r="183" spans="1:1" x14ac:dyDescent="0.2">
      <c r="A183" t="s">
        <v>87</v>
      </c>
    </row>
    <row r="184" spans="1:1" x14ac:dyDescent="0.2">
      <c r="A184" t="s">
        <v>88</v>
      </c>
    </row>
    <row r="185" spans="1:1" x14ac:dyDescent="0.2">
      <c r="A185" t="s">
        <v>89</v>
      </c>
    </row>
    <row r="187" spans="1:1" x14ac:dyDescent="0.2">
      <c r="A187" t="s">
        <v>90</v>
      </c>
    </row>
    <row r="188" spans="1:1" x14ac:dyDescent="0.2">
      <c r="A18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 </vt:lpstr>
      <vt:lpstr>Spe Cond stocks</vt:lpstr>
      <vt:lpstr>'New Sectoral'!Print_Area</vt:lpstr>
      <vt:lpstr>PELAGIC!Print_Area</vt:lpstr>
      <vt:lpstr>'New Sectoral'!Print_Titles</vt:lpstr>
      <vt:lpstr>'Pel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Etridge, Callum (MMO)</cp:lastModifiedBy>
  <cp:lastPrinted>2019-12-11T10:01:57Z</cp:lastPrinted>
  <dcterms:created xsi:type="dcterms:W3CDTF">2011-07-06T13:58:32Z</dcterms:created>
  <dcterms:modified xsi:type="dcterms:W3CDTF">2021-10-20T14:59:03Z</dcterms:modified>
</cp:coreProperties>
</file>