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1BDDDCDD-80F0-4481-AD79-F5464C7CEFA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89" i="215" l="1"/>
  <c r="F889" i="215"/>
  <c r="C889" i="215"/>
  <c r="O888" i="215"/>
  <c r="N888" i="215"/>
  <c r="F888" i="215"/>
  <c r="P887" i="215"/>
  <c r="O887" i="215"/>
  <c r="I887" i="215"/>
  <c r="F887" i="215"/>
  <c r="H887" i="215" s="1"/>
  <c r="E887" i="215"/>
  <c r="C887" i="215"/>
  <c r="N887" i="215" s="1"/>
  <c r="P886" i="215"/>
  <c r="O886" i="215"/>
  <c r="F886" i="215"/>
  <c r="E886" i="215"/>
  <c r="C886" i="215"/>
  <c r="O885" i="215"/>
  <c r="N885" i="215"/>
  <c r="I885" i="215"/>
  <c r="H885" i="215"/>
  <c r="F885" i="215"/>
  <c r="P885" i="215" s="1"/>
  <c r="E885" i="215"/>
  <c r="C885" i="215"/>
  <c r="G883" i="215"/>
  <c r="G890" i="215" s="1"/>
  <c r="P882" i="215"/>
  <c r="M882" i="215"/>
  <c r="L882" i="215"/>
  <c r="K882" i="215"/>
  <c r="J882" i="215"/>
  <c r="I882" i="215"/>
  <c r="G882" i="215"/>
  <c r="H882" i="215" s="1"/>
  <c r="F882" i="215"/>
  <c r="D882" i="215"/>
  <c r="C882" i="215"/>
  <c r="O882" i="215" s="1"/>
  <c r="P881" i="215"/>
  <c r="M881" i="215"/>
  <c r="L881" i="215"/>
  <c r="K881" i="215"/>
  <c r="J881" i="215"/>
  <c r="O881" i="215" s="1"/>
  <c r="H881" i="215"/>
  <c r="G881" i="215"/>
  <c r="I881" i="215" s="1"/>
  <c r="F881" i="215"/>
  <c r="E881" i="215"/>
  <c r="D881" i="215"/>
  <c r="C881" i="215"/>
  <c r="N881" i="215" s="1"/>
  <c r="P880" i="215"/>
  <c r="F880" i="215"/>
  <c r="C880" i="215"/>
  <c r="O880" i="215" s="1"/>
  <c r="P879" i="215"/>
  <c r="M879" i="215"/>
  <c r="L879" i="215"/>
  <c r="K879" i="215"/>
  <c r="J879" i="215"/>
  <c r="I879" i="215"/>
  <c r="G879" i="215"/>
  <c r="H879" i="215" s="1"/>
  <c r="F879" i="215"/>
  <c r="D879" i="215"/>
  <c r="C879" i="215"/>
  <c r="N879" i="215" s="1"/>
  <c r="P878" i="215"/>
  <c r="M878" i="215"/>
  <c r="L878" i="215"/>
  <c r="K878" i="215"/>
  <c r="J878" i="215"/>
  <c r="O878" i="215" s="1"/>
  <c r="H878" i="215"/>
  <c r="G878" i="215"/>
  <c r="I878" i="215" s="1"/>
  <c r="F878" i="215"/>
  <c r="D878" i="215" s="1"/>
  <c r="E878" i="215"/>
  <c r="C878" i="215"/>
  <c r="N878" i="215" s="1"/>
  <c r="P877" i="215"/>
  <c r="N877" i="215"/>
  <c r="M877" i="215"/>
  <c r="L877" i="215"/>
  <c r="K877" i="215"/>
  <c r="J877" i="215"/>
  <c r="H877" i="215"/>
  <c r="G877" i="215"/>
  <c r="F877" i="215"/>
  <c r="E877" i="215" s="1"/>
  <c r="C877" i="215"/>
  <c r="O877" i="215" s="1"/>
  <c r="N876" i="215"/>
  <c r="M876" i="215"/>
  <c r="L876" i="215"/>
  <c r="K876" i="215"/>
  <c r="J876" i="215"/>
  <c r="G876" i="215"/>
  <c r="F876" i="215"/>
  <c r="C876" i="215"/>
  <c r="O876" i="215" s="1"/>
  <c r="P875" i="215"/>
  <c r="M875" i="215"/>
  <c r="L875" i="215"/>
  <c r="K875" i="215"/>
  <c r="J875" i="215"/>
  <c r="O875" i="215" s="1"/>
  <c r="I875" i="215"/>
  <c r="G875" i="215"/>
  <c r="H875" i="215" s="1"/>
  <c r="F875" i="215"/>
  <c r="D875" i="215"/>
  <c r="C875" i="215"/>
  <c r="N875" i="215" s="1"/>
  <c r="P874" i="215"/>
  <c r="M874" i="215"/>
  <c r="L874" i="215"/>
  <c r="K874" i="215"/>
  <c r="J874" i="215"/>
  <c r="O874" i="215" s="1"/>
  <c r="H874" i="215"/>
  <c r="G874" i="215"/>
  <c r="I874" i="215" s="1"/>
  <c r="F874" i="215"/>
  <c r="E874" i="215"/>
  <c r="D874" i="215"/>
  <c r="C874" i="215"/>
  <c r="N874" i="215" s="1"/>
  <c r="P873" i="215"/>
  <c r="N873" i="215"/>
  <c r="M873" i="215"/>
  <c r="L873" i="215"/>
  <c r="K873" i="215"/>
  <c r="J873" i="215"/>
  <c r="H873" i="215"/>
  <c r="G873" i="215"/>
  <c r="F873" i="215"/>
  <c r="E873" i="215" s="1"/>
  <c r="C873" i="215"/>
  <c r="O873" i="215" s="1"/>
  <c r="N872" i="215"/>
  <c r="M872" i="215"/>
  <c r="L872" i="215"/>
  <c r="K872" i="215"/>
  <c r="J872" i="215"/>
  <c r="G872" i="215"/>
  <c r="F872" i="215"/>
  <c r="C872" i="215"/>
  <c r="O872" i="215" s="1"/>
  <c r="P871" i="215"/>
  <c r="M871" i="215"/>
  <c r="L871" i="215"/>
  <c r="K871" i="215"/>
  <c r="J871" i="215"/>
  <c r="I871" i="215"/>
  <c r="G871" i="215"/>
  <c r="H871" i="215" s="1"/>
  <c r="F871" i="215"/>
  <c r="D871" i="215"/>
  <c r="C871" i="215"/>
  <c r="N871" i="215" s="1"/>
  <c r="P870" i="215"/>
  <c r="M870" i="215"/>
  <c r="L870" i="215"/>
  <c r="K870" i="215"/>
  <c r="J870" i="215"/>
  <c r="O870" i="215" s="1"/>
  <c r="H870" i="215"/>
  <c r="G870" i="215"/>
  <c r="I870" i="215" s="1"/>
  <c r="F870" i="215"/>
  <c r="E870" i="215"/>
  <c r="D870" i="215"/>
  <c r="C870" i="215"/>
  <c r="N870" i="215" s="1"/>
  <c r="N867" i="215"/>
  <c r="M867" i="215"/>
  <c r="L867" i="215"/>
  <c r="K867" i="215"/>
  <c r="J867" i="215"/>
  <c r="G867" i="215"/>
  <c r="F867" i="215"/>
  <c r="C867" i="215"/>
  <c r="O867" i="215" s="1"/>
  <c r="M866" i="215"/>
  <c r="L866" i="215"/>
  <c r="K866" i="215"/>
  <c r="J866" i="215"/>
  <c r="I866" i="215"/>
  <c r="G866" i="215"/>
  <c r="F866" i="215"/>
  <c r="P866" i="215" s="1"/>
  <c r="D866" i="215"/>
  <c r="C866" i="215"/>
  <c r="O866" i="215" s="1"/>
  <c r="P865" i="215"/>
  <c r="M865" i="215"/>
  <c r="L865" i="215"/>
  <c r="K865" i="215"/>
  <c r="J865" i="215"/>
  <c r="O865" i="215" s="1"/>
  <c r="H865" i="215"/>
  <c r="G865" i="215"/>
  <c r="I865" i="215" s="1"/>
  <c r="F865" i="215"/>
  <c r="E865" i="215"/>
  <c r="D865" i="215"/>
  <c r="C865" i="215"/>
  <c r="N865" i="215" s="1"/>
  <c r="P864" i="215"/>
  <c r="N864" i="215"/>
  <c r="M864" i="215"/>
  <c r="L864" i="215"/>
  <c r="K864" i="215"/>
  <c r="J864" i="215"/>
  <c r="H864" i="215"/>
  <c r="G864" i="215"/>
  <c r="F864" i="215"/>
  <c r="E864" i="215" s="1"/>
  <c r="C864" i="215"/>
  <c r="O864" i="215" s="1"/>
  <c r="N863" i="215"/>
  <c r="M863" i="215"/>
  <c r="L863" i="215"/>
  <c r="K863" i="215"/>
  <c r="J863" i="215"/>
  <c r="G863" i="215"/>
  <c r="F863" i="215"/>
  <c r="C863" i="215"/>
  <c r="O863" i="215" s="1"/>
  <c r="O862" i="215"/>
  <c r="F862" i="215"/>
  <c r="P862" i="215" s="1"/>
  <c r="C862" i="215"/>
  <c r="P861" i="215"/>
  <c r="N861" i="215"/>
  <c r="M861" i="215"/>
  <c r="M868" i="215" s="1"/>
  <c r="L861" i="215"/>
  <c r="K861" i="215"/>
  <c r="J861" i="215"/>
  <c r="H861" i="215"/>
  <c r="G861" i="215"/>
  <c r="F861" i="215"/>
  <c r="E861" i="215" s="1"/>
  <c r="C861" i="215"/>
  <c r="O861" i="215" s="1"/>
  <c r="N860" i="215"/>
  <c r="M860" i="215"/>
  <c r="L860" i="215"/>
  <c r="K860" i="215"/>
  <c r="J860" i="215"/>
  <c r="G860" i="215"/>
  <c r="F860" i="215"/>
  <c r="C860" i="215"/>
  <c r="O860" i="215" s="1"/>
  <c r="P859" i="215"/>
  <c r="M859" i="215"/>
  <c r="L859" i="215"/>
  <c r="K859" i="215"/>
  <c r="J859" i="215"/>
  <c r="I859" i="215"/>
  <c r="H859" i="215"/>
  <c r="G859" i="215"/>
  <c r="F859" i="215"/>
  <c r="D859" i="215" s="1"/>
  <c r="C859" i="215"/>
  <c r="O858" i="215"/>
  <c r="N858" i="215"/>
  <c r="M858" i="215"/>
  <c r="M883" i="215" s="1"/>
  <c r="M890" i="215" s="1"/>
  <c r="L858" i="215"/>
  <c r="K858" i="215"/>
  <c r="K883" i="215" s="1"/>
  <c r="K890" i="215" s="1"/>
  <c r="J858" i="215"/>
  <c r="I858" i="215"/>
  <c r="G858" i="215"/>
  <c r="G868" i="215" s="1"/>
  <c r="F858" i="215"/>
  <c r="C858" i="215"/>
  <c r="C883" i="215" s="1"/>
  <c r="P850" i="215"/>
  <c r="L850" i="215"/>
  <c r="K850" i="215"/>
  <c r="J850" i="215"/>
  <c r="G850" i="215"/>
  <c r="F849" i="215"/>
  <c r="I849" i="215" s="1"/>
  <c r="C849" i="215"/>
  <c r="P847" i="215"/>
  <c r="O847" i="215"/>
  <c r="N847" i="215"/>
  <c r="I847" i="215"/>
  <c r="H847" i="215"/>
  <c r="E847" i="215"/>
  <c r="P846" i="215"/>
  <c r="M846" i="215"/>
  <c r="L846" i="215"/>
  <c r="K846" i="215"/>
  <c r="J846" i="215"/>
  <c r="G846" i="215"/>
  <c r="I846" i="215" s="1"/>
  <c r="F846" i="215"/>
  <c r="H846" i="215" s="1"/>
  <c r="E846" i="215"/>
  <c r="D846" i="215"/>
  <c r="C846" i="215"/>
  <c r="O846" i="215" s="1"/>
  <c r="P845" i="215"/>
  <c r="O845" i="215"/>
  <c r="N845" i="215"/>
  <c r="I845" i="215"/>
  <c r="H845" i="215"/>
  <c r="E845" i="215"/>
  <c r="K843" i="215"/>
  <c r="C843" i="215"/>
  <c r="P842" i="215"/>
  <c r="O842" i="215"/>
  <c r="N842" i="215"/>
  <c r="M842" i="215"/>
  <c r="L842" i="215"/>
  <c r="K842" i="215"/>
  <c r="J842" i="215"/>
  <c r="I842" i="215"/>
  <c r="G842" i="215"/>
  <c r="F842" i="215"/>
  <c r="H842" i="215" s="1"/>
  <c r="C842" i="215"/>
  <c r="O841" i="215"/>
  <c r="N841" i="215"/>
  <c r="M841" i="215"/>
  <c r="L841" i="215"/>
  <c r="K841" i="215"/>
  <c r="J841" i="215"/>
  <c r="G841" i="215"/>
  <c r="F841" i="215"/>
  <c r="E841" i="215"/>
  <c r="D841" i="215"/>
  <c r="C841" i="215"/>
  <c r="P840" i="215"/>
  <c r="C840" i="215"/>
  <c r="O840" i="215" s="1"/>
  <c r="P839" i="215"/>
  <c r="N839" i="215"/>
  <c r="M839" i="215"/>
  <c r="L839" i="215"/>
  <c r="K839" i="215"/>
  <c r="J839" i="215"/>
  <c r="H839" i="215"/>
  <c r="G839" i="215"/>
  <c r="F839" i="215"/>
  <c r="E839" i="215" s="1"/>
  <c r="C839" i="215"/>
  <c r="O839" i="215" s="1"/>
  <c r="P838" i="215"/>
  <c r="N838" i="215"/>
  <c r="M838" i="215"/>
  <c r="L838" i="215"/>
  <c r="K838" i="215"/>
  <c r="J838" i="215"/>
  <c r="G838" i="215"/>
  <c r="F838" i="215"/>
  <c r="C838" i="215"/>
  <c r="O838" i="215" s="1"/>
  <c r="P837" i="215"/>
  <c r="M837" i="215"/>
  <c r="L837" i="215"/>
  <c r="K837" i="215"/>
  <c r="J837" i="215"/>
  <c r="O837" i="215" s="1"/>
  <c r="I837" i="215"/>
  <c r="G837" i="215"/>
  <c r="H837" i="215" s="1"/>
  <c r="F837" i="215"/>
  <c r="E837" i="215" s="1"/>
  <c r="D837" i="215"/>
  <c r="C837" i="215"/>
  <c r="N837" i="215" s="1"/>
  <c r="P836" i="215"/>
  <c r="N836" i="215"/>
  <c r="M836" i="215"/>
  <c r="L836" i="215"/>
  <c r="K836" i="215"/>
  <c r="J836" i="215"/>
  <c r="O836" i="215" s="1"/>
  <c r="H836" i="215"/>
  <c r="G836" i="215"/>
  <c r="I836" i="215" s="1"/>
  <c r="F836" i="215"/>
  <c r="D836" i="215" s="1"/>
  <c r="E836" i="215"/>
  <c r="C836" i="215"/>
  <c r="P835" i="215"/>
  <c r="N835" i="215"/>
  <c r="M835" i="215"/>
  <c r="L835" i="215"/>
  <c r="K835" i="215"/>
  <c r="J835" i="215"/>
  <c r="H835" i="215"/>
  <c r="G835" i="215"/>
  <c r="F835" i="215"/>
  <c r="E835" i="215" s="1"/>
  <c r="C835" i="215"/>
  <c r="O835" i="215" s="1"/>
  <c r="N834" i="215"/>
  <c r="M834" i="215"/>
  <c r="L834" i="215"/>
  <c r="K834" i="215"/>
  <c r="J834" i="215"/>
  <c r="G834" i="215"/>
  <c r="F834" i="215"/>
  <c r="C834" i="215"/>
  <c r="O834" i="215" s="1"/>
  <c r="P833" i="215"/>
  <c r="M833" i="215"/>
  <c r="L833" i="215"/>
  <c r="K833" i="215"/>
  <c r="J833" i="215"/>
  <c r="O833" i="215" s="1"/>
  <c r="I833" i="215"/>
  <c r="H833" i="215"/>
  <c r="G833" i="215"/>
  <c r="F833" i="215"/>
  <c r="E833" i="215" s="1"/>
  <c r="D833" i="215"/>
  <c r="C833" i="215"/>
  <c r="N833" i="215" s="1"/>
  <c r="P832" i="215"/>
  <c r="N832" i="215"/>
  <c r="M832" i="215"/>
  <c r="L832" i="215"/>
  <c r="K832" i="215"/>
  <c r="J832" i="215"/>
  <c r="O832" i="215" s="1"/>
  <c r="H832" i="215"/>
  <c r="G832" i="215"/>
  <c r="F832" i="215"/>
  <c r="I832" i="215" s="1"/>
  <c r="C832" i="215"/>
  <c r="P831" i="215"/>
  <c r="N831" i="215"/>
  <c r="M831" i="215"/>
  <c r="L831" i="215"/>
  <c r="K831" i="215"/>
  <c r="J831" i="215"/>
  <c r="H831" i="215"/>
  <c r="G831" i="215"/>
  <c r="F831" i="215"/>
  <c r="E831" i="215" s="1"/>
  <c r="C831" i="215"/>
  <c r="O831" i="215" s="1"/>
  <c r="N830" i="215"/>
  <c r="M830" i="215"/>
  <c r="L830" i="215"/>
  <c r="K830" i="215"/>
  <c r="J830" i="215"/>
  <c r="G830" i="215"/>
  <c r="F830" i="215"/>
  <c r="C830" i="215"/>
  <c r="O830" i="215" s="1"/>
  <c r="P827" i="215"/>
  <c r="N827" i="215"/>
  <c r="M827" i="215"/>
  <c r="L827" i="215"/>
  <c r="K827" i="215"/>
  <c r="J827" i="215"/>
  <c r="O827" i="215" s="1"/>
  <c r="H827" i="215"/>
  <c r="G827" i="215"/>
  <c r="F827" i="215"/>
  <c r="I827" i="215" s="1"/>
  <c r="C827" i="215"/>
  <c r="P826" i="215"/>
  <c r="N826" i="215"/>
  <c r="M826" i="215"/>
  <c r="L826" i="215"/>
  <c r="K826" i="215"/>
  <c r="J826" i="215"/>
  <c r="H826" i="215"/>
  <c r="G826" i="215"/>
  <c r="F826" i="215"/>
  <c r="E826" i="215" s="1"/>
  <c r="C826" i="215"/>
  <c r="O826" i="215" s="1"/>
  <c r="P825" i="215"/>
  <c r="N825" i="215"/>
  <c r="M825" i="215"/>
  <c r="L825" i="215"/>
  <c r="K825" i="215"/>
  <c r="J825" i="215"/>
  <c r="G825" i="215"/>
  <c r="F825" i="215"/>
  <c r="C825" i="215"/>
  <c r="O825" i="215" s="1"/>
  <c r="P824" i="215"/>
  <c r="M824" i="215"/>
  <c r="L824" i="215"/>
  <c r="K824" i="215"/>
  <c r="J824" i="215"/>
  <c r="O824" i="215" s="1"/>
  <c r="I824" i="215"/>
  <c r="H824" i="215"/>
  <c r="G824" i="215"/>
  <c r="F824" i="215"/>
  <c r="E824" i="215" s="1"/>
  <c r="D824" i="215"/>
  <c r="C824" i="215"/>
  <c r="N824" i="215" s="1"/>
  <c r="P823" i="215"/>
  <c r="N823" i="215"/>
  <c r="M823" i="215"/>
  <c r="L823" i="215"/>
  <c r="K823" i="215"/>
  <c r="J823" i="215"/>
  <c r="O823" i="215" s="1"/>
  <c r="H823" i="215"/>
  <c r="G823" i="215"/>
  <c r="F823" i="215"/>
  <c r="I823" i="215" s="1"/>
  <c r="C823" i="215"/>
  <c r="P822" i="215"/>
  <c r="G822" i="215"/>
  <c r="F822" i="215"/>
  <c r="D822" i="215"/>
  <c r="C822" i="215"/>
  <c r="O822" i="215" s="1"/>
  <c r="P821" i="215"/>
  <c r="N821" i="215"/>
  <c r="M821" i="215"/>
  <c r="L821" i="215"/>
  <c r="K821" i="215"/>
  <c r="J821" i="215"/>
  <c r="G821" i="215"/>
  <c r="F821" i="215"/>
  <c r="C821" i="215"/>
  <c r="O821" i="215" s="1"/>
  <c r="P820" i="215"/>
  <c r="N820" i="215"/>
  <c r="M820" i="215"/>
  <c r="L820" i="215"/>
  <c r="L828" i="215" s="1"/>
  <c r="K820" i="215"/>
  <c r="K828" i="215" s="1"/>
  <c r="J820" i="215"/>
  <c r="O820" i="215" s="1"/>
  <c r="I820" i="215"/>
  <c r="H820" i="215"/>
  <c r="G820" i="215"/>
  <c r="F820" i="215"/>
  <c r="E820" i="215" s="1"/>
  <c r="D820" i="215"/>
  <c r="C820" i="215"/>
  <c r="P819" i="215"/>
  <c r="O819" i="215"/>
  <c r="I819" i="215"/>
  <c r="G819" i="215"/>
  <c r="H819" i="215" s="1"/>
  <c r="F819" i="215"/>
  <c r="D819" i="215"/>
  <c r="C819" i="215"/>
  <c r="C828" i="215" s="1"/>
  <c r="P818" i="215"/>
  <c r="N818" i="215"/>
  <c r="M818" i="215"/>
  <c r="M843" i="215" s="1"/>
  <c r="M850" i="215" s="1"/>
  <c r="L818" i="215"/>
  <c r="K818" i="215"/>
  <c r="J818" i="215"/>
  <c r="H818" i="215"/>
  <c r="G818" i="215"/>
  <c r="G843" i="215" s="1"/>
  <c r="F818" i="215"/>
  <c r="I818" i="215" s="1"/>
  <c r="C818" i="215"/>
  <c r="P810" i="215"/>
  <c r="L810" i="215"/>
  <c r="K810" i="215"/>
  <c r="J810" i="215"/>
  <c r="G810" i="215"/>
  <c r="F809" i="215"/>
  <c r="I809" i="215" s="1"/>
  <c r="C809" i="215"/>
  <c r="P807" i="215"/>
  <c r="O807" i="215"/>
  <c r="N807" i="215"/>
  <c r="I807" i="215"/>
  <c r="H807" i="215"/>
  <c r="P806" i="215"/>
  <c r="M806" i="215"/>
  <c r="L806" i="215"/>
  <c r="O806" i="215" s="1"/>
  <c r="K806" i="215"/>
  <c r="J806" i="215"/>
  <c r="H806" i="215"/>
  <c r="G806" i="215"/>
  <c r="F806" i="215"/>
  <c r="E806" i="215" s="1"/>
  <c r="D806" i="215"/>
  <c r="C806" i="215"/>
  <c r="P805" i="215"/>
  <c r="O805" i="215"/>
  <c r="N805" i="215"/>
  <c r="H805" i="215"/>
  <c r="F805" i="215"/>
  <c r="I805" i="215" s="1"/>
  <c r="L803" i="215"/>
  <c r="P802" i="215"/>
  <c r="N802" i="215"/>
  <c r="M802" i="215"/>
  <c r="L802" i="215"/>
  <c r="K802" i="215"/>
  <c r="J802" i="215"/>
  <c r="O802" i="215" s="1"/>
  <c r="G802" i="215"/>
  <c r="F802" i="215"/>
  <c r="C802" i="215"/>
  <c r="P801" i="215"/>
  <c r="N801" i="215"/>
  <c r="M801" i="215"/>
  <c r="L801" i="215"/>
  <c r="K801" i="215"/>
  <c r="J801" i="215"/>
  <c r="H801" i="215"/>
  <c r="G801" i="215"/>
  <c r="F801" i="215"/>
  <c r="E801" i="215" s="1"/>
  <c r="D801" i="215"/>
  <c r="C801" i="215"/>
  <c r="P800" i="215"/>
  <c r="C800" i="215"/>
  <c r="O800" i="215" s="1"/>
  <c r="P799" i="215"/>
  <c r="M799" i="215"/>
  <c r="L799" i="215"/>
  <c r="K799" i="215"/>
  <c r="J799" i="215"/>
  <c r="I799" i="215"/>
  <c r="G799" i="215"/>
  <c r="F799" i="215"/>
  <c r="H799" i="215" s="1"/>
  <c r="C799" i="215"/>
  <c r="P798" i="215"/>
  <c r="M798" i="215"/>
  <c r="L798" i="215"/>
  <c r="K798" i="215"/>
  <c r="J798" i="215"/>
  <c r="G798" i="215"/>
  <c r="I798" i="215" s="1"/>
  <c r="F798" i="215"/>
  <c r="D798" i="215"/>
  <c r="C798" i="215"/>
  <c r="P797" i="215"/>
  <c r="M797" i="215"/>
  <c r="O797" i="215" s="1"/>
  <c r="L797" i="215"/>
  <c r="K797" i="215"/>
  <c r="J797" i="215"/>
  <c r="G797" i="215"/>
  <c r="H797" i="215" s="1"/>
  <c r="F797" i="215"/>
  <c r="E797" i="215"/>
  <c r="D797" i="215"/>
  <c r="C797" i="215"/>
  <c r="N797" i="215" s="1"/>
  <c r="P796" i="215"/>
  <c r="M796" i="215"/>
  <c r="L796" i="215"/>
  <c r="K796" i="215"/>
  <c r="J796" i="215"/>
  <c r="G796" i="215"/>
  <c r="F796" i="215"/>
  <c r="D796" i="215" s="1"/>
  <c r="E796" i="215"/>
  <c r="C796" i="215"/>
  <c r="N796" i="215" s="1"/>
  <c r="M795" i="215"/>
  <c r="L795" i="215"/>
  <c r="K795" i="215"/>
  <c r="J795" i="215"/>
  <c r="I795" i="215"/>
  <c r="G795" i="215"/>
  <c r="F795" i="215"/>
  <c r="P795" i="215" s="1"/>
  <c r="C795" i="215"/>
  <c r="E795" i="215" s="1"/>
  <c r="M794" i="215"/>
  <c r="L794" i="215"/>
  <c r="K794" i="215"/>
  <c r="J794" i="215"/>
  <c r="I794" i="215"/>
  <c r="G794" i="215"/>
  <c r="F794" i="215"/>
  <c r="P794" i="215" s="1"/>
  <c r="D794" i="215"/>
  <c r="C794" i="215"/>
  <c r="P793" i="215"/>
  <c r="O793" i="215"/>
  <c r="M793" i="215"/>
  <c r="L793" i="215"/>
  <c r="K793" i="215"/>
  <c r="J793" i="215"/>
  <c r="G793" i="215"/>
  <c r="H793" i="215" s="1"/>
  <c r="F793" i="215"/>
  <c r="E793" i="215"/>
  <c r="D793" i="215"/>
  <c r="C793" i="215"/>
  <c r="N793" i="215" s="1"/>
  <c r="P792" i="215"/>
  <c r="M792" i="215"/>
  <c r="L792" i="215"/>
  <c r="K792" i="215"/>
  <c r="J792" i="215"/>
  <c r="G792" i="215"/>
  <c r="F792" i="215"/>
  <c r="D792" i="215" s="1"/>
  <c r="C792" i="215"/>
  <c r="N792" i="215" s="1"/>
  <c r="M791" i="215"/>
  <c r="L791" i="215"/>
  <c r="K791" i="215"/>
  <c r="J791" i="215"/>
  <c r="I791" i="215"/>
  <c r="G791" i="215"/>
  <c r="F791" i="215"/>
  <c r="P791" i="215" s="1"/>
  <c r="E791" i="215"/>
  <c r="C791" i="215"/>
  <c r="O790" i="215"/>
  <c r="M790" i="215"/>
  <c r="L790" i="215"/>
  <c r="K790" i="215"/>
  <c r="J790" i="215"/>
  <c r="G790" i="215"/>
  <c r="I790" i="215" s="1"/>
  <c r="F790" i="215"/>
  <c r="P790" i="215" s="1"/>
  <c r="D790" i="215"/>
  <c r="C790" i="215"/>
  <c r="P787" i="215"/>
  <c r="M787" i="215"/>
  <c r="L787" i="215"/>
  <c r="K787" i="215"/>
  <c r="J787" i="215"/>
  <c r="G787" i="215"/>
  <c r="F787" i="215"/>
  <c r="D787" i="215" s="1"/>
  <c r="C787" i="215"/>
  <c r="N787" i="215" s="1"/>
  <c r="M786" i="215"/>
  <c r="L786" i="215"/>
  <c r="K786" i="215"/>
  <c r="J786" i="215"/>
  <c r="I786" i="215"/>
  <c r="G786" i="215"/>
  <c r="F786" i="215"/>
  <c r="P786" i="215" s="1"/>
  <c r="E786" i="215"/>
  <c r="C786" i="215"/>
  <c r="P785" i="215"/>
  <c r="M785" i="215"/>
  <c r="L785" i="215"/>
  <c r="K785" i="215"/>
  <c r="J785" i="215"/>
  <c r="I785" i="215"/>
  <c r="G785" i="215"/>
  <c r="F785" i="215"/>
  <c r="H785" i="215" s="1"/>
  <c r="E785" i="215"/>
  <c r="D785" i="215"/>
  <c r="C785" i="215"/>
  <c r="N785" i="215" s="1"/>
  <c r="P784" i="215"/>
  <c r="M784" i="215"/>
  <c r="L784" i="215"/>
  <c r="K784" i="215"/>
  <c r="J784" i="215"/>
  <c r="I784" i="215"/>
  <c r="G784" i="215"/>
  <c r="H784" i="215" s="1"/>
  <c r="F784" i="215"/>
  <c r="D784" i="215"/>
  <c r="C784" i="215"/>
  <c r="N784" i="215" s="1"/>
  <c r="P783" i="215"/>
  <c r="M783" i="215"/>
  <c r="L783" i="215"/>
  <c r="K783" i="215"/>
  <c r="J783" i="215"/>
  <c r="I783" i="215"/>
  <c r="G783" i="215"/>
  <c r="H783" i="215" s="1"/>
  <c r="F783" i="215"/>
  <c r="D783" i="215" s="1"/>
  <c r="C783" i="215"/>
  <c r="P782" i="215"/>
  <c r="G782" i="215"/>
  <c r="F782" i="215"/>
  <c r="D782" i="215" s="1"/>
  <c r="C782" i="215"/>
  <c r="O782" i="215" s="1"/>
  <c r="P781" i="215"/>
  <c r="M781" i="215"/>
  <c r="L781" i="215"/>
  <c r="K781" i="215"/>
  <c r="J781" i="215"/>
  <c r="I781" i="215"/>
  <c r="G781" i="215"/>
  <c r="F781" i="215"/>
  <c r="H781" i="215" s="1"/>
  <c r="E781" i="215"/>
  <c r="D781" i="215"/>
  <c r="C781" i="215"/>
  <c r="N781" i="215" s="1"/>
  <c r="P780" i="215"/>
  <c r="M780" i="215"/>
  <c r="L780" i="215"/>
  <c r="K780" i="215"/>
  <c r="J780" i="215"/>
  <c r="I780" i="215"/>
  <c r="G780" i="215"/>
  <c r="H780" i="215" s="1"/>
  <c r="F780" i="215"/>
  <c r="D780" i="215"/>
  <c r="C780" i="215"/>
  <c r="N780" i="215" s="1"/>
  <c r="P779" i="215"/>
  <c r="H779" i="215"/>
  <c r="G779" i="215"/>
  <c r="F779" i="215"/>
  <c r="C779" i="215"/>
  <c r="O779" i="215" s="1"/>
  <c r="P778" i="215"/>
  <c r="M778" i="215"/>
  <c r="L778" i="215"/>
  <c r="L788" i="215" s="1"/>
  <c r="K778" i="215"/>
  <c r="J778" i="215"/>
  <c r="I778" i="215"/>
  <c r="G778" i="215"/>
  <c r="G788" i="215" s="1"/>
  <c r="F778" i="215"/>
  <c r="C778" i="215"/>
  <c r="P770" i="215"/>
  <c r="L770" i="215"/>
  <c r="K770" i="215"/>
  <c r="J770" i="215"/>
  <c r="G770" i="215"/>
  <c r="I769" i="215"/>
  <c r="F769" i="215"/>
  <c r="C769" i="215"/>
  <c r="P767" i="215"/>
  <c r="O767" i="215"/>
  <c r="N767" i="215"/>
  <c r="I767" i="215"/>
  <c r="H767" i="215"/>
  <c r="P766" i="215"/>
  <c r="M766" i="215"/>
  <c r="L766" i="215"/>
  <c r="K766" i="215"/>
  <c r="J766" i="215"/>
  <c r="I766" i="215"/>
  <c r="G766" i="215"/>
  <c r="F766" i="215"/>
  <c r="H766" i="215" s="1"/>
  <c r="C766" i="215"/>
  <c r="E766" i="215" s="1"/>
  <c r="P765" i="215"/>
  <c r="O765" i="215"/>
  <c r="N765" i="215"/>
  <c r="I765" i="215"/>
  <c r="F765" i="215"/>
  <c r="H765" i="215" s="1"/>
  <c r="P762" i="215"/>
  <c r="M762" i="215"/>
  <c r="L762" i="215"/>
  <c r="K762" i="215"/>
  <c r="J762" i="215"/>
  <c r="H762" i="215"/>
  <c r="G762" i="215"/>
  <c r="F762" i="215"/>
  <c r="D762" i="215" s="1"/>
  <c r="C762" i="215"/>
  <c r="N762" i="215" s="1"/>
  <c r="M761" i="215"/>
  <c r="L761" i="215"/>
  <c r="K761" i="215"/>
  <c r="J761" i="215"/>
  <c r="G761" i="215"/>
  <c r="F761" i="215"/>
  <c r="D761" i="215" s="1"/>
  <c r="C761" i="215"/>
  <c r="P760" i="215"/>
  <c r="O760" i="215"/>
  <c r="C760" i="215"/>
  <c r="P759" i="215"/>
  <c r="N759" i="215"/>
  <c r="M759" i="215"/>
  <c r="L759" i="215"/>
  <c r="O759" i="215" s="1"/>
  <c r="K759" i="215"/>
  <c r="J759" i="215"/>
  <c r="G759" i="215"/>
  <c r="F759" i="215"/>
  <c r="D759" i="215" s="1"/>
  <c r="E759" i="215"/>
  <c r="C759" i="215"/>
  <c r="P758" i="215"/>
  <c r="M758" i="215"/>
  <c r="L758" i="215"/>
  <c r="K758" i="215"/>
  <c r="J758" i="215"/>
  <c r="G758" i="215"/>
  <c r="F758" i="215"/>
  <c r="I758" i="215" s="1"/>
  <c r="C758" i="215"/>
  <c r="P757" i="215"/>
  <c r="M757" i="215"/>
  <c r="L757" i="215"/>
  <c r="K757" i="215"/>
  <c r="J757" i="215"/>
  <c r="H757" i="215"/>
  <c r="G757" i="215"/>
  <c r="F757" i="215"/>
  <c r="D757" i="215" s="1"/>
  <c r="C757" i="215"/>
  <c r="P756" i="215"/>
  <c r="N756" i="215"/>
  <c r="M756" i="215"/>
  <c r="L756" i="215"/>
  <c r="O756" i="215" s="1"/>
  <c r="K756" i="215"/>
  <c r="J756" i="215"/>
  <c r="I756" i="215"/>
  <c r="G756" i="215"/>
  <c r="H756" i="215" s="1"/>
  <c r="F756" i="215"/>
  <c r="E756" i="215" s="1"/>
  <c r="D756" i="215"/>
  <c r="C756" i="215"/>
  <c r="P755" i="215"/>
  <c r="N755" i="215"/>
  <c r="M755" i="215"/>
  <c r="L755" i="215"/>
  <c r="K755" i="215"/>
  <c r="J755" i="215"/>
  <c r="O755" i="215" s="1"/>
  <c r="G755" i="215"/>
  <c r="H755" i="215" s="1"/>
  <c r="F755" i="215"/>
  <c r="E755" i="215"/>
  <c r="D755" i="215"/>
  <c r="C755" i="215"/>
  <c r="N754" i="215"/>
  <c r="M754" i="215"/>
  <c r="L754" i="215"/>
  <c r="K754" i="215"/>
  <c r="J754" i="215"/>
  <c r="H754" i="215"/>
  <c r="G754" i="215"/>
  <c r="F754" i="215"/>
  <c r="I754" i="215" s="1"/>
  <c r="E754" i="215"/>
  <c r="D754" i="215"/>
  <c r="C754" i="215"/>
  <c r="P753" i="215"/>
  <c r="N753" i="215"/>
  <c r="M753" i="215"/>
  <c r="L753" i="215"/>
  <c r="K753" i="215"/>
  <c r="J753" i="215"/>
  <c r="G753" i="215"/>
  <c r="F753" i="215"/>
  <c r="C753" i="215"/>
  <c r="P752" i="215"/>
  <c r="O752" i="215"/>
  <c r="N752" i="215"/>
  <c r="M752" i="215"/>
  <c r="L752" i="215"/>
  <c r="K752" i="215"/>
  <c r="J752" i="215"/>
  <c r="G752" i="215"/>
  <c r="F752" i="215"/>
  <c r="E752" i="215" s="1"/>
  <c r="D752" i="215"/>
  <c r="C752" i="215"/>
  <c r="P751" i="215"/>
  <c r="N751" i="215"/>
  <c r="M751" i="215"/>
  <c r="L751" i="215"/>
  <c r="K751" i="215"/>
  <c r="J751" i="215"/>
  <c r="O751" i="215" s="1"/>
  <c r="H751" i="215"/>
  <c r="G751" i="215"/>
  <c r="F751" i="215"/>
  <c r="E751" i="215" s="1"/>
  <c r="D751" i="215"/>
  <c r="C751" i="215"/>
  <c r="P750" i="215"/>
  <c r="N750" i="215"/>
  <c r="M750" i="215"/>
  <c r="L750" i="215"/>
  <c r="K750" i="215"/>
  <c r="J750" i="215"/>
  <c r="G750" i="215"/>
  <c r="H750" i="215" s="1"/>
  <c r="F750" i="215"/>
  <c r="E750" i="215"/>
  <c r="D750" i="215"/>
  <c r="C750" i="215"/>
  <c r="M747" i="215"/>
  <c r="L747" i="215"/>
  <c r="K747" i="215"/>
  <c r="J747" i="215"/>
  <c r="G747" i="215"/>
  <c r="I747" i="215" s="1"/>
  <c r="F747" i="215"/>
  <c r="C747" i="215"/>
  <c r="N747" i="215" s="1"/>
  <c r="P746" i="215"/>
  <c r="N746" i="215"/>
  <c r="M746" i="215"/>
  <c r="L746" i="215"/>
  <c r="O746" i="215" s="1"/>
  <c r="K746" i="215"/>
  <c r="J746" i="215"/>
  <c r="I746" i="215"/>
  <c r="H746" i="215"/>
  <c r="G746" i="215"/>
  <c r="F746" i="215"/>
  <c r="E746" i="215" s="1"/>
  <c r="D746" i="215"/>
  <c r="C746" i="215"/>
  <c r="P745" i="215"/>
  <c r="N745" i="215"/>
  <c r="M745" i="215"/>
  <c r="L745" i="215"/>
  <c r="K745" i="215"/>
  <c r="J745" i="215"/>
  <c r="O745" i="215" s="1"/>
  <c r="G745" i="215"/>
  <c r="F745" i="215"/>
  <c r="E745" i="215" s="1"/>
  <c r="C745" i="215"/>
  <c r="P744" i="215"/>
  <c r="M744" i="215"/>
  <c r="L744" i="215"/>
  <c r="K744" i="215"/>
  <c r="J744" i="215"/>
  <c r="G744" i="215"/>
  <c r="F744" i="215"/>
  <c r="C744" i="215"/>
  <c r="N744" i="215" s="1"/>
  <c r="P743" i="215"/>
  <c r="N743" i="215"/>
  <c r="M743" i="215"/>
  <c r="L743" i="215"/>
  <c r="K743" i="215"/>
  <c r="J743" i="215"/>
  <c r="I743" i="215"/>
  <c r="H743" i="215"/>
  <c r="G743" i="215"/>
  <c r="F743" i="215"/>
  <c r="E743" i="215" s="1"/>
  <c r="D743" i="215"/>
  <c r="C743" i="215"/>
  <c r="P742" i="215"/>
  <c r="O742" i="215"/>
  <c r="G742" i="215"/>
  <c r="F742" i="215"/>
  <c r="D742" i="215"/>
  <c r="C742" i="215"/>
  <c r="P741" i="215"/>
  <c r="N741" i="215"/>
  <c r="M741" i="215"/>
  <c r="L741" i="215"/>
  <c r="K741" i="215"/>
  <c r="J741" i="215"/>
  <c r="H741" i="215"/>
  <c r="G741" i="215"/>
  <c r="F741" i="215"/>
  <c r="I741" i="215" s="1"/>
  <c r="E741" i="215"/>
  <c r="D741" i="215"/>
  <c r="C741" i="215"/>
  <c r="P740" i="215"/>
  <c r="N740" i="215"/>
  <c r="N748" i="215" s="1"/>
  <c r="M740" i="215"/>
  <c r="L740" i="215"/>
  <c r="K740" i="215"/>
  <c r="J740" i="215"/>
  <c r="J748" i="215" s="1"/>
  <c r="G740" i="215"/>
  <c r="F740" i="215"/>
  <c r="C740" i="215"/>
  <c r="P739" i="215"/>
  <c r="G739" i="215"/>
  <c r="F739" i="215"/>
  <c r="D739" i="215"/>
  <c r="C739" i="215"/>
  <c r="P738" i="215"/>
  <c r="N738" i="215"/>
  <c r="M738" i="215"/>
  <c r="M748" i="215" s="1"/>
  <c r="L738" i="215"/>
  <c r="K738" i="215"/>
  <c r="J738" i="215"/>
  <c r="I738" i="215"/>
  <c r="H738" i="215"/>
  <c r="G738" i="215"/>
  <c r="F738" i="215"/>
  <c r="E738" i="215" s="1"/>
  <c r="D738" i="215"/>
  <c r="C738" i="215"/>
  <c r="P730" i="215"/>
  <c r="L730" i="215"/>
  <c r="K730" i="215"/>
  <c r="J730" i="215"/>
  <c r="G730" i="215"/>
  <c r="F729" i="215"/>
  <c r="I729" i="215" s="1"/>
  <c r="C729" i="215"/>
  <c r="P727" i="215"/>
  <c r="O727" i="215"/>
  <c r="N727" i="215"/>
  <c r="I727" i="215"/>
  <c r="H727" i="215"/>
  <c r="P726" i="215"/>
  <c r="O726" i="215"/>
  <c r="M726" i="215"/>
  <c r="L726" i="215"/>
  <c r="K726" i="215"/>
  <c r="J726" i="215"/>
  <c r="G726" i="215"/>
  <c r="F726" i="215"/>
  <c r="C726" i="215"/>
  <c r="P725" i="215"/>
  <c r="C725" i="215"/>
  <c r="N725" i="215" s="1"/>
  <c r="P722" i="215"/>
  <c r="M722" i="215"/>
  <c r="L722" i="215"/>
  <c r="K722" i="215"/>
  <c r="J722" i="215"/>
  <c r="I722" i="215"/>
  <c r="G722" i="215"/>
  <c r="H722" i="215" s="1"/>
  <c r="F722" i="215"/>
  <c r="D722" i="215" s="1"/>
  <c r="E722" i="215"/>
  <c r="C722" i="215"/>
  <c r="N722" i="215" s="1"/>
  <c r="P721" i="215"/>
  <c r="M721" i="215"/>
  <c r="L721" i="215"/>
  <c r="K721" i="215"/>
  <c r="J721" i="215"/>
  <c r="G721" i="215"/>
  <c r="H721" i="215" s="1"/>
  <c r="F721" i="215"/>
  <c r="I721" i="215" s="1"/>
  <c r="C721" i="215"/>
  <c r="P720" i="215"/>
  <c r="C720" i="215"/>
  <c r="O720" i="215" s="1"/>
  <c r="P719" i="215"/>
  <c r="N719" i="215"/>
  <c r="M719" i="215"/>
  <c r="L719" i="215"/>
  <c r="K719" i="215"/>
  <c r="J719" i="215"/>
  <c r="I719" i="215"/>
  <c r="H719" i="215"/>
  <c r="G719" i="215"/>
  <c r="F719" i="215"/>
  <c r="E719" i="215" s="1"/>
  <c r="D719" i="215"/>
  <c r="C719" i="215"/>
  <c r="P718" i="215"/>
  <c r="O718" i="215"/>
  <c r="N718" i="215"/>
  <c r="M718" i="215"/>
  <c r="L718" i="215"/>
  <c r="K718" i="215"/>
  <c r="J718" i="215"/>
  <c r="G718" i="215"/>
  <c r="F718" i="215"/>
  <c r="C718" i="215"/>
  <c r="P717" i="215"/>
  <c r="N717" i="215"/>
  <c r="M717" i="215"/>
  <c r="L717" i="215"/>
  <c r="K717" i="215"/>
  <c r="J717" i="215"/>
  <c r="H717" i="215"/>
  <c r="G717" i="215"/>
  <c r="F717" i="215"/>
  <c r="I717" i="215" s="1"/>
  <c r="E717" i="215"/>
  <c r="D717" i="215"/>
  <c r="C717" i="215"/>
  <c r="M716" i="215"/>
  <c r="L716" i="215"/>
  <c r="K716" i="215"/>
  <c r="J716" i="215"/>
  <c r="G716" i="215"/>
  <c r="F716" i="215"/>
  <c r="C716" i="215"/>
  <c r="N716" i="215" s="1"/>
  <c r="P715" i="215"/>
  <c r="N715" i="215"/>
  <c r="M715" i="215"/>
  <c r="L715" i="215"/>
  <c r="K715" i="215"/>
  <c r="J715" i="215"/>
  <c r="O715" i="215" s="1"/>
  <c r="I715" i="215"/>
  <c r="H715" i="215"/>
  <c r="G715" i="215"/>
  <c r="F715" i="215"/>
  <c r="E715" i="215" s="1"/>
  <c r="D715" i="215"/>
  <c r="C715" i="215"/>
  <c r="N714" i="215"/>
  <c r="M714" i="215"/>
  <c r="L714" i="215"/>
  <c r="K714" i="215"/>
  <c r="J714" i="215"/>
  <c r="O714" i="215" s="1"/>
  <c r="G714" i="215"/>
  <c r="F714" i="215"/>
  <c r="C714" i="215"/>
  <c r="P713" i="215"/>
  <c r="N713" i="215"/>
  <c r="M713" i="215"/>
  <c r="L713" i="215"/>
  <c r="K713" i="215"/>
  <c r="J713" i="215"/>
  <c r="H713" i="215"/>
  <c r="G713" i="215"/>
  <c r="F713" i="215"/>
  <c r="I713" i="215" s="1"/>
  <c r="E713" i="215"/>
  <c r="D713" i="215"/>
  <c r="C713" i="215"/>
  <c r="P712" i="215"/>
  <c r="N712" i="215"/>
  <c r="M712" i="215"/>
  <c r="L712" i="215"/>
  <c r="K712" i="215"/>
  <c r="J712" i="215"/>
  <c r="G712" i="215"/>
  <c r="F712" i="215"/>
  <c r="C712" i="215"/>
  <c r="P711" i="215"/>
  <c r="N711" i="215"/>
  <c r="M711" i="215"/>
  <c r="L711" i="215"/>
  <c r="K711" i="215"/>
  <c r="J711" i="215"/>
  <c r="I711" i="215"/>
  <c r="H711" i="215"/>
  <c r="G711" i="215"/>
  <c r="F711" i="215"/>
  <c r="E711" i="215" s="1"/>
  <c r="D711" i="215"/>
  <c r="C711" i="215"/>
  <c r="O710" i="215"/>
  <c r="N710" i="215"/>
  <c r="M710" i="215"/>
  <c r="L710" i="215"/>
  <c r="K710" i="215"/>
  <c r="J710" i="215"/>
  <c r="G710" i="215"/>
  <c r="F710" i="215"/>
  <c r="C710" i="215"/>
  <c r="N707" i="215"/>
  <c r="M707" i="215"/>
  <c r="L707" i="215"/>
  <c r="K707" i="215"/>
  <c r="J707" i="215"/>
  <c r="G707" i="215"/>
  <c r="F707" i="215"/>
  <c r="C707" i="215"/>
  <c r="P706" i="215"/>
  <c r="N706" i="215"/>
  <c r="M706" i="215"/>
  <c r="L706" i="215"/>
  <c r="K706" i="215"/>
  <c r="J706" i="215"/>
  <c r="O706" i="215" s="1"/>
  <c r="I706" i="215"/>
  <c r="H706" i="215"/>
  <c r="G706" i="215"/>
  <c r="F706" i="215"/>
  <c r="E706" i="215" s="1"/>
  <c r="D706" i="215"/>
  <c r="C706" i="215"/>
  <c r="P705" i="215"/>
  <c r="O705" i="215"/>
  <c r="N705" i="215"/>
  <c r="M705" i="215"/>
  <c r="L705" i="215"/>
  <c r="K705" i="215"/>
  <c r="J705" i="215"/>
  <c r="G705" i="215"/>
  <c r="F705" i="215"/>
  <c r="C705" i="215"/>
  <c r="P704" i="215"/>
  <c r="N704" i="215"/>
  <c r="M704" i="215"/>
  <c r="L704" i="215"/>
  <c r="K704" i="215"/>
  <c r="J704" i="215"/>
  <c r="H704" i="215"/>
  <c r="G704" i="215"/>
  <c r="F704" i="215"/>
  <c r="I704" i="215" s="1"/>
  <c r="E704" i="215"/>
  <c r="D704" i="215"/>
  <c r="C704" i="215"/>
  <c r="O704" i="215" s="1"/>
  <c r="P703" i="215"/>
  <c r="M703" i="215"/>
  <c r="L703" i="215"/>
  <c r="K703" i="215"/>
  <c r="J703" i="215"/>
  <c r="G703" i="215"/>
  <c r="F703" i="215"/>
  <c r="C703" i="215"/>
  <c r="N703" i="215" s="1"/>
  <c r="P702" i="215"/>
  <c r="O702" i="215"/>
  <c r="G702" i="215"/>
  <c r="F702" i="215"/>
  <c r="D702" i="215"/>
  <c r="C702" i="215"/>
  <c r="P701" i="215"/>
  <c r="N701" i="215"/>
  <c r="M701" i="215"/>
  <c r="L701" i="215"/>
  <c r="K701" i="215"/>
  <c r="J701" i="215"/>
  <c r="O701" i="215" s="1"/>
  <c r="G701" i="215"/>
  <c r="G723" i="215" s="1"/>
  <c r="F701" i="215"/>
  <c r="C701" i="215"/>
  <c r="P700" i="215"/>
  <c r="N700" i="215"/>
  <c r="M700" i="215"/>
  <c r="M708" i="215" s="1"/>
  <c r="L700" i="215"/>
  <c r="K700" i="215"/>
  <c r="J700" i="215"/>
  <c r="J708" i="215" s="1"/>
  <c r="H700" i="215"/>
  <c r="G700" i="215"/>
  <c r="F700" i="215"/>
  <c r="I700" i="215" s="1"/>
  <c r="E700" i="215"/>
  <c r="D700" i="215"/>
  <c r="C700" i="215"/>
  <c r="P699" i="215"/>
  <c r="I699" i="215"/>
  <c r="G699" i="215"/>
  <c r="F699" i="215"/>
  <c r="E699" i="215"/>
  <c r="C699" i="215"/>
  <c r="O699" i="215" s="1"/>
  <c r="P698" i="215"/>
  <c r="M698" i="215"/>
  <c r="L698" i="215"/>
  <c r="L723" i="215" s="1"/>
  <c r="K698" i="215"/>
  <c r="K708" i="215" s="1"/>
  <c r="J698" i="215"/>
  <c r="G698" i="215"/>
  <c r="F698" i="215"/>
  <c r="D698" i="215"/>
  <c r="C698" i="215"/>
  <c r="C723" i="215" s="1"/>
  <c r="P690" i="215"/>
  <c r="L690" i="215"/>
  <c r="K690" i="215"/>
  <c r="J690" i="215"/>
  <c r="C689" i="215"/>
  <c r="F689" i="215" s="1"/>
  <c r="I689" i="215" s="1"/>
  <c r="P687" i="215"/>
  <c r="O687" i="215"/>
  <c r="N687" i="215"/>
  <c r="I687" i="215"/>
  <c r="H687" i="215"/>
  <c r="P686" i="215"/>
  <c r="M686" i="215"/>
  <c r="L686" i="215"/>
  <c r="K686" i="215"/>
  <c r="J686" i="215"/>
  <c r="I686" i="215"/>
  <c r="G686" i="215"/>
  <c r="H686" i="215" s="1"/>
  <c r="F686" i="215"/>
  <c r="E686" i="215"/>
  <c r="D686" i="215"/>
  <c r="C686" i="215"/>
  <c r="P685" i="215"/>
  <c r="O685" i="215"/>
  <c r="F685" i="215"/>
  <c r="C685" i="215"/>
  <c r="N685" i="215" s="1"/>
  <c r="P682" i="215"/>
  <c r="N682" i="215"/>
  <c r="M682" i="215"/>
  <c r="L682" i="215"/>
  <c r="K682" i="215"/>
  <c r="J682" i="215"/>
  <c r="H682" i="215"/>
  <c r="G682" i="215"/>
  <c r="F682" i="215"/>
  <c r="I682" i="215" s="1"/>
  <c r="E682" i="215"/>
  <c r="D682" i="215"/>
  <c r="C682" i="215"/>
  <c r="O682" i="215" s="1"/>
  <c r="M681" i="215"/>
  <c r="L681" i="215"/>
  <c r="K681" i="215"/>
  <c r="J681" i="215"/>
  <c r="G681" i="215"/>
  <c r="F681" i="215"/>
  <c r="D681" i="215"/>
  <c r="C681" i="215"/>
  <c r="P680" i="215"/>
  <c r="C680" i="215"/>
  <c r="O680" i="215" s="1"/>
  <c r="P679" i="215"/>
  <c r="M679" i="215"/>
  <c r="L679" i="215"/>
  <c r="K679" i="215"/>
  <c r="J679" i="215"/>
  <c r="G679" i="215"/>
  <c r="I679" i="215" s="1"/>
  <c r="F679" i="215"/>
  <c r="H679" i="215" s="1"/>
  <c r="E679" i="215"/>
  <c r="D679" i="215"/>
  <c r="C679" i="215"/>
  <c r="N679" i="215" s="1"/>
  <c r="P678" i="215"/>
  <c r="M678" i="215"/>
  <c r="L678" i="215"/>
  <c r="K678" i="215"/>
  <c r="J678" i="215"/>
  <c r="I678" i="215"/>
  <c r="G678" i="215"/>
  <c r="H678" i="215" s="1"/>
  <c r="F678" i="215"/>
  <c r="E678" i="215"/>
  <c r="D678" i="215"/>
  <c r="C678" i="215"/>
  <c r="P677" i="215"/>
  <c r="O677" i="215"/>
  <c r="M677" i="215"/>
  <c r="L677" i="215"/>
  <c r="K677" i="215"/>
  <c r="J677" i="215"/>
  <c r="G677" i="215"/>
  <c r="I677" i="215" s="1"/>
  <c r="F677" i="215"/>
  <c r="D677" i="215" s="1"/>
  <c r="E677" i="215"/>
  <c r="C677" i="215"/>
  <c r="N677" i="215" s="1"/>
  <c r="M676" i="215"/>
  <c r="L676" i="215"/>
  <c r="K676" i="215"/>
  <c r="J676" i="215"/>
  <c r="I676" i="215"/>
  <c r="G676" i="215"/>
  <c r="F676" i="215"/>
  <c r="E676" i="215" s="1"/>
  <c r="C676" i="215"/>
  <c r="O676" i="215" s="1"/>
  <c r="M675" i="215"/>
  <c r="L675" i="215"/>
  <c r="K675" i="215"/>
  <c r="J675" i="215"/>
  <c r="I675" i="215"/>
  <c r="G675" i="215"/>
  <c r="F675" i="215"/>
  <c r="P675" i="215" s="1"/>
  <c r="D675" i="215"/>
  <c r="C675" i="215"/>
  <c r="N675" i="215" s="1"/>
  <c r="P674" i="215"/>
  <c r="M674" i="215"/>
  <c r="L674" i="215"/>
  <c r="K674" i="215"/>
  <c r="J674" i="215"/>
  <c r="G674" i="215"/>
  <c r="H674" i="215" s="1"/>
  <c r="F674" i="215"/>
  <c r="D674" i="215"/>
  <c r="C674" i="215"/>
  <c r="N674" i="215" s="1"/>
  <c r="P673" i="215"/>
  <c r="M673" i="215"/>
  <c r="L673" i="215"/>
  <c r="K673" i="215"/>
  <c r="J673" i="215"/>
  <c r="G673" i="215"/>
  <c r="I673" i="215" s="1"/>
  <c r="F673" i="215"/>
  <c r="D673" i="215" s="1"/>
  <c r="C673" i="215"/>
  <c r="N673" i="215" s="1"/>
  <c r="P672" i="215"/>
  <c r="M672" i="215"/>
  <c r="L672" i="215"/>
  <c r="K672" i="215"/>
  <c r="J672" i="215"/>
  <c r="G672" i="215"/>
  <c r="I672" i="215" s="1"/>
  <c r="F672" i="215"/>
  <c r="C672" i="215"/>
  <c r="O672" i="215" s="1"/>
  <c r="M671" i="215"/>
  <c r="L671" i="215"/>
  <c r="K671" i="215"/>
  <c r="O671" i="215" s="1"/>
  <c r="J671" i="215"/>
  <c r="G671" i="215"/>
  <c r="I671" i="215" s="1"/>
  <c r="F671" i="215"/>
  <c r="P671" i="215" s="1"/>
  <c r="E671" i="215"/>
  <c r="D671" i="215"/>
  <c r="C671" i="215"/>
  <c r="N671" i="215" s="1"/>
  <c r="P670" i="215"/>
  <c r="O670" i="215"/>
  <c r="M670" i="215"/>
  <c r="L670" i="215"/>
  <c r="K670" i="215"/>
  <c r="J670" i="215"/>
  <c r="G670" i="215"/>
  <c r="H670" i="215" s="1"/>
  <c r="F670" i="215"/>
  <c r="E670" i="215"/>
  <c r="D670" i="215"/>
  <c r="C670" i="215"/>
  <c r="N670" i="215" s="1"/>
  <c r="M667" i="215"/>
  <c r="L667" i="215"/>
  <c r="K667" i="215"/>
  <c r="J667" i="215"/>
  <c r="G667" i="215"/>
  <c r="F667" i="215"/>
  <c r="E667" i="215" s="1"/>
  <c r="C667" i="215"/>
  <c r="O667" i="215" s="1"/>
  <c r="M666" i="215"/>
  <c r="O666" i="215" s="1"/>
  <c r="L666" i="215"/>
  <c r="K666" i="215"/>
  <c r="J666" i="215"/>
  <c r="I666" i="215"/>
  <c r="G666" i="215"/>
  <c r="F666" i="215"/>
  <c r="P666" i="215" s="1"/>
  <c r="E666" i="215"/>
  <c r="D666" i="215"/>
  <c r="C666" i="215"/>
  <c r="N666" i="215" s="1"/>
  <c r="P665" i="215"/>
  <c r="M665" i="215"/>
  <c r="L665" i="215"/>
  <c r="K665" i="215"/>
  <c r="J665" i="215"/>
  <c r="O665" i="215" s="1"/>
  <c r="I665" i="215"/>
  <c r="G665" i="215"/>
  <c r="H665" i="215" s="1"/>
  <c r="F665" i="215"/>
  <c r="E665" i="215"/>
  <c r="D665" i="215"/>
  <c r="C665" i="215"/>
  <c r="N665" i="215" s="1"/>
  <c r="P664" i="215"/>
  <c r="M664" i="215"/>
  <c r="O664" i="215" s="1"/>
  <c r="L664" i="215"/>
  <c r="K664" i="215"/>
  <c r="J664" i="215"/>
  <c r="G664" i="215"/>
  <c r="I664" i="215" s="1"/>
  <c r="F664" i="215"/>
  <c r="D664" i="215" s="1"/>
  <c r="E664" i="215"/>
  <c r="C664" i="215"/>
  <c r="N664" i="215" s="1"/>
  <c r="P663" i="215"/>
  <c r="M663" i="215"/>
  <c r="L663" i="215"/>
  <c r="K663" i="215"/>
  <c r="J663" i="215"/>
  <c r="G663" i="215"/>
  <c r="F663" i="215"/>
  <c r="D663" i="215" s="1"/>
  <c r="C663" i="215"/>
  <c r="N663" i="215" s="1"/>
  <c r="P662" i="215"/>
  <c r="O662" i="215"/>
  <c r="M662" i="215"/>
  <c r="L662" i="215"/>
  <c r="K662" i="215"/>
  <c r="J662" i="215"/>
  <c r="G662" i="215"/>
  <c r="F662" i="215"/>
  <c r="I662" i="215" s="1"/>
  <c r="C662" i="215"/>
  <c r="N662" i="215" s="1"/>
  <c r="P661" i="215"/>
  <c r="M661" i="215"/>
  <c r="L661" i="215"/>
  <c r="K661" i="215"/>
  <c r="J661" i="215"/>
  <c r="G661" i="215"/>
  <c r="I661" i="215" s="1"/>
  <c r="F661" i="215"/>
  <c r="D661" i="215" s="1"/>
  <c r="C661" i="215"/>
  <c r="N661" i="215" s="1"/>
  <c r="P660" i="215"/>
  <c r="O660" i="215"/>
  <c r="M660" i="215"/>
  <c r="L660" i="215"/>
  <c r="K660" i="215"/>
  <c r="J660" i="215"/>
  <c r="G660" i="215"/>
  <c r="I660" i="215" s="1"/>
  <c r="F660" i="215"/>
  <c r="D660" i="215"/>
  <c r="C660" i="215"/>
  <c r="N660" i="215" s="1"/>
  <c r="P659" i="215"/>
  <c r="O659" i="215"/>
  <c r="N659" i="215"/>
  <c r="I659" i="215"/>
  <c r="G659" i="215"/>
  <c r="F659" i="215"/>
  <c r="D659" i="215" s="1"/>
  <c r="E659" i="215"/>
  <c r="C659" i="215"/>
  <c r="O658" i="215"/>
  <c r="N658" i="215"/>
  <c r="M658" i="215"/>
  <c r="L658" i="215"/>
  <c r="K658" i="215"/>
  <c r="J658" i="215"/>
  <c r="J683" i="215" s="1"/>
  <c r="G658" i="215"/>
  <c r="G668" i="215" s="1"/>
  <c r="G683" i="215" s="1"/>
  <c r="G690" i="215" s="1"/>
  <c r="F658" i="215"/>
  <c r="F668" i="215" s="1"/>
  <c r="C658" i="215"/>
  <c r="P648" i="215"/>
  <c r="F648" i="215"/>
  <c r="D648" i="215"/>
  <c r="O647" i="215"/>
  <c r="N647" i="215"/>
  <c r="M647" i="215"/>
  <c r="L647" i="215"/>
  <c r="K647" i="215"/>
  <c r="J647" i="215"/>
  <c r="G647" i="215"/>
  <c r="F647" i="215"/>
  <c r="I647" i="215" s="1"/>
  <c r="C647" i="215"/>
  <c r="P646" i="215"/>
  <c r="N646" i="215"/>
  <c r="M646" i="215"/>
  <c r="L646" i="215"/>
  <c r="K646" i="215"/>
  <c r="J646" i="215"/>
  <c r="H646" i="215"/>
  <c r="G646" i="215"/>
  <c r="F646" i="215"/>
  <c r="I646" i="215" s="1"/>
  <c r="E646" i="215"/>
  <c r="D646" i="215"/>
  <c r="C646" i="215"/>
  <c r="O646" i="215" s="1"/>
  <c r="M645" i="215"/>
  <c r="L645" i="215"/>
  <c r="K645" i="215"/>
  <c r="J645" i="215"/>
  <c r="G645" i="215"/>
  <c r="F645" i="215"/>
  <c r="E645" i="215" s="1"/>
  <c r="C645" i="215"/>
  <c r="N645" i="215" s="1"/>
  <c r="P644" i="215"/>
  <c r="N644" i="215"/>
  <c r="M644" i="215"/>
  <c r="L644" i="215"/>
  <c r="K644" i="215"/>
  <c r="J644" i="215"/>
  <c r="I644" i="215"/>
  <c r="H644" i="215"/>
  <c r="G644" i="215"/>
  <c r="F644" i="215"/>
  <c r="E644" i="215"/>
  <c r="D644" i="215"/>
  <c r="C644" i="215"/>
  <c r="O644" i="215" s="1"/>
  <c r="N640" i="215"/>
  <c r="M640" i="215"/>
  <c r="L640" i="215"/>
  <c r="K640" i="215"/>
  <c r="J640" i="215"/>
  <c r="G640" i="215"/>
  <c r="F640" i="215"/>
  <c r="P640" i="215" s="1"/>
  <c r="E640" i="215"/>
  <c r="D640" i="215"/>
  <c r="C640" i="215"/>
  <c r="O640" i="215" s="1"/>
  <c r="M639" i="215"/>
  <c r="L639" i="215"/>
  <c r="K639" i="215"/>
  <c r="J639" i="215"/>
  <c r="G639" i="215"/>
  <c r="F639" i="215"/>
  <c r="E639" i="215" s="1"/>
  <c r="D639" i="215"/>
  <c r="C639" i="215"/>
  <c r="N639" i="215" s="1"/>
  <c r="P638" i="215"/>
  <c r="N638" i="215"/>
  <c r="M638" i="215"/>
  <c r="L638" i="215"/>
  <c r="K638" i="215"/>
  <c r="J638" i="215"/>
  <c r="I638" i="215"/>
  <c r="H638" i="215"/>
  <c r="G638" i="215"/>
  <c r="F638" i="215"/>
  <c r="E638" i="215"/>
  <c r="D638" i="215"/>
  <c r="C638" i="215"/>
  <c r="O638" i="215" s="1"/>
  <c r="O637" i="215"/>
  <c r="N637" i="215"/>
  <c r="M637" i="215"/>
  <c r="L637" i="215"/>
  <c r="K637" i="215"/>
  <c r="K642" i="215" s="1"/>
  <c r="K648" i="215" s="1"/>
  <c r="J637" i="215"/>
  <c r="J642" i="215" s="1"/>
  <c r="J648" i="215" s="1"/>
  <c r="G637" i="215"/>
  <c r="G642" i="215" s="1"/>
  <c r="G648" i="215" s="1"/>
  <c r="F637" i="215"/>
  <c r="I637" i="215" s="1"/>
  <c r="C637" i="215"/>
  <c r="C642" i="215" s="1"/>
  <c r="N636" i="215"/>
  <c r="M636" i="215"/>
  <c r="M642" i="215" s="1"/>
  <c r="M648" i="215" s="1"/>
  <c r="L636" i="215"/>
  <c r="L642" i="215" s="1"/>
  <c r="L648" i="215" s="1"/>
  <c r="K636" i="215"/>
  <c r="J636" i="215"/>
  <c r="G636" i="215"/>
  <c r="F636" i="215"/>
  <c r="P636" i="215" s="1"/>
  <c r="E636" i="215"/>
  <c r="D636" i="215"/>
  <c r="C636" i="215"/>
  <c r="O636" i="215" s="1"/>
  <c r="F628" i="215"/>
  <c r="E628" i="215"/>
  <c r="P627" i="215"/>
  <c r="M627" i="215"/>
  <c r="L627" i="215"/>
  <c r="K627" i="215"/>
  <c r="J627" i="215"/>
  <c r="G627" i="215"/>
  <c r="H627" i="215" s="1"/>
  <c r="D627" i="215"/>
  <c r="C627" i="215"/>
  <c r="N627" i="215" s="1"/>
  <c r="P626" i="215"/>
  <c r="M626" i="215"/>
  <c r="L626" i="215"/>
  <c r="K626" i="215"/>
  <c r="J626" i="215"/>
  <c r="H626" i="215"/>
  <c r="G626" i="215"/>
  <c r="D626" i="215"/>
  <c r="C626" i="215"/>
  <c r="O626" i="215" s="1"/>
  <c r="P625" i="215"/>
  <c r="M625" i="215"/>
  <c r="L625" i="215"/>
  <c r="K625" i="215"/>
  <c r="J625" i="215"/>
  <c r="G625" i="215"/>
  <c r="H625" i="215" s="1"/>
  <c r="D625" i="215"/>
  <c r="C625" i="215"/>
  <c r="O625" i="215" s="1"/>
  <c r="H624" i="215"/>
  <c r="P623" i="215"/>
  <c r="L623" i="215"/>
  <c r="L628" i="215" s="1"/>
  <c r="F623" i="215"/>
  <c r="E623" i="215"/>
  <c r="H622" i="215"/>
  <c r="P621" i="215"/>
  <c r="M621" i="215"/>
  <c r="L621" i="215"/>
  <c r="K621" i="215"/>
  <c r="J621" i="215"/>
  <c r="G621" i="215"/>
  <c r="H621" i="215" s="1"/>
  <c r="D621" i="215"/>
  <c r="C621" i="215"/>
  <c r="N621" i="215" s="1"/>
  <c r="P620" i="215"/>
  <c r="M620" i="215"/>
  <c r="M623" i="215" s="1"/>
  <c r="M628" i="215" s="1"/>
  <c r="L620" i="215"/>
  <c r="K620" i="215"/>
  <c r="J620" i="215"/>
  <c r="H620" i="215"/>
  <c r="G620" i="215"/>
  <c r="D620" i="215"/>
  <c r="C620" i="215"/>
  <c r="O620" i="215" s="1"/>
  <c r="P619" i="215"/>
  <c r="M619" i="215"/>
  <c r="L619" i="215"/>
  <c r="K619" i="215"/>
  <c r="J619" i="215"/>
  <c r="G619" i="215"/>
  <c r="H619" i="215" s="1"/>
  <c r="D619" i="215"/>
  <c r="C619" i="215"/>
  <c r="O619" i="215" s="1"/>
  <c r="P618" i="215"/>
  <c r="M618" i="215"/>
  <c r="L618" i="215"/>
  <c r="K618" i="215"/>
  <c r="O618" i="215" s="1"/>
  <c r="J618" i="215"/>
  <c r="G618" i="215"/>
  <c r="H618" i="215" s="1"/>
  <c r="D618" i="215"/>
  <c r="C618" i="215"/>
  <c r="N618" i="215" s="1"/>
  <c r="P617" i="215"/>
  <c r="M617" i="215"/>
  <c r="L617" i="215"/>
  <c r="K617" i="215"/>
  <c r="K623" i="215" s="1"/>
  <c r="K628" i="215" s="1"/>
  <c r="J617" i="215"/>
  <c r="J623" i="215" s="1"/>
  <c r="J628" i="215" s="1"/>
  <c r="G617" i="215"/>
  <c r="G623" i="215" s="1"/>
  <c r="D617" i="215"/>
  <c r="D623" i="215" s="1"/>
  <c r="D628" i="215" s="1"/>
  <c r="C617" i="215"/>
  <c r="O617" i="215" s="1"/>
  <c r="P609" i="215"/>
  <c r="G609" i="215"/>
  <c r="H609" i="215" s="1"/>
  <c r="F609" i="215"/>
  <c r="D609" i="215"/>
  <c r="P608" i="215"/>
  <c r="M608" i="215"/>
  <c r="N608" i="215" s="1"/>
  <c r="L608" i="215"/>
  <c r="K608" i="215"/>
  <c r="J608" i="215"/>
  <c r="H608" i="215"/>
  <c r="G608" i="215"/>
  <c r="C608" i="215"/>
  <c r="O608" i="215" s="1"/>
  <c r="P607" i="215"/>
  <c r="M607" i="215"/>
  <c r="L607" i="215"/>
  <c r="K607" i="215"/>
  <c r="J607" i="215"/>
  <c r="H607" i="215"/>
  <c r="G607" i="215"/>
  <c r="C607" i="215"/>
  <c r="P606" i="215"/>
  <c r="M606" i="215"/>
  <c r="L606" i="215"/>
  <c r="K606" i="215"/>
  <c r="J606" i="215"/>
  <c r="G606" i="215"/>
  <c r="H606" i="215" s="1"/>
  <c r="C606" i="215"/>
  <c r="O606" i="215" s="1"/>
  <c r="P605" i="215"/>
  <c r="N605" i="215"/>
  <c r="M605" i="215"/>
  <c r="L605" i="215"/>
  <c r="K605" i="215"/>
  <c r="J605" i="215"/>
  <c r="H605" i="215"/>
  <c r="G605" i="215"/>
  <c r="C605" i="215"/>
  <c r="O605" i="215" s="1"/>
  <c r="P603" i="215"/>
  <c r="E603" i="215"/>
  <c r="E609" i="215" s="1"/>
  <c r="P601" i="215"/>
  <c r="N601" i="215"/>
  <c r="M601" i="215"/>
  <c r="L601" i="215"/>
  <c r="K601" i="215"/>
  <c r="J601" i="215"/>
  <c r="G601" i="215"/>
  <c r="H601" i="215" s="1"/>
  <c r="C601" i="215"/>
  <c r="P600" i="215"/>
  <c r="M600" i="215"/>
  <c r="N600" i="215" s="1"/>
  <c r="L600" i="215"/>
  <c r="K600" i="215"/>
  <c r="J600" i="215"/>
  <c r="G600" i="215"/>
  <c r="H600" i="215" s="1"/>
  <c r="C600" i="215"/>
  <c r="P599" i="215"/>
  <c r="N599" i="215"/>
  <c r="M599" i="215"/>
  <c r="L599" i="215"/>
  <c r="K599" i="215"/>
  <c r="J599" i="215"/>
  <c r="G599" i="215"/>
  <c r="H599" i="215" s="1"/>
  <c r="C599" i="215"/>
  <c r="O599" i="215" s="1"/>
  <c r="P598" i="215"/>
  <c r="N598" i="215"/>
  <c r="M598" i="215"/>
  <c r="L598" i="215"/>
  <c r="K598" i="215"/>
  <c r="J598" i="215"/>
  <c r="G598" i="215"/>
  <c r="C598" i="215"/>
  <c r="O598" i="215" s="1"/>
  <c r="P597" i="215"/>
  <c r="N597" i="215"/>
  <c r="M597" i="215"/>
  <c r="M603" i="215" s="1"/>
  <c r="M609" i="215" s="1"/>
  <c r="L597" i="215"/>
  <c r="L603" i="215" s="1"/>
  <c r="L609" i="215" s="1"/>
  <c r="K597" i="215"/>
  <c r="K603" i="215" s="1"/>
  <c r="K609" i="215" s="1"/>
  <c r="J597" i="215"/>
  <c r="J603" i="215" s="1"/>
  <c r="J609" i="215" s="1"/>
  <c r="G597" i="215"/>
  <c r="H597" i="215" s="1"/>
  <c r="C597" i="215"/>
  <c r="C603" i="215" s="1"/>
  <c r="C588" i="215"/>
  <c r="M587" i="215"/>
  <c r="L587" i="215"/>
  <c r="K587" i="215"/>
  <c r="J587" i="215"/>
  <c r="I587" i="215"/>
  <c r="H587" i="215"/>
  <c r="G587" i="215"/>
  <c r="F587" i="215"/>
  <c r="E587" i="215"/>
  <c r="D587" i="215"/>
  <c r="C587" i="215"/>
  <c r="O587" i="215" s="1"/>
  <c r="O586" i="215"/>
  <c r="N586" i="215"/>
  <c r="M586" i="215"/>
  <c r="L586" i="215"/>
  <c r="K586" i="215"/>
  <c r="J586" i="215"/>
  <c r="G586" i="215"/>
  <c r="F586" i="215"/>
  <c r="C586" i="215"/>
  <c r="P585" i="215"/>
  <c r="N585" i="215"/>
  <c r="M585" i="215"/>
  <c r="L585" i="215"/>
  <c r="K585" i="215"/>
  <c r="J585" i="215"/>
  <c r="H585" i="215"/>
  <c r="G585" i="215"/>
  <c r="F585" i="215"/>
  <c r="I585" i="215" s="1"/>
  <c r="E585" i="215"/>
  <c r="D585" i="215"/>
  <c r="C585" i="215"/>
  <c r="O585" i="215" s="1"/>
  <c r="M584" i="215"/>
  <c r="L584" i="215"/>
  <c r="K584" i="215"/>
  <c r="J584" i="215"/>
  <c r="G584" i="215"/>
  <c r="F584" i="215"/>
  <c r="E584" i="215" s="1"/>
  <c r="D584" i="215"/>
  <c r="C584" i="215"/>
  <c r="N584" i="215" s="1"/>
  <c r="P583" i="215"/>
  <c r="M583" i="215"/>
  <c r="L583" i="215"/>
  <c r="K583" i="215"/>
  <c r="J583" i="215"/>
  <c r="I583" i="215"/>
  <c r="H583" i="215"/>
  <c r="G583" i="215"/>
  <c r="F583" i="215"/>
  <c r="E583" i="215"/>
  <c r="D583" i="215"/>
  <c r="C583" i="215"/>
  <c r="O583" i="215" s="1"/>
  <c r="O582" i="215"/>
  <c r="N582" i="215"/>
  <c r="M582" i="215"/>
  <c r="L582" i="215"/>
  <c r="K582" i="215"/>
  <c r="J582" i="215"/>
  <c r="G582" i="215"/>
  <c r="F582" i="215"/>
  <c r="C582" i="215"/>
  <c r="P581" i="215"/>
  <c r="N581" i="215"/>
  <c r="M581" i="215"/>
  <c r="L581" i="215"/>
  <c r="K581" i="215"/>
  <c r="J581" i="215"/>
  <c r="H581" i="215"/>
  <c r="G581" i="215"/>
  <c r="F581" i="215"/>
  <c r="I581" i="215" s="1"/>
  <c r="E581" i="215"/>
  <c r="D581" i="215"/>
  <c r="C581" i="215"/>
  <c r="O581" i="215" s="1"/>
  <c r="P579" i="215"/>
  <c r="O579" i="215"/>
  <c r="M579" i="215"/>
  <c r="L579" i="215"/>
  <c r="K579" i="215"/>
  <c r="J579" i="215"/>
  <c r="G579" i="215"/>
  <c r="F579" i="215"/>
  <c r="D579" i="215"/>
  <c r="C579" i="215"/>
  <c r="N579" i="215" s="1"/>
  <c r="M578" i="215"/>
  <c r="N578" i="215" s="1"/>
  <c r="L578" i="215"/>
  <c r="K578" i="215"/>
  <c r="J578" i="215"/>
  <c r="G578" i="215"/>
  <c r="F578" i="215"/>
  <c r="I578" i="215" s="1"/>
  <c r="E578" i="215"/>
  <c r="C578" i="215"/>
  <c r="M577" i="215"/>
  <c r="L577" i="215"/>
  <c r="K577" i="215"/>
  <c r="J577" i="215"/>
  <c r="G577" i="215"/>
  <c r="I577" i="215" s="1"/>
  <c r="F577" i="215"/>
  <c r="D577" i="215"/>
  <c r="C577" i="215"/>
  <c r="M576" i="215"/>
  <c r="L576" i="215"/>
  <c r="K576" i="215"/>
  <c r="J576" i="215"/>
  <c r="J580" i="215" s="1"/>
  <c r="J589" i="215" s="1"/>
  <c r="I576" i="215"/>
  <c r="G576" i="215"/>
  <c r="F576" i="215"/>
  <c r="D576" i="215" s="1"/>
  <c r="E576" i="215"/>
  <c r="C576" i="215"/>
  <c r="O576" i="215" s="1"/>
  <c r="O575" i="215"/>
  <c r="M575" i="215"/>
  <c r="L575" i="215"/>
  <c r="L580" i="215" s="1"/>
  <c r="K575" i="215"/>
  <c r="K580" i="215" s="1"/>
  <c r="K589" i="215" s="1"/>
  <c r="J575" i="215"/>
  <c r="G575" i="215"/>
  <c r="F575" i="215"/>
  <c r="F580" i="215" s="1"/>
  <c r="D575" i="215"/>
  <c r="C575" i="215"/>
  <c r="L565" i="215"/>
  <c r="K565" i="215"/>
  <c r="J565" i="215"/>
  <c r="F565" i="215"/>
  <c r="P565" i="215" s="1"/>
  <c r="P562" i="215"/>
  <c r="O562" i="215"/>
  <c r="N562" i="215"/>
  <c r="I562" i="215"/>
  <c r="H562" i="215"/>
  <c r="O561" i="215"/>
  <c r="P561" i="215" s="1"/>
  <c r="P560" i="215"/>
  <c r="O560" i="215"/>
  <c r="N560" i="215"/>
  <c r="I560" i="215"/>
  <c r="H560" i="215"/>
  <c r="P557" i="215"/>
  <c r="O557" i="215"/>
  <c r="M557" i="215"/>
  <c r="L557" i="215"/>
  <c r="K557" i="215"/>
  <c r="J557" i="215"/>
  <c r="G557" i="215"/>
  <c r="F557" i="215"/>
  <c r="D557" i="215"/>
  <c r="C557" i="215"/>
  <c r="N557" i="215" s="1"/>
  <c r="N556" i="215"/>
  <c r="M556" i="215"/>
  <c r="L556" i="215"/>
  <c r="K556" i="215"/>
  <c r="J556" i="215"/>
  <c r="O556" i="215" s="1"/>
  <c r="G556" i="215"/>
  <c r="F556" i="215"/>
  <c r="I556" i="215" s="1"/>
  <c r="E556" i="215"/>
  <c r="C556" i="215"/>
  <c r="M555" i="215"/>
  <c r="L555" i="215"/>
  <c r="K555" i="215"/>
  <c r="J555" i="215"/>
  <c r="G555" i="215"/>
  <c r="F555" i="215"/>
  <c r="E555" i="215" s="1"/>
  <c r="C555" i="215"/>
  <c r="N555" i="215" s="1"/>
  <c r="P554" i="215"/>
  <c r="N554" i="215"/>
  <c r="M554" i="215"/>
  <c r="L554" i="215"/>
  <c r="K554" i="215"/>
  <c r="J554" i="215"/>
  <c r="I554" i="215"/>
  <c r="H554" i="215"/>
  <c r="G554" i="215"/>
  <c r="F554" i="215"/>
  <c r="E554" i="215"/>
  <c r="D554" i="215"/>
  <c r="C554" i="215"/>
  <c r="O554" i="215" s="1"/>
  <c r="O553" i="215"/>
  <c r="N553" i="215"/>
  <c r="M553" i="215"/>
  <c r="L553" i="215"/>
  <c r="K553" i="215"/>
  <c r="J553" i="215"/>
  <c r="G553" i="215"/>
  <c r="F553" i="215"/>
  <c r="C553" i="215"/>
  <c r="P552" i="215"/>
  <c r="N552" i="215"/>
  <c r="M552" i="215"/>
  <c r="L552" i="215"/>
  <c r="K552" i="215"/>
  <c r="J552" i="215"/>
  <c r="I552" i="215"/>
  <c r="H552" i="215"/>
  <c r="G552" i="215"/>
  <c r="F552" i="215"/>
  <c r="E552" i="215"/>
  <c r="D552" i="215"/>
  <c r="C552" i="215"/>
  <c r="O552" i="215" s="1"/>
  <c r="M551" i="215"/>
  <c r="L551" i="215"/>
  <c r="K551" i="215"/>
  <c r="J551" i="215"/>
  <c r="G551" i="215"/>
  <c r="F551" i="215"/>
  <c r="E551" i="215" s="1"/>
  <c r="C551" i="215"/>
  <c r="P550" i="215"/>
  <c r="N550" i="215"/>
  <c r="M550" i="215"/>
  <c r="L550" i="215"/>
  <c r="K550" i="215"/>
  <c r="J550" i="215"/>
  <c r="I550" i="215"/>
  <c r="H550" i="215"/>
  <c r="G550" i="215"/>
  <c r="F550" i="215"/>
  <c r="E550" i="215"/>
  <c r="D550" i="215"/>
  <c r="C550" i="215"/>
  <c r="O550" i="215" s="1"/>
  <c r="O549" i="215"/>
  <c r="N549" i="215"/>
  <c r="M549" i="215"/>
  <c r="L549" i="215"/>
  <c r="K549" i="215"/>
  <c r="J549" i="215"/>
  <c r="G549" i="215"/>
  <c r="F549" i="215"/>
  <c r="C549" i="215"/>
  <c r="P548" i="215"/>
  <c r="N548" i="215"/>
  <c r="M548" i="215"/>
  <c r="L548" i="215"/>
  <c r="K548" i="215"/>
  <c r="J548" i="215"/>
  <c r="I548" i="215"/>
  <c r="H548" i="215"/>
  <c r="G548" i="215"/>
  <c r="F548" i="215"/>
  <c r="E548" i="215"/>
  <c r="D548" i="215"/>
  <c r="C548" i="215"/>
  <c r="M547" i="215"/>
  <c r="L547" i="215"/>
  <c r="K547" i="215"/>
  <c r="J547" i="215"/>
  <c r="G547" i="215"/>
  <c r="F547" i="215"/>
  <c r="C547" i="215"/>
  <c r="O547" i="215" s="1"/>
  <c r="P546" i="215"/>
  <c r="N546" i="215"/>
  <c r="M546" i="215"/>
  <c r="L546" i="215"/>
  <c r="K546" i="215"/>
  <c r="J546" i="215"/>
  <c r="I546" i="215"/>
  <c r="H546" i="215"/>
  <c r="G546" i="215"/>
  <c r="F546" i="215"/>
  <c r="E546" i="215"/>
  <c r="D546" i="215"/>
  <c r="C546" i="215"/>
  <c r="M545" i="215"/>
  <c r="L545" i="215"/>
  <c r="K545" i="215"/>
  <c r="J545" i="215"/>
  <c r="G545" i="215"/>
  <c r="F545" i="215"/>
  <c r="C545" i="215"/>
  <c r="O545" i="215" s="1"/>
  <c r="M542" i="215"/>
  <c r="L542" i="215"/>
  <c r="K542" i="215"/>
  <c r="O542" i="215" s="1"/>
  <c r="J542" i="215"/>
  <c r="G542" i="215"/>
  <c r="F542" i="215"/>
  <c r="D542" i="215"/>
  <c r="C542" i="215"/>
  <c r="N542" i="215" s="1"/>
  <c r="P541" i="215"/>
  <c r="N541" i="215"/>
  <c r="M541" i="215"/>
  <c r="L541" i="215"/>
  <c r="K541" i="215"/>
  <c r="J541" i="215"/>
  <c r="I541" i="215"/>
  <c r="H541" i="215"/>
  <c r="G541" i="215"/>
  <c r="F541" i="215"/>
  <c r="E541" i="215"/>
  <c r="D541" i="215"/>
  <c r="C541" i="215"/>
  <c r="M540" i="215"/>
  <c r="L540" i="215"/>
  <c r="K540" i="215"/>
  <c r="O540" i="215" s="1"/>
  <c r="J540" i="215"/>
  <c r="G540" i="215"/>
  <c r="F540" i="215"/>
  <c r="C540" i="215"/>
  <c r="N540" i="215" s="1"/>
  <c r="P539" i="215"/>
  <c r="N539" i="215"/>
  <c r="M539" i="215"/>
  <c r="L539" i="215"/>
  <c r="K539" i="215"/>
  <c r="J539" i="215"/>
  <c r="I539" i="215"/>
  <c r="G539" i="215"/>
  <c r="F539" i="215"/>
  <c r="H539" i="215" s="1"/>
  <c r="E539" i="215"/>
  <c r="C539" i="215"/>
  <c r="M538" i="215"/>
  <c r="L538" i="215"/>
  <c r="K538" i="215"/>
  <c r="O538" i="215" s="1"/>
  <c r="J538" i="215"/>
  <c r="G538" i="215"/>
  <c r="F538" i="215"/>
  <c r="D538" i="215" s="1"/>
  <c r="C538" i="215"/>
  <c r="N538" i="215" s="1"/>
  <c r="N537" i="215"/>
  <c r="M537" i="215"/>
  <c r="L537" i="215"/>
  <c r="K537" i="215"/>
  <c r="J537" i="215"/>
  <c r="G537" i="215"/>
  <c r="F537" i="215"/>
  <c r="D537" i="215" s="1"/>
  <c r="C537" i="215"/>
  <c r="P536" i="215"/>
  <c r="N536" i="215"/>
  <c r="M536" i="215"/>
  <c r="L536" i="215"/>
  <c r="K536" i="215"/>
  <c r="J536" i="215"/>
  <c r="G536" i="215"/>
  <c r="H536" i="215" s="1"/>
  <c r="F536" i="215"/>
  <c r="D536" i="215"/>
  <c r="C536" i="215"/>
  <c r="O536" i="215" s="1"/>
  <c r="P535" i="215"/>
  <c r="N535" i="215"/>
  <c r="M535" i="215"/>
  <c r="M543" i="215" s="1"/>
  <c r="L535" i="215"/>
  <c r="K535" i="215"/>
  <c r="J535" i="215"/>
  <c r="O535" i="215" s="1"/>
  <c r="H535" i="215"/>
  <c r="G535" i="215"/>
  <c r="F535" i="215"/>
  <c r="E535" i="215" s="1"/>
  <c r="D535" i="215"/>
  <c r="C535" i="215"/>
  <c r="N534" i="215"/>
  <c r="M534" i="215"/>
  <c r="L534" i="215"/>
  <c r="K534" i="215"/>
  <c r="J534" i="215"/>
  <c r="G534" i="215"/>
  <c r="F534" i="215"/>
  <c r="D534" i="215" s="1"/>
  <c r="C534" i="215"/>
  <c r="O534" i="215" s="1"/>
  <c r="P533" i="215"/>
  <c r="N533" i="215"/>
  <c r="M533" i="215"/>
  <c r="L533" i="215"/>
  <c r="L558" i="215" s="1"/>
  <c r="K533" i="215"/>
  <c r="J533" i="215"/>
  <c r="H533" i="215"/>
  <c r="G533" i="215"/>
  <c r="F533" i="215"/>
  <c r="E533" i="215" s="1"/>
  <c r="D533" i="215"/>
  <c r="C533" i="215"/>
  <c r="I524" i="215"/>
  <c r="F524" i="215"/>
  <c r="D524" i="215"/>
  <c r="C524" i="215"/>
  <c r="P524" i="215" s="1"/>
  <c r="N522" i="215"/>
  <c r="J522" i="215"/>
  <c r="G522" i="215"/>
  <c r="F522" i="215"/>
  <c r="D522" i="215"/>
  <c r="C522" i="215"/>
  <c r="P522" i="215" s="1"/>
  <c r="M521" i="215"/>
  <c r="K521" i="215"/>
  <c r="I521" i="215"/>
  <c r="G521" i="215"/>
  <c r="F521" i="215"/>
  <c r="D521" i="215"/>
  <c r="C521" i="215"/>
  <c r="L521" i="215" s="1"/>
  <c r="G520" i="215"/>
  <c r="F520" i="215"/>
  <c r="D520" i="215"/>
  <c r="C520" i="215"/>
  <c r="J520" i="215" s="1"/>
  <c r="N519" i="215"/>
  <c r="M519" i="215"/>
  <c r="K519" i="215"/>
  <c r="I519" i="215"/>
  <c r="G519" i="215"/>
  <c r="F519" i="215"/>
  <c r="D519" i="215"/>
  <c r="C519" i="215"/>
  <c r="L519" i="215" s="1"/>
  <c r="P518" i="215"/>
  <c r="N518" i="215"/>
  <c r="J518" i="215"/>
  <c r="H518" i="215"/>
  <c r="G518" i="215"/>
  <c r="F518" i="215"/>
  <c r="D518" i="215"/>
  <c r="C518" i="215"/>
  <c r="L518" i="215" s="1"/>
  <c r="P517" i="215"/>
  <c r="M517" i="215"/>
  <c r="K517" i="215"/>
  <c r="I517" i="215"/>
  <c r="H517" i="215"/>
  <c r="G517" i="215"/>
  <c r="F517" i="215"/>
  <c r="D517" i="215"/>
  <c r="C517" i="215"/>
  <c r="N517" i="215" s="1"/>
  <c r="P516" i="215"/>
  <c r="H516" i="215"/>
  <c r="G516" i="215"/>
  <c r="F516" i="215"/>
  <c r="D516" i="215"/>
  <c r="C516" i="215"/>
  <c r="N516" i="215" s="1"/>
  <c r="M515" i="215"/>
  <c r="K515" i="215"/>
  <c r="J515" i="215"/>
  <c r="I515" i="215"/>
  <c r="G515" i="215"/>
  <c r="F515" i="215"/>
  <c r="D515" i="215"/>
  <c r="C515" i="215"/>
  <c r="P515" i="215" s="1"/>
  <c r="N514" i="215"/>
  <c r="J514" i="215"/>
  <c r="G514" i="215"/>
  <c r="F514" i="215"/>
  <c r="D514" i="215"/>
  <c r="C514" i="215"/>
  <c r="P514" i="215" s="1"/>
  <c r="M513" i="215"/>
  <c r="K513" i="215"/>
  <c r="I513" i="215"/>
  <c r="G513" i="215"/>
  <c r="F513" i="215"/>
  <c r="D513" i="215"/>
  <c r="C513" i="215"/>
  <c r="L513" i="215" s="1"/>
  <c r="G512" i="215"/>
  <c r="F512" i="215"/>
  <c r="D512" i="215"/>
  <c r="C512" i="215"/>
  <c r="J512" i="215" s="1"/>
  <c r="N511" i="215"/>
  <c r="M511" i="215"/>
  <c r="K511" i="215"/>
  <c r="I511" i="215"/>
  <c r="G511" i="215"/>
  <c r="F511" i="215"/>
  <c r="D511" i="215"/>
  <c r="C511" i="215"/>
  <c r="L511" i="215" s="1"/>
  <c r="P510" i="215"/>
  <c r="N510" i="215"/>
  <c r="J510" i="215"/>
  <c r="H510" i="215"/>
  <c r="G510" i="215"/>
  <c r="F510" i="215"/>
  <c r="D510" i="215"/>
  <c r="C510" i="215"/>
  <c r="L510" i="215" s="1"/>
  <c r="P509" i="215"/>
  <c r="M509" i="215"/>
  <c r="K509" i="215"/>
  <c r="I509" i="215"/>
  <c r="H509" i="215"/>
  <c r="G509" i="215"/>
  <c r="F509" i="215"/>
  <c r="D509" i="215"/>
  <c r="C509" i="215"/>
  <c r="N509" i="215" s="1"/>
  <c r="P508" i="215"/>
  <c r="H508" i="215"/>
  <c r="G508" i="215"/>
  <c r="F508" i="215"/>
  <c r="D508" i="215"/>
  <c r="C508" i="215"/>
  <c r="N508" i="215" s="1"/>
  <c r="M507" i="215"/>
  <c r="K507" i="215"/>
  <c r="J507" i="215"/>
  <c r="I507" i="215"/>
  <c r="G507" i="215"/>
  <c r="F507" i="215"/>
  <c r="D507" i="215"/>
  <c r="C507" i="215"/>
  <c r="P507" i="215" s="1"/>
  <c r="N506" i="215"/>
  <c r="J506" i="215"/>
  <c r="G506" i="215"/>
  <c r="F506" i="215"/>
  <c r="D506" i="215"/>
  <c r="C506" i="215"/>
  <c r="P506" i="215" s="1"/>
  <c r="M505" i="215"/>
  <c r="K505" i="215"/>
  <c r="I505" i="215"/>
  <c r="G505" i="215"/>
  <c r="F505" i="215"/>
  <c r="D505" i="215"/>
  <c r="C505" i="215"/>
  <c r="L505" i="215" s="1"/>
  <c r="G504" i="215"/>
  <c r="F504" i="215"/>
  <c r="D504" i="215"/>
  <c r="C504" i="215"/>
  <c r="J504" i="215" s="1"/>
  <c r="N503" i="215"/>
  <c r="M503" i="215"/>
  <c r="K503" i="215"/>
  <c r="I503" i="215"/>
  <c r="G503" i="215"/>
  <c r="F503" i="215"/>
  <c r="D503" i="215"/>
  <c r="C503" i="215"/>
  <c r="L503" i="215" s="1"/>
  <c r="P502" i="215"/>
  <c r="N502" i="215"/>
  <c r="J502" i="215"/>
  <c r="H502" i="215"/>
  <c r="G502" i="215"/>
  <c r="F502" i="215"/>
  <c r="D502" i="215"/>
  <c r="C502" i="215"/>
  <c r="L502" i="215" s="1"/>
  <c r="P501" i="215"/>
  <c r="M501" i="215"/>
  <c r="K501" i="215"/>
  <c r="I501" i="215"/>
  <c r="H501" i="215"/>
  <c r="G501" i="215"/>
  <c r="F501" i="215"/>
  <c r="D501" i="215"/>
  <c r="C501" i="215"/>
  <c r="N501" i="215" s="1"/>
  <c r="P500" i="215"/>
  <c r="H500" i="215"/>
  <c r="G500" i="215"/>
  <c r="G524" i="215" s="1"/>
  <c r="F500" i="215"/>
  <c r="D500" i="215"/>
  <c r="C500" i="215"/>
  <c r="N500" i="215" s="1"/>
  <c r="P490" i="215"/>
  <c r="H490" i="215"/>
  <c r="F490" i="215"/>
  <c r="D490" i="215"/>
  <c r="C490" i="215"/>
  <c r="N490" i="215" s="1"/>
  <c r="M488" i="215"/>
  <c r="K488" i="215"/>
  <c r="J488" i="215"/>
  <c r="I488" i="215"/>
  <c r="G488" i="215"/>
  <c r="F488" i="215"/>
  <c r="D488" i="215"/>
  <c r="C488" i="215"/>
  <c r="P488" i="215" s="1"/>
  <c r="N487" i="215"/>
  <c r="J487" i="215"/>
  <c r="G487" i="215"/>
  <c r="F487" i="215"/>
  <c r="D487" i="215"/>
  <c r="C487" i="215"/>
  <c r="P487" i="215" s="1"/>
  <c r="M486" i="215"/>
  <c r="K486" i="215"/>
  <c r="I486" i="215"/>
  <c r="G486" i="215"/>
  <c r="F486" i="215"/>
  <c r="D486" i="215"/>
  <c r="C486" i="215"/>
  <c r="L486" i="215" s="1"/>
  <c r="G485" i="215"/>
  <c r="F485" i="215"/>
  <c r="D485" i="215"/>
  <c r="C485" i="215"/>
  <c r="J485" i="215" s="1"/>
  <c r="N484" i="215"/>
  <c r="M484" i="215"/>
  <c r="K484" i="215"/>
  <c r="I484" i="215"/>
  <c r="G484" i="215"/>
  <c r="F484" i="215"/>
  <c r="D484" i="215"/>
  <c r="C484" i="215"/>
  <c r="L484" i="215" s="1"/>
  <c r="N483" i="215"/>
  <c r="J483" i="215"/>
  <c r="G483" i="215"/>
  <c r="F483" i="215"/>
  <c r="D483" i="215"/>
  <c r="C483" i="215"/>
  <c r="L483" i="215" s="1"/>
  <c r="P482" i="215"/>
  <c r="M482" i="215"/>
  <c r="K482" i="215"/>
  <c r="I482" i="215"/>
  <c r="H482" i="215"/>
  <c r="G482" i="215"/>
  <c r="F482" i="215"/>
  <c r="D482" i="215"/>
  <c r="C482" i="215"/>
  <c r="N482" i="215" s="1"/>
  <c r="P481" i="215"/>
  <c r="H481" i="215"/>
  <c r="G481" i="215"/>
  <c r="F481" i="215"/>
  <c r="D481" i="215"/>
  <c r="C481" i="215"/>
  <c r="N481" i="215" s="1"/>
  <c r="M480" i="215"/>
  <c r="K480" i="215"/>
  <c r="J480" i="215"/>
  <c r="I480" i="215"/>
  <c r="H480" i="215"/>
  <c r="G480" i="215"/>
  <c r="F480" i="215"/>
  <c r="D480" i="215"/>
  <c r="C480" i="215"/>
  <c r="P480" i="215" s="1"/>
  <c r="P479" i="215"/>
  <c r="N479" i="215"/>
  <c r="J479" i="215"/>
  <c r="H479" i="215"/>
  <c r="G479" i="215"/>
  <c r="F479" i="215"/>
  <c r="D479" i="215"/>
  <c r="C479" i="215"/>
  <c r="M478" i="215"/>
  <c r="K478" i="215"/>
  <c r="I478" i="215"/>
  <c r="G478" i="215"/>
  <c r="F478" i="215"/>
  <c r="D478" i="215"/>
  <c r="C478" i="215"/>
  <c r="L478" i="215" s="1"/>
  <c r="G477" i="215"/>
  <c r="F477" i="215"/>
  <c r="D477" i="215"/>
  <c r="C477" i="215"/>
  <c r="J477" i="215" s="1"/>
  <c r="N476" i="215"/>
  <c r="M476" i="215"/>
  <c r="K476" i="215"/>
  <c r="I476" i="215"/>
  <c r="G476" i="215"/>
  <c r="F476" i="215"/>
  <c r="D476" i="215"/>
  <c r="C476" i="215"/>
  <c r="L476" i="215" s="1"/>
  <c r="N475" i="215"/>
  <c r="J475" i="215"/>
  <c r="G475" i="215"/>
  <c r="F475" i="215"/>
  <c r="D475" i="215"/>
  <c r="C475" i="215"/>
  <c r="L475" i="215" s="1"/>
  <c r="P474" i="215"/>
  <c r="M474" i="215"/>
  <c r="K474" i="215"/>
  <c r="J474" i="215"/>
  <c r="I474" i="215"/>
  <c r="H474" i="215"/>
  <c r="G474" i="215"/>
  <c r="F474" i="215"/>
  <c r="D474" i="215"/>
  <c r="C474" i="215"/>
  <c r="N474" i="215" s="1"/>
  <c r="P473" i="215"/>
  <c r="H473" i="215"/>
  <c r="G473" i="215"/>
  <c r="F473" i="215"/>
  <c r="D473" i="215"/>
  <c r="C473" i="215"/>
  <c r="N473" i="215" s="1"/>
  <c r="M472" i="215"/>
  <c r="K472" i="215"/>
  <c r="J472" i="215"/>
  <c r="I472" i="215"/>
  <c r="G472" i="215"/>
  <c r="F472" i="215"/>
  <c r="D472" i="215"/>
  <c r="C472" i="215"/>
  <c r="P472" i="215" s="1"/>
  <c r="P471" i="215"/>
  <c r="N471" i="215"/>
  <c r="J471" i="215"/>
  <c r="H471" i="215"/>
  <c r="G471" i="215"/>
  <c r="F471" i="215"/>
  <c r="D471" i="215"/>
  <c r="C471" i="215"/>
  <c r="M470" i="215"/>
  <c r="K470" i="215"/>
  <c r="I470" i="215"/>
  <c r="G470" i="215"/>
  <c r="F470" i="215"/>
  <c r="D470" i="215"/>
  <c r="C470" i="215"/>
  <c r="L470" i="215" s="1"/>
  <c r="G469" i="215"/>
  <c r="F469" i="215"/>
  <c r="D469" i="215"/>
  <c r="C469" i="215"/>
  <c r="J469" i="215" s="1"/>
  <c r="P468" i="215"/>
  <c r="N468" i="215"/>
  <c r="M468" i="215"/>
  <c r="K468" i="215"/>
  <c r="J468" i="215"/>
  <c r="I468" i="215"/>
  <c r="H468" i="215"/>
  <c r="G468" i="215"/>
  <c r="F468" i="215"/>
  <c r="D468" i="215"/>
  <c r="C468" i="215"/>
  <c r="L468" i="215" s="1"/>
  <c r="O468" i="215" s="1"/>
  <c r="N467" i="215"/>
  <c r="J467" i="215"/>
  <c r="G467" i="215"/>
  <c r="F467" i="215"/>
  <c r="D467" i="215"/>
  <c r="C467" i="215"/>
  <c r="L467" i="215" s="1"/>
  <c r="P466" i="215"/>
  <c r="M466" i="215"/>
  <c r="M490" i="215" s="1"/>
  <c r="K466" i="215"/>
  <c r="J466" i="215"/>
  <c r="I466" i="215"/>
  <c r="H466" i="215"/>
  <c r="G466" i="215"/>
  <c r="G490" i="215" s="1"/>
  <c r="F466" i="215"/>
  <c r="D466" i="215"/>
  <c r="C466" i="215"/>
  <c r="N466" i="215" s="1"/>
  <c r="L462" i="215"/>
  <c r="K462" i="215"/>
  <c r="J462" i="215"/>
  <c r="L457" i="215"/>
  <c r="K457" i="215"/>
  <c r="J457" i="215"/>
  <c r="F457" i="215"/>
  <c r="I456" i="215"/>
  <c r="F456" i="215"/>
  <c r="C456" i="215"/>
  <c r="P454" i="215"/>
  <c r="N454" i="215"/>
  <c r="M454" i="215"/>
  <c r="L454" i="215"/>
  <c r="K454" i="215"/>
  <c r="J454" i="215"/>
  <c r="H454" i="215"/>
  <c r="G454" i="215"/>
  <c r="F454" i="215"/>
  <c r="I454" i="215" s="1"/>
  <c r="D454" i="215"/>
  <c r="C454" i="215"/>
  <c r="O454" i="215" s="1"/>
  <c r="P453" i="215"/>
  <c r="C453" i="215"/>
  <c r="O453" i="215" s="1"/>
  <c r="P452" i="215"/>
  <c r="M452" i="215"/>
  <c r="L452" i="215"/>
  <c r="K452" i="215"/>
  <c r="J452" i="215"/>
  <c r="I452" i="215"/>
  <c r="G452" i="215"/>
  <c r="H452" i="215" s="1"/>
  <c r="F452" i="215"/>
  <c r="E452" i="215"/>
  <c r="D452" i="215"/>
  <c r="C452" i="215"/>
  <c r="O452" i="215" s="1"/>
  <c r="P449" i="215"/>
  <c r="M449" i="215"/>
  <c r="L449" i="215"/>
  <c r="K449" i="215"/>
  <c r="J449" i="215"/>
  <c r="I449" i="215"/>
  <c r="G449" i="215"/>
  <c r="H449" i="215" s="1"/>
  <c r="F449" i="215"/>
  <c r="E449" i="215"/>
  <c r="D449" i="215"/>
  <c r="C449" i="215"/>
  <c r="O449" i="215" s="1"/>
  <c r="M448" i="215"/>
  <c r="L448" i="215"/>
  <c r="K448" i="215"/>
  <c r="J448" i="215"/>
  <c r="G448" i="215"/>
  <c r="I448" i="215" s="1"/>
  <c r="F448" i="215"/>
  <c r="D448" i="215" s="1"/>
  <c r="C448" i="215"/>
  <c r="E448" i="215" s="1"/>
  <c r="P447" i="215"/>
  <c r="M447" i="215"/>
  <c r="L447" i="215"/>
  <c r="K447" i="215"/>
  <c r="J447" i="215"/>
  <c r="I447" i="215"/>
  <c r="H447" i="215"/>
  <c r="G447" i="215"/>
  <c r="F447" i="215"/>
  <c r="E447" i="215"/>
  <c r="D447" i="215"/>
  <c r="C447" i="215"/>
  <c r="O447" i="215" s="1"/>
  <c r="O446" i="215"/>
  <c r="M446" i="215"/>
  <c r="L446" i="215"/>
  <c r="K446" i="215"/>
  <c r="J446" i="215"/>
  <c r="G446" i="215"/>
  <c r="F446" i="215"/>
  <c r="I446" i="215" s="1"/>
  <c r="C446" i="215"/>
  <c r="N446" i="215" s="1"/>
  <c r="P445" i="215"/>
  <c r="M445" i="215"/>
  <c r="L445" i="215"/>
  <c r="K445" i="215"/>
  <c r="J445" i="215"/>
  <c r="I445" i="215"/>
  <c r="G445" i="215"/>
  <c r="H445" i="215" s="1"/>
  <c r="F445" i="215"/>
  <c r="E445" i="215"/>
  <c r="D445" i="215"/>
  <c r="C445" i="215"/>
  <c r="O445" i="215" s="1"/>
  <c r="M444" i="215"/>
  <c r="L444" i="215"/>
  <c r="K444" i="215"/>
  <c r="J444" i="215"/>
  <c r="G444" i="215"/>
  <c r="I444" i="215" s="1"/>
  <c r="F444" i="215"/>
  <c r="D444" i="215" s="1"/>
  <c r="C444" i="215"/>
  <c r="E444" i="215" s="1"/>
  <c r="P443" i="215"/>
  <c r="M443" i="215"/>
  <c r="L443" i="215"/>
  <c r="K443" i="215"/>
  <c r="J443" i="215"/>
  <c r="I443" i="215"/>
  <c r="H443" i="215"/>
  <c r="G443" i="215"/>
  <c r="F443" i="215"/>
  <c r="E443" i="215"/>
  <c r="D443" i="215"/>
  <c r="C443" i="215"/>
  <c r="O443" i="215" s="1"/>
  <c r="O442" i="215"/>
  <c r="N442" i="215"/>
  <c r="M442" i="215"/>
  <c r="L442" i="215"/>
  <c r="K442" i="215"/>
  <c r="J442" i="215"/>
  <c r="G442" i="215"/>
  <c r="F442" i="215"/>
  <c r="I442" i="215" s="1"/>
  <c r="C442" i="215"/>
  <c r="P441" i="215"/>
  <c r="M441" i="215"/>
  <c r="L441" i="215"/>
  <c r="K441" i="215"/>
  <c r="J441" i="215"/>
  <c r="I441" i="215"/>
  <c r="H441" i="215"/>
  <c r="G441" i="215"/>
  <c r="F441" i="215"/>
  <c r="E441" i="215"/>
  <c r="D441" i="215"/>
  <c r="C441" i="215"/>
  <c r="O441" i="215" s="1"/>
  <c r="P440" i="215"/>
  <c r="M440" i="215"/>
  <c r="L440" i="215"/>
  <c r="K440" i="215"/>
  <c r="J440" i="215"/>
  <c r="G440" i="215"/>
  <c r="F440" i="215"/>
  <c r="E440" i="215" s="1"/>
  <c r="C440" i="215"/>
  <c r="O440" i="215" s="1"/>
  <c r="P439" i="215"/>
  <c r="N439" i="215"/>
  <c r="M439" i="215"/>
  <c r="L439" i="215"/>
  <c r="K439" i="215"/>
  <c r="J439" i="215"/>
  <c r="I439" i="215"/>
  <c r="H439" i="215"/>
  <c r="G439" i="215"/>
  <c r="F439" i="215"/>
  <c r="E439" i="215" s="1"/>
  <c r="D439" i="215"/>
  <c r="C439" i="215"/>
  <c r="O439" i="215" s="1"/>
  <c r="N438" i="215"/>
  <c r="M438" i="215"/>
  <c r="L438" i="215"/>
  <c r="K438" i="215"/>
  <c r="J438" i="215"/>
  <c r="O438" i="215" s="1"/>
  <c r="G438" i="215"/>
  <c r="F438" i="215"/>
  <c r="I438" i="215" s="1"/>
  <c r="C438" i="215"/>
  <c r="P437" i="215"/>
  <c r="M437" i="215"/>
  <c r="L437" i="215"/>
  <c r="K437" i="215"/>
  <c r="J437" i="215"/>
  <c r="I437" i="215"/>
  <c r="H437" i="215"/>
  <c r="G437" i="215"/>
  <c r="F437" i="215"/>
  <c r="E437" i="215"/>
  <c r="D437" i="215"/>
  <c r="C437" i="215"/>
  <c r="O437" i="215" s="1"/>
  <c r="N434" i="215"/>
  <c r="M434" i="215"/>
  <c r="L434" i="215"/>
  <c r="K434" i="215"/>
  <c r="J434" i="215"/>
  <c r="H434" i="215"/>
  <c r="G434" i="215"/>
  <c r="F434" i="215"/>
  <c r="I434" i="215" s="1"/>
  <c r="P434" i="215" s="1"/>
  <c r="D434" i="215"/>
  <c r="C434" i="215"/>
  <c r="O434" i="215" s="1"/>
  <c r="N433" i="215"/>
  <c r="M433" i="215"/>
  <c r="L433" i="215"/>
  <c r="K433" i="215"/>
  <c r="J433" i="215"/>
  <c r="G433" i="215"/>
  <c r="F433" i="215"/>
  <c r="I433" i="215" s="1"/>
  <c r="C433" i="215"/>
  <c r="O433" i="215" s="1"/>
  <c r="P432" i="215"/>
  <c r="M432" i="215"/>
  <c r="L432" i="215"/>
  <c r="K432" i="215"/>
  <c r="J432" i="215"/>
  <c r="I432" i="215"/>
  <c r="H432" i="215"/>
  <c r="G432" i="215"/>
  <c r="F432" i="215"/>
  <c r="E432" i="215"/>
  <c r="D432" i="215"/>
  <c r="C432" i="215"/>
  <c r="O432" i="215" s="1"/>
  <c r="P431" i="215"/>
  <c r="N431" i="215"/>
  <c r="M431" i="215"/>
  <c r="L431" i="215"/>
  <c r="K431" i="215"/>
  <c r="J431" i="215"/>
  <c r="G431" i="215"/>
  <c r="F431" i="215"/>
  <c r="E431" i="215" s="1"/>
  <c r="C431" i="215"/>
  <c r="O431" i="215" s="1"/>
  <c r="P430" i="215"/>
  <c r="N430" i="215"/>
  <c r="M430" i="215"/>
  <c r="L430" i="215"/>
  <c r="K430" i="215"/>
  <c r="J430" i="215"/>
  <c r="H430" i="215"/>
  <c r="G430" i="215"/>
  <c r="F430" i="215"/>
  <c r="I430" i="215" s="1"/>
  <c r="D430" i="215"/>
  <c r="C430" i="215"/>
  <c r="O430" i="215" s="1"/>
  <c r="P429" i="215"/>
  <c r="N429" i="215"/>
  <c r="M429" i="215"/>
  <c r="L429" i="215"/>
  <c r="K429" i="215"/>
  <c r="J429" i="215"/>
  <c r="O429" i="215" s="1"/>
  <c r="G429" i="215"/>
  <c r="F429" i="215"/>
  <c r="I429" i="215" s="1"/>
  <c r="C429" i="215"/>
  <c r="N428" i="215"/>
  <c r="M428" i="215"/>
  <c r="L428" i="215"/>
  <c r="K428" i="215"/>
  <c r="J428" i="215"/>
  <c r="H428" i="215"/>
  <c r="G428" i="215"/>
  <c r="F428" i="215"/>
  <c r="E428" i="215" s="1"/>
  <c r="D428" i="215"/>
  <c r="C428" i="215"/>
  <c r="O428" i="215" s="1"/>
  <c r="P427" i="215"/>
  <c r="N427" i="215"/>
  <c r="M427" i="215"/>
  <c r="L427" i="215"/>
  <c r="K427" i="215"/>
  <c r="J427" i="215"/>
  <c r="G427" i="215"/>
  <c r="F427" i="215"/>
  <c r="E427" i="215" s="1"/>
  <c r="C427" i="215"/>
  <c r="O427" i="215" s="1"/>
  <c r="P426" i="215"/>
  <c r="G426" i="215"/>
  <c r="I426" i="215" s="1"/>
  <c r="F426" i="215"/>
  <c r="D426" i="215"/>
  <c r="C426" i="215"/>
  <c r="E426" i="215" s="1"/>
  <c r="M425" i="215"/>
  <c r="M435" i="215" s="1"/>
  <c r="L425" i="215"/>
  <c r="L435" i="215" s="1"/>
  <c r="K425" i="215"/>
  <c r="K435" i="215" s="1"/>
  <c r="J425" i="215"/>
  <c r="J435" i="215" s="1"/>
  <c r="I425" i="215"/>
  <c r="G425" i="215"/>
  <c r="G450" i="215" s="1"/>
  <c r="G457" i="215" s="1"/>
  <c r="F425" i="215"/>
  <c r="D425" i="215" s="1"/>
  <c r="E425" i="215"/>
  <c r="C425" i="215"/>
  <c r="C435" i="215" s="1"/>
  <c r="N435" i="215" s="1"/>
  <c r="B416" i="215"/>
  <c r="P414" i="215"/>
  <c r="C413" i="215"/>
  <c r="F413" i="215" s="1"/>
  <c r="I413" i="215" s="1"/>
  <c r="P411" i="215"/>
  <c r="M411" i="215"/>
  <c r="L411" i="215"/>
  <c r="K411" i="215"/>
  <c r="J411" i="215"/>
  <c r="I411" i="215"/>
  <c r="H411" i="215"/>
  <c r="G411" i="215"/>
  <c r="F411" i="215"/>
  <c r="E411" i="215"/>
  <c r="D411" i="215"/>
  <c r="C411" i="215"/>
  <c r="P410" i="215"/>
  <c r="M410" i="215"/>
  <c r="L410" i="215"/>
  <c r="K410" i="215"/>
  <c r="J410" i="215"/>
  <c r="O410" i="215" s="1"/>
  <c r="H410" i="215"/>
  <c r="F410" i="215"/>
  <c r="I410" i="215" s="1"/>
  <c r="E410" i="215"/>
  <c r="C410" i="215"/>
  <c r="P409" i="215"/>
  <c r="M409" i="215"/>
  <c r="L409" i="215"/>
  <c r="K409" i="215"/>
  <c r="J409" i="215"/>
  <c r="G409" i="215"/>
  <c r="F409" i="215"/>
  <c r="D409" i="215"/>
  <c r="C409" i="215"/>
  <c r="G408" i="215"/>
  <c r="P406" i="215"/>
  <c r="N406" i="215"/>
  <c r="M406" i="215"/>
  <c r="L406" i="215"/>
  <c r="K406" i="215"/>
  <c r="J406" i="215"/>
  <c r="O406" i="215" s="1"/>
  <c r="I406" i="215"/>
  <c r="H406" i="215"/>
  <c r="G406" i="215"/>
  <c r="F406" i="215"/>
  <c r="C406" i="215"/>
  <c r="N405" i="215"/>
  <c r="M405" i="215"/>
  <c r="L405" i="215"/>
  <c r="K405" i="215"/>
  <c r="J405" i="215"/>
  <c r="O405" i="215" s="1"/>
  <c r="H405" i="215"/>
  <c r="G405" i="215"/>
  <c r="F405" i="215"/>
  <c r="C405" i="215"/>
  <c r="P404" i="215"/>
  <c r="N404" i="215"/>
  <c r="I404" i="215"/>
  <c r="H404" i="215"/>
  <c r="G404" i="215"/>
  <c r="F404" i="215"/>
  <c r="E404" i="215"/>
  <c r="D404" i="215"/>
  <c r="C404" i="215"/>
  <c r="O404" i="215" s="1"/>
  <c r="P403" i="215"/>
  <c r="N403" i="215"/>
  <c r="M403" i="215"/>
  <c r="L403" i="215"/>
  <c r="K403" i="215"/>
  <c r="J403" i="215"/>
  <c r="O403" i="215" s="1"/>
  <c r="G403" i="215"/>
  <c r="F403" i="215"/>
  <c r="I403" i="215" s="1"/>
  <c r="C403" i="215"/>
  <c r="P402" i="215"/>
  <c r="N402" i="215"/>
  <c r="M402" i="215"/>
  <c r="L402" i="215"/>
  <c r="K402" i="215"/>
  <c r="J402" i="215"/>
  <c r="H402" i="215"/>
  <c r="G402" i="215"/>
  <c r="F402" i="215"/>
  <c r="I402" i="215" s="1"/>
  <c r="C402" i="215"/>
  <c r="O402" i="215" s="1"/>
  <c r="P401" i="215"/>
  <c r="N401" i="215"/>
  <c r="M401" i="215"/>
  <c r="L401" i="215"/>
  <c r="K401" i="215"/>
  <c r="J401" i="215"/>
  <c r="G401" i="215"/>
  <c r="F401" i="215"/>
  <c r="D401" i="215"/>
  <c r="C401" i="215"/>
  <c r="P400" i="215"/>
  <c r="N400" i="215"/>
  <c r="M400" i="215"/>
  <c r="L400" i="215"/>
  <c r="K400" i="215"/>
  <c r="J400" i="215"/>
  <c r="H400" i="215"/>
  <c r="G400" i="215"/>
  <c r="F400" i="215"/>
  <c r="I400" i="215" s="1"/>
  <c r="C400" i="215"/>
  <c r="N399" i="215"/>
  <c r="M399" i="215"/>
  <c r="L399" i="215"/>
  <c r="K399" i="215"/>
  <c r="J399" i="215"/>
  <c r="O399" i="215" s="1"/>
  <c r="H399" i="215"/>
  <c r="G399" i="215"/>
  <c r="F399" i="215"/>
  <c r="I399" i="215" s="1"/>
  <c r="C399" i="215"/>
  <c r="N398" i="215"/>
  <c r="M398" i="215"/>
  <c r="L398" i="215"/>
  <c r="K398" i="215"/>
  <c r="J398" i="215"/>
  <c r="H398" i="215"/>
  <c r="G398" i="215"/>
  <c r="F398" i="215"/>
  <c r="I398" i="215" s="1"/>
  <c r="C398" i="215"/>
  <c r="O398" i="215" s="1"/>
  <c r="P397" i="215"/>
  <c r="N397" i="215"/>
  <c r="M397" i="215"/>
  <c r="L397" i="215"/>
  <c r="K397" i="215"/>
  <c r="J397" i="215"/>
  <c r="G397" i="215"/>
  <c r="F397" i="215"/>
  <c r="I397" i="215" s="1"/>
  <c r="C397" i="215"/>
  <c r="O397" i="215" s="1"/>
  <c r="P396" i="215"/>
  <c r="N396" i="215"/>
  <c r="M396" i="215"/>
  <c r="L396" i="215"/>
  <c r="K396" i="215"/>
  <c r="J396" i="215"/>
  <c r="G396" i="215"/>
  <c r="F396" i="215"/>
  <c r="I396" i="215" s="1"/>
  <c r="C396" i="215"/>
  <c r="N395" i="215"/>
  <c r="M395" i="215"/>
  <c r="L395" i="215"/>
  <c r="K395" i="215"/>
  <c r="J395" i="215"/>
  <c r="G395" i="215"/>
  <c r="F395" i="215"/>
  <c r="I395" i="215" s="1"/>
  <c r="E395" i="215"/>
  <c r="C395" i="215"/>
  <c r="N394" i="215"/>
  <c r="M394" i="215"/>
  <c r="L394" i="215"/>
  <c r="K394" i="215"/>
  <c r="J394" i="215"/>
  <c r="H394" i="215"/>
  <c r="G394" i="215"/>
  <c r="F394" i="215"/>
  <c r="I394" i="215" s="1"/>
  <c r="C394" i="215"/>
  <c r="O391" i="215"/>
  <c r="N391" i="215"/>
  <c r="M391" i="215"/>
  <c r="L391" i="215"/>
  <c r="K391" i="215"/>
  <c r="J391" i="215"/>
  <c r="G391" i="215"/>
  <c r="F391" i="215"/>
  <c r="I391" i="215" s="1"/>
  <c r="C391" i="215"/>
  <c r="N390" i="215"/>
  <c r="M390" i="215"/>
  <c r="L390" i="215"/>
  <c r="K390" i="215"/>
  <c r="J390" i="215"/>
  <c r="G390" i="215"/>
  <c r="F390" i="215"/>
  <c r="P390" i="215" s="1"/>
  <c r="E390" i="215"/>
  <c r="C390" i="215"/>
  <c r="O390" i="215" s="1"/>
  <c r="P389" i="215"/>
  <c r="M389" i="215"/>
  <c r="L389" i="215"/>
  <c r="K389" i="215"/>
  <c r="J389" i="215"/>
  <c r="G389" i="215"/>
  <c r="F389" i="215"/>
  <c r="I389" i="215" s="1"/>
  <c r="C389" i="215"/>
  <c r="N389" i="215" s="1"/>
  <c r="P388" i="215"/>
  <c r="N388" i="215"/>
  <c r="M388" i="215"/>
  <c r="L388" i="215"/>
  <c r="K388" i="215"/>
  <c r="J388" i="215"/>
  <c r="I388" i="215"/>
  <c r="H388" i="215"/>
  <c r="G388" i="215"/>
  <c r="F388" i="215"/>
  <c r="C388" i="215"/>
  <c r="O388" i="215" s="1"/>
  <c r="P387" i="215"/>
  <c r="O387" i="215"/>
  <c r="N387" i="215"/>
  <c r="M387" i="215"/>
  <c r="L387" i="215"/>
  <c r="K387" i="215"/>
  <c r="J387" i="215"/>
  <c r="G387" i="215"/>
  <c r="F387" i="215"/>
  <c r="I387" i="215" s="1"/>
  <c r="C387" i="215"/>
  <c r="P386" i="215"/>
  <c r="N386" i="215"/>
  <c r="I386" i="215"/>
  <c r="H386" i="215"/>
  <c r="G386" i="215"/>
  <c r="F386" i="215"/>
  <c r="E386" i="215"/>
  <c r="C386" i="215"/>
  <c r="O386" i="215" s="1"/>
  <c r="P385" i="215"/>
  <c r="O385" i="215"/>
  <c r="N385" i="215"/>
  <c r="M385" i="215"/>
  <c r="L385" i="215"/>
  <c r="K385" i="215"/>
  <c r="J385" i="215"/>
  <c r="G385" i="215"/>
  <c r="F385" i="215"/>
  <c r="I385" i="215" s="1"/>
  <c r="C385" i="215"/>
  <c r="P384" i="215"/>
  <c r="N384" i="215"/>
  <c r="M384" i="215"/>
  <c r="L384" i="215"/>
  <c r="K384" i="215"/>
  <c r="J384" i="215"/>
  <c r="G384" i="215"/>
  <c r="F384" i="215"/>
  <c r="H384" i="215" s="1"/>
  <c r="C384" i="215"/>
  <c r="O384" i="215" s="1"/>
  <c r="P383" i="215"/>
  <c r="O383" i="215"/>
  <c r="G383" i="215"/>
  <c r="I383" i="215" s="1"/>
  <c r="F383" i="215"/>
  <c r="H383" i="215" s="1"/>
  <c r="C383" i="215"/>
  <c r="N382" i="215"/>
  <c r="N392" i="215" s="1"/>
  <c r="M382" i="215"/>
  <c r="L382" i="215"/>
  <c r="L407" i="215" s="1"/>
  <c r="L414" i="215" s="1"/>
  <c r="K382" i="215"/>
  <c r="J382" i="215"/>
  <c r="J407" i="215" s="1"/>
  <c r="J414" i="215" s="1"/>
  <c r="G382" i="215"/>
  <c r="F382" i="215"/>
  <c r="F407" i="215" s="1"/>
  <c r="C382" i="215"/>
  <c r="C407" i="215" s="1"/>
  <c r="L374" i="215"/>
  <c r="K374" i="215"/>
  <c r="J374" i="215"/>
  <c r="F373" i="215"/>
  <c r="I373" i="215" s="1"/>
  <c r="C373" i="215"/>
  <c r="N371" i="215"/>
  <c r="M371" i="215"/>
  <c r="L371" i="215"/>
  <c r="K371" i="215"/>
  <c r="J371" i="215"/>
  <c r="G371" i="215"/>
  <c r="F371" i="215"/>
  <c r="D371" i="215"/>
  <c r="C371" i="215"/>
  <c r="O371" i="215" s="1"/>
  <c r="O370" i="215"/>
  <c r="F370" i="215"/>
  <c r="P370" i="215" s="1"/>
  <c r="C370" i="215"/>
  <c r="N369" i="215"/>
  <c r="M369" i="215"/>
  <c r="L369" i="215"/>
  <c r="K369" i="215"/>
  <c r="J369" i="215"/>
  <c r="O369" i="215" s="1"/>
  <c r="G369" i="215"/>
  <c r="F369" i="215"/>
  <c r="I369" i="215" s="1"/>
  <c r="D369" i="215"/>
  <c r="C369" i="215"/>
  <c r="M366" i="215"/>
  <c r="L366" i="215"/>
  <c r="K366" i="215"/>
  <c r="J366" i="215"/>
  <c r="G366" i="215"/>
  <c r="F366" i="215"/>
  <c r="E366" i="215" s="1"/>
  <c r="D366" i="215"/>
  <c r="C366" i="215"/>
  <c r="N366" i="215" s="1"/>
  <c r="N365" i="215"/>
  <c r="M365" i="215"/>
  <c r="L365" i="215"/>
  <c r="K365" i="215"/>
  <c r="J365" i="215"/>
  <c r="I365" i="215"/>
  <c r="H365" i="215"/>
  <c r="G365" i="215"/>
  <c r="F365" i="215"/>
  <c r="E365" i="215" s="1"/>
  <c r="D365" i="215"/>
  <c r="C365" i="215"/>
  <c r="O365" i="215" s="1"/>
  <c r="P365" i="215" s="1"/>
  <c r="N364" i="215"/>
  <c r="M364" i="215"/>
  <c r="L364" i="215"/>
  <c r="K364" i="215"/>
  <c r="J364" i="215"/>
  <c r="O364" i="215" s="1"/>
  <c r="G364" i="215"/>
  <c r="F364" i="215"/>
  <c r="I364" i="215" s="1"/>
  <c r="C364" i="215"/>
  <c r="N363" i="215"/>
  <c r="M363" i="215"/>
  <c r="L363" i="215"/>
  <c r="K363" i="215"/>
  <c r="J363" i="215"/>
  <c r="G363" i="215"/>
  <c r="F363" i="215"/>
  <c r="D363" i="215"/>
  <c r="C363" i="215"/>
  <c r="O363" i="215" s="1"/>
  <c r="M362" i="215"/>
  <c r="L362" i="215"/>
  <c r="K362" i="215"/>
  <c r="J362" i="215"/>
  <c r="G362" i="215"/>
  <c r="F362" i="215"/>
  <c r="E362" i="215" s="1"/>
  <c r="D362" i="215"/>
  <c r="C362" i="215"/>
  <c r="N362" i="215" s="1"/>
  <c r="N361" i="215"/>
  <c r="M361" i="215"/>
  <c r="L361" i="215"/>
  <c r="K361" i="215"/>
  <c r="J361" i="215"/>
  <c r="I361" i="215"/>
  <c r="H361" i="215"/>
  <c r="G361" i="215"/>
  <c r="F361" i="215"/>
  <c r="E361" i="215" s="1"/>
  <c r="D361" i="215"/>
  <c r="C361" i="215"/>
  <c r="O361" i="215" s="1"/>
  <c r="P361" i="215" s="1"/>
  <c r="N360" i="215"/>
  <c r="M360" i="215"/>
  <c r="L360" i="215"/>
  <c r="K360" i="215"/>
  <c r="J360" i="215"/>
  <c r="O360" i="215" s="1"/>
  <c r="G360" i="215"/>
  <c r="F360" i="215"/>
  <c r="I360" i="215" s="1"/>
  <c r="C360" i="215"/>
  <c r="N359" i="215"/>
  <c r="M359" i="215"/>
  <c r="L359" i="215"/>
  <c r="K359" i="215"/>
  <c r="J359" i="215"/>
  <c r="G359" i="215"/>
  <c r="F359" i="215"/>
  <c r="D359" i="215"/>
  <c r="C359" i="215"/>
  <c r="O359" i="215" s="1"/>
  <c r="N358" i="215"/>
  <c r="M358" i="215"/>
  <c r="L358" i="215"/>
  <c r="K358" i="215"/>
  <c r="J358" i="215"/>
  <c r="G358" i="215"/>
  <c r="F358" i="215"/>
  <c r="E358" i="215" s="1"/>
  <c r="D358" i="215"/>
  <c r="C358" i="215"/>
  <c r="O358" i="215" s="1"/>
  <c r="N357" i="215"/>
  <c r="M357" i="215"/>
  <c r="L357" i="215"/>
  <c r="K357" i="215"/>
  <c r="J357" i="215"/>
  <c r="I357" i="215"/>
  <c r="H357" i="215"/>
  <c r="G357" i="215"/>
  <c r="F357" i="215"/>
  <c r="E357" i="215" s="1"/>
  <c r="D357" i="215"/>
  <c r="C357" i="215"/>
  <c r="O357" i="215" s="1"/>
  <c r="P357" i="215" s="1"/>
  <c r="M356" i="215"/>
  <c r="O356" i="215" s="1"/>
  <c r="L356" i="215"/>
  <c r="K356" i="215"/>
  <c r="J356" i="215"/>
  <c r="G356" i="215"/>
  <c r="I356" i="215" s="1"/>
  <c r="F356" i="215"/>
  <c r="H356" i="215" s="1"/>
  <c r="E356" i="215"/>
  <c r="C356" i="215"/>
  <c r="M355" i="215"/>
  <c r="L355" i="215"/>
  <c r="K355" i="215"/>
  <c r="J355" i="215"/>
  <c r="G355" i="215"/>
  <c r="I355" i="215" s="1"/>
  <c r="F355" i="215"/>
  <c r="D355" i="215"/>
  <c r="C355" i="215"/>
  <c r="O355" i="215" s="1"/>
  <c r="M354" i="215"/>
  <c r="L354" i="215"/>
  <c r="K354" i="215"/>
  <c r="J354" i="215"/>
  <c r="I354" i="215"/>
  <c r="G354" i="215"/>
  <c r="H354" i="215" s="1"/>
  <c r="F354" i="215"/>
  <c r="D354" i="215" s="1"/>
  <c r="C354" i="215"/>
  <c r="E354" i="215" s="1"/>
  <c r="M351" i="215"/>
  <c r="O351" i="215" s="1"/>
  <c r="L351" i="215"/>
  <c r="K351" i="215"/>
  <c r="J351" i="215"/>
  <c r="G351" i="215"/>
  <c r="I351" i="215" s="1"/>
  <c r="F351" i="215"/>
  <c r="P351" i="215" s="1"/>
  <c r="E351" i="215"/>
  <c r="C351" i="215"/>
  <c r="M350" i="215"/>
  <c r="L350" i="215"/>
  <c r="K350" i="215"/>
  <c r="J350" i="215"/>
  <c r="G350" i="215"/>
  <c r="I350" i="215" s="1"/>
  <c r="P350" i="215" s="1"/>
  <c r="F350" i="215"/>
  <c r="D350" i="215"/>
  <c r="C350" i="215"/>
  <c r="O350" i="215" s="1"/>
  <c r="P349" i="215"/>
  <c r="M349" i="215"/>
  <c r="L349" i="215"/>
  <c r="K349" i="215"/>
  <c r="J349" i="215"/>
  <c r="I349" i="215"/>
  <c r="G349" i="215"/>
  <c r="H349" i="215" s="1"/>
  <c r="F349" i="215"/>
  <c r="D349" i="215" s="1"/>
  <c r="C349" i="215"/>
  <c r="E349" i="215" s="1"/>
  <c r="P348" i="215"/>
  <c r="O348" i="215"/>
  <c r="M348" i="215"/>
  <c r="L348" i="215"/>
  <c r="K348" i="215"/>
  <c r="J348" i="215"/>
  <c r="G348" i="215"/>
  <c r="I348" i="215" s="1"/>
  <c r="F348" i="215"/>
  <c r="D348" i="215" s="1"/>
  <c r="C348" i="215"/>
  <c r="N348" i="215" s="1"/>
  <c r="P347" i="215"/>
  <c r="M347" i="215"/>
  <c r="O347" i="215" s="1"/>
  <c r="L347" i="215"/>
  <c r="K347" i="215"/>
  <c r="J347" i="215"/>
  <c r="G347" i="215"/>
  <c r="F347" i="215"/>
  <c r="I347" i="215" s="1"/>
  <c r="E347" i="215"/>
  <c r="C347" i="215"/>
  <c r="M346" i="215"/>
  <c r="L346" i="215"/>
  <c r="K346" i="215"/>
  <c r="J346" i="215"/>
  <c r="G346" i="215"/>
  <c r="I346" i="215" s="1"/>
  <c r="F346" i="215"/>
  <c r="P346" i="215" s="1"/>
  <c r="D346" i="215"/>
  <c r="C346" i="215"/>
  <c r="O346" i="215" s="1"/>
  <c r="M345" i="215"/>
  <c r="L345" i="215"/>
  <c r="K345" i="215"/>
  <c r="J345" i="215"/>
  <c r="I345" i="215"/>
  <c r="G345" i="215"/>
  <c r="H345" i="215" s="1"/>
  <c r="F345" i="215"/>
  <c r="D345" i="215"/>
  <c r="C345" i="215"/>
  <c r="E345" i="215" s="1"/>
  <c r="P344" i="215"/>
  <c r="O344" i="215"/>
  <c r="M344" i="215"/>
  <c r="L344" i="215"/>
  <c r="K344" i="215"/>
  <c r="J344" i="215"/>
  <c r="H344" i="215"/>
  <c r="G344" i="215"/>
  <c r="I344" i="215" s="1"/>
  <c r="F344" i="215"/>
  <c r="D344" i="215" s="1"/>
  <c r="C344" i="215"/>
  <c r="N344" i="215" s="1"/>
  <c r="P343" i="215"/>
  <c r="N343" i="215"/>
  <c r="M343" i="215"/>
  <c r="O343" i="215" s="1"/>
  <c r="L343" i="215"/>
  <c r="K343" i="215"/>
  <c r="J343" i="215"/>
  <c r="G343" i="215"/>
  <c r="F343" i="215"/>
  <c r="I343" i="215" s="1"/>
  <c r="C343" i="215"/>
  <c r="M342" i="215"/>
  <c r="M367" i="215" s="1"/>
  <c r="M374" i="215" s="1"/>
  <c r="L342" i="215"/>
  <c r="L367" i="215" s="1"/>
  <c r="K342" i="215"/>
  <c r="K352" i="215" s="1"/>
  <c r="J342" i="215"/>
  <c r="J352" i="215" s="1"/>
  <c r="G342" i="215"/>
  <c r="G367" i="215" s="1"/>
  <c r="G374" i="215" s="1"/>
  <c r="F342" i="215"/>
  <c r="F367" i="215" s="1"/>
  <c r="D342" i="215"/>
  <c r="C342" i="215"/>
  <c r="C352" i="215" s="1"/>
  <c r="B333" i="215"/>
  <c r="L331" i="215"/>
  <c r="K331" i="215"/>
  <c r="J331" i="215"/>
  <c r="F331" i="215"/>
  <c r="I331" i="215" s="1"/>
  <c r="I330" i="215"/>
  <c r="F330" i="215"/>
  <c r="C330" i="215"/>
  <c r="P328" i="215"/>
  <c r="O328" i="215"/>
  <c r="M328" i="215"/>
  <c r="L328" i="215"/>
  <c r="K328" i="215"/>
  <c r="J328" i="215"/>
  <c r="H328" i="215"/>
  <c r="G328" i="215"/>
  <c r="I328" i="215" s="1"/>
  <c r="F328" i="215"/>
  <c r="D328" i="215"/>
  <c r="C328" i="215"/>
  <c r="N328" i="215" s="1"/>
  <c r="P327" i="215"/>
  <c r="C327" i="215"/>
  <c r="O327" i="215" s="1"/>
  <c r="P326" i="215"/>
  <c r="M326" i="215"/>
  <c r="L326" i="215"/>
  <c r="K326" i="215"/>
  <c r="J326" i="215"/>
  <c r="I326" i="215"/>
  <c r="H326" i="215"/>
  <c r="G326" i="215"/>
  <c r="F326" i="215"/>
  <c r="E326" i="215" s="1"/>
  <c r="D326" i="215"/>
  <c r="C326" i="215"/>
  <c r="O326" i="215" s="1"/>
  <c r="M323" i="215"/>
  <c r="N323" i="215" s="1"/>
  <c r="L323" i="215"/>
  <c r="O323" i="215" s="1"/>
  <c r="K323" i="215"/>
  <c r="J323" i="215"/>
  <c r="G323" i="215"/>
  <c r="F323" i="215"/>
  <c r="E323" i="215"/>
  <c r="D323" i="215"/>
  <c r="C323" i="215"/>
  <c r="M322" i="215"/>
  <c r="L322" i="215"/>
  <c r="K322" i="215"/>
  <c r="J322" i="215"/>
  <c r="G322" i="215"/>
  <c r="F322" i="215"/>
  <c r="E322" i="215" s="1"/>
  <c r="D322" i="215"/>
  <c r="C322" i="215"/>
  <c r="N322" i="215" s="1"/>
  <c r="P321" i="215"/>
  <c r="M321" i="215"/>
  <c r="L321" i="215"/>
  <c r="K321" i="215"/>
  <c r="J321" i="215"/>
  <c r="I321" i="215"/>
  <c r="H321" i="215"/>
  <c r="G321" i="215"/>
  <c r="F321" i="215"/>
  <c r="E321" i="215" s="1"/>
  <c r="D321" i="215"/>
  <c r="C321" i="215"/>
  <c r="O321" i="215" s="1"/>
  <c r="O320" i="215"/>
  <c r="N320" i="215"/>
  <c r="M320" i="215"/>
  <c r="L320" i="215"/>
  <c r="K320" i="215"/>
  <c r="J320" i="215"/>
  <c r="G320" i="215"/>
  <c r="F320" i="215"/>
  <c r="C320" i="215"/>
  <c r="M319" i="215"/>
  <c r="N319" i="215" s="1"/>
  <c r="L319" i="215"/>
  <c r="O319" i="215" s="1"/>
  <c r="K319" i="215"/>
  <c r="J319" i="215"/>
  <c r="G319" i="215"/>
  <c r="F319" i="215"/>
  <c r="E319" i="215"/>
  <c r="D319" i="215"/>
  <c r="C319" i="215"/>
  <c r="M318" i="215"/>
  <c r="L318" i="215"/>
  <c r="K318" i="215"/>
  <c r="J318" i="215"/>
  <c r="G318" i="215"/>
  <c r="F318" i="215"/>
  <c r="E318" i="215" s="1"/>
  <c r="D318" i="215"/>
  <c r="C318" i="215"/>
  <c r="N318" i="215" s="1"/>
  <c r="P317" i="215"/>
  <c r="M317" i="215"/>
  <c r="L317" i="215"/>
  <c r="K317" i="215"/>
  <c r="J317" i="215"/>
  <c r="I317" i="215"/>
  <c r="H317" i="215"/>
  <c r="G317" i="215"/>
  <c r="F317" i="215"/>
  <c r="E317" i="215" s="1"/>
  <c r="D317" i="215"/>
  <c r="C317" i="215"/>
  <c r="O317" i="215" s="1"/>
  <c r="O316" i="215"/>
  <c r="N316" i="215"/>
  <c r="M316" i="215"/>
  <c r="L316" i="215"/>
  <c r="K316" i="215"/>
  <c r="J316" i="215"/>
  <c r="G316" i="215"/>
  <c r="F316" i="215"/>
  <c r="C316" i="215"/>
  <c r="M315" i="215"/>
  <c r="N315" i="215" s="1"/>
  <c r="L315" i="215"/>
  <c r="K315" i="215"/>
  <c r="J315" i="215"/>
  <c r="G315" i="215"/>
  <c r="F315" i="215"/>
  <c r="E315" i="215"/>
  <c r="D315" i="215"/>
  <c r="C315" i="215"/>
  <c r="M314" i="215"/>
  <c r="L314" i="215"/>
  <c r="K314" i="215"/>
  <c r="J314" i="215"/>
  <c r="G314" i="215"/>
  <c r="F314" i="215"/>
  <c r="E314" i="215" s="1"/>
  <c r="D314" i="215"/>
  <c r="C314" i="215"/>
  <c r="N314" i="215" s="1"/>
  <c r="P313" i="215"/>
  <c r="M313" i="215"/>
  <c r="L313" i="215"/>
  <c r="K313" i="215"/>
  <c r="J313" i="215"/>
  <c r="I313" i="215"/>
  <c r="H313" i="215"/>
  <c r="G313" i="215"/>
  <c r="F313" i="215"/>
  <c r="E313" i="215" s="1"/>
  <c r="D313" i="215"/>
  <c r="C313" i="215"/>
  <c r="O313" i="215" s="1"/>
  <c r="O312" i="215"/>
  <c r="N312" i="215"/>
  <c r="M312" i="215"/>
  <c r="L312" i="215"/>
  <c r="K312" i="215"/>
  <c r="J312" i="215"/>
  <c r="G312" i="215"/>
  <c r="F312" i="215"/>
  <c r="C312" i="215"/>
  <c r="M311" i="215"/>
  <c r="N311" i="215" s="1"/>
  <c r="L311" i="215"/>
  <c r="K311" i="215"/>
  <c r="J311" i="215"/>
  <c r="G311" i="215"/>
  <c r="F311" i="215"/>
  <c r="E311" i="215"/>
  <c r="D311" i="215"/>
  <c r="C311" i="215"/>
  <c r="P308" i="215"/>
  <c r="M308" i="215"/>
  <c r="L308" i="215"/>
  <c r="K308" i="215"/>
  <c r="J308" i="215"/>
  <c r="I308" i="215"/>
  <c r="H308" i="215"/>
  <c r="G308" i="215"/>
  <c r="F308" i="215"/>
  <c r="E308" i="215" s="1"/>
  <c r="D308" i="215"/>
  <c r="C308" i="215"/>
  <c r="O308" i="215" s="1"/>
  <c r="O307" i="215"/>
  <c r="N307" i="215"/>
  <c r="M307" i="215"/>
  <c r="L307" i="215"/>
  <c r="K307" i="215"/>
  <c r="J307" i="215"/>
  <c r="G307" i="215"/>
  <c r="F307" i="215"/>
  <c r="C307" i="215"/>
  <c r="P306" i="215"/>
  <c r="M306" i="215"/>
  <c r="N306" i="215" s="1"/>
  <c r="L306" i="215"/>
  <c r="K306" i="215"/>
  <c r="J306" i="215"/>
  <c r="O306" i="215" s="1"/>
  <c r="G306" i="215"/>
  <c r="F306" i="215"/>
  <c r="H306" i="215" s="1"/>
  <c r="E306" i="215"/>
  <c r="D306" i="215"/>
  <c r="C306" i="215"/>
  <c r="P305" i="215"/>
  <c r="M305" i="215"/>
  <c r="L305" i="215"/>
  <c r="K305" i="215"/>
  <c r="J305" i="215"/>
  <c r="G305" i="215"/>
  <c r="F305" i="215"/>
  <c r="E305" i="215" s="1"/>
  <c r="D305" i="215"/>
  <c r="C305" i="215"/>
  <c r="N305" i="215" s="1"/>
  <c r="P304" i="215"/>
  <c r="N304" i="215"/>
  <c r="M304" i="215"/>
  <c r="L304" i="215"/>
  <c r="K304" i="215"/>
  <c r="J304" i="215"/>
  <c r="I304" i="215"/>
  <c r="H304" i="215"/>
  <c r="G304" i="215"/>
  <c r="F304" i="215"/>
  <c r="E304" i="215" s="1"/>
  <c r="D304" i="215"/>
  <c r="C304" i="215"/>
  <c r="O304" i="215" s="1"/>
  <c r="P303" i="215"/>
  <c r="N303" i="215"/>
  <c r="M303" i="215"/>
  <c r="L303" i="215"/>
  <c r="K303" i="215"/>
  <c r="J303" i="215"/>
  <c r="O303" i="215" s="1"/>
  <c r="G303" i="215"/>
  <c r="F303" i="215"/>
  <c r="C303" i="215"/>
  <c r="N302" i="215"/>
  <c r="M302" i="215"/>
  <c r="L302" i="215"/>
  <c r="K302" i="215"/>
  <c r="J302" i="215"/>
  <c r="O302" i="215" s="1"/>
  <c r="G302" i="215"/>
  <c r="F302" i="215"/>
  <c r="D302" i="215"/>
  <c r="C302" i="215"/>
  <c r="P301" i="215"/>
  <c r="M301" i="215"/>
  <c r="L301" i="215"/>
  <c r="K301" i="215"/>
  <c r="K309" i="215" s="1"/>
  <c r="J301" i="215"/>
  <c r="G301" i="215"/>
  <c r="F301" i="215"/>
  <c r="E301" i="215" s="1"/>
  <c r="D301" i="215"/>
  <c r="C301" i="215"/>
  <c r="N301" i="215" s="1"/>
  <c r="P300" i="215"/>
  <c r="N300" i="215"/>
  <c r="M300" i="215"/>
  <c r="L300" i="215"/>
  <c r="K300" i="215"/>
  <c r="J300" i="215"/>
  <c r="J309" i="215" s="1"/>
  <c r="I300" i="215"/>
  <c r="H300" i="215"/>
  <c r="G300" i="215"/>
  <c r="F300" i="215"/>
  <c r="E300" i="215" s="1"/>
  <c r="D300" i="215"/>
  <c r="C300" i="215"/>
  <c r="N299" i="215"/>
  <c r="M299" i="215"/>
  <c r="M309" i="215" s="1"/>
  <c r="L299" i="215"/>
  <c r="L309" i="215" s="1"/>
  <c r="K299" i="215"/>
  <c r="K324" i="215" s="1"/>
  <c r="J299" i="215"/>
  <c r="G299" i="215"/>
  <c r="G324" i="215" s="1"/>
  <c r="G331" i="215" s="1"/>
  <c r="F299" i="215"/>
  <c r="H299" i="215" s="1"/>
  <c r="C299" i="215"/>
  <c r="C324" i="215" s="1"/>
  <c r="L291" i="215"/>
  <c r="K291" i="215"/>
  <c r="J291" i="215"/>
  <c r="F290" i="215"/>
  <c r="I290" i="215" s="1"/>
  <c r="O288" i="215"/>
  <c r="N288" i="215"/>
  <c r="F288" i="215"/>
  <c r="E288" i="215" s="1"/>
  <c r="P287" i="215"/>
  <c r="O287" i="215"/>
  <c r="F287" i="215"/>
  <c r="C287" i="215"/>
  <c r="O286" i="215"/>
  <c r="N286" i="215"/>
  <c r="F286" i="215"/>
  <c r="P286" i="215" s="1"/>
  <c r="E286" i="215"/>
  <c r="C286" i="215"/>
  <c r="M283" i="215"/>
  <c r="L283" i="215"/>
  <c r="J283" i="215"/>
  <c r="I283" i="215"/>
  <c r="H283" i="215"/>
  <c r="G283" i="215"/>
  <c r="F283" i="215"/>
  <c r="D283" i="215"/>
  <c r="C283" i="215"/>
  <c r="K283" i="215" s="1"/>
  <c r="O282" i="215"/>
  <c r="N282" i="215"/>
  <c r="M282" i="215"/>
  <c r="L282" i="215"/>
  <c r="J282" i="215"/>
  <c r="G282" i="215"/>
  <c r="F282" i="215"/>
  <c r="I282" i="215" s="1"/>
  <c r="C282" i="215"/>
  <c r="K282" i="215" s="1"/>
  <c r="N281" i="215"/>
  <c r="M281" i="215"/>
  <c r="L281" i="215"/>
  <c r="O281" i="215" s="1"/>
  <c r="K281" i="215"/>
  <c r="J281" i="215"/>
  <c r="G281" i="215"/>
  <c r="F281" i="215"/>
  <c r="I281" i="215" s="1"/>
  <c r="C281" i="215"/>
  <c r="M280" i="215"/>
  <c r="L280" i="215"/>
  <c r="K280" i="215"/>
  <c r="J280" i="215"/>
  <c r="G280" i="215"/>
  <c r="F280" i="215"/>
  <c r="D280" i="215" s="1"/>
  <c r="C280" i="215"/>
  <c r="O280" i="215" s="1"/>
  <c r="P279" i="215"/>
  <c r="M279" i="215"/>
  <c r="L279" i="215"/>
  <c r="K279" i="215"/>
  <c r="J279" i="215"/>
  <c r="I279" i="215"/>
  <c r="H279" i="215"/>
  <c r="G279" i="215"/>
  <c r="F279" i="215"/>
  <c r="D279" i="215"/>
  <c r="C279" i="215"/>
  <c r="O278" i="215"/>
  <c r="N278" i="215"/>
  <c r="M278" i="215"/>
  <c r="L278" i="215"/>
  <c r="K278" i="215"/>
  <c r="J278" i="215"/>
  <c r="I278" i="215"/>
  <c r="G278" i="215"/>
  <c r="F278" i="215"/>
  <c r="E278" i="215" s="1"/>
  <c r="C278" i="215"/>
  <c r="P277" i="215"/>
  <c r="N277" i="215"/>
  <c r="M277" i="215"/>
  <c r="L277" i="215"/>
  <c r="O277" i="215" s="1"/>
  <c r="K277" i="215"/>
  <c r="J277" i="215"/>
  <c r="H277" i="215"/>
  <c r="G277" i="215"/>
  <c r="F277" i="215"/>
  <c r="E277" i="215"/>
  <c r="D277" i="215"/>
  <c r="C277" i="215"/>
  <c r="M276" i="215"/>
  <c r="L276" i="215"/>
  <c r="K276" i="215"/>
  <c r="J276" i="215"/>
  <c r="G276" i="215"/>
  <c r="F276" i="215"/>
  <c r="I276" i="215" s="1"/>
  <c r="D276" i="215"/>
  <c r="C276" i="215"/>
  <c r="N276" i="215" s="1"/>
  <c r="N275" i="215"/>
  <c r="M275" i="215"/>
  <c r="L275" i="215"/>
  <c r="K275" i="215"/>
  <c r="J275" i="215"/>
  <c r="I275" i="215"/>
  <c r="G275" i="215"/>
  <c r="F275" i="215"/>
  <c r="E275" i="215" s="1"/>
  <c r="C275" i="215"/>
  <c r="N274" i="215"/>
  <c r="M274" i="215"/>
  <c r="L274" i="215"/>
  <c r="K274" i="215"/>
  <c r="J274" i="215"/>
  <c r="O274" i="215" s="1"/>
  <c r="G274" i="215"/>
  <c r="F274" i="215"/>
  <c r="E274" i="215" s="1"/>
  <c r="C274" i="215"/>
  <c r="P273" i="215"/>
  <c r="N273" i="215"/>
  <c r="M273" i="215"/>
  <c r="L273" i="215"/>
  <c r="K273" i="215"/>
  <c r="J273" i="215"/>
  <c r="O273" i="215" s="1"/>
  <c r="G273" i="215"/>
  <c r="H273" i="215" s="1"/>
  <c r="F273" i="215"/>
  <c r="E273" i="215"/>
  <c r="D273" i="215"/>
  <c r="C273" i="215"/>
  <c r="M272" i="215"/>
  <c r="L272" i="215"/>
  <c r="K272" i="215"/>
  <c r="J272" i="215"/>
  <c r="G272" i="215"/>
  <c r="F272" i="215"/>
  <c r="I272" i="215" s="1"/>
  <c r="C272" i="215"/>
  <c r="O272" i="215" s="1"/>
  <c r="N271" i="215"/>
  <c r="M271" i="215"/>
  <c r="L271" i="215"/>
  <c r="K271" i="215"/>
  <c r="J271" i="215"/>
  <c r="H271" i="215"/>
  <c r="G271" i="215"/>
  <c r="F271" i="215"/>
  <c r="E271" i="215" s="1"/>
  <c r="D271" i="215"/>
  <c r="C271" i="215"/>
  <c r="N268" i="215"/>
  <c r="M268" i="215"/>
  <c r="L268" i="215"/>
  <c r="K268" i="215"/>
  <c r="J268" i="215"/>
  <c r="O268" i="215" s="1"/>
  <c r="G268" i="215"/>
  <c r="F268" i="215"/>
  <c r="I268" i="215" s="1"/>
  <c r="C268" i="215"/>
  <c r="N267" i="215"/>
  <c r="M267" i="215"/>
  <c r="L267" i="215"/>
  <c r="K267" i="215"/>
  <c r="J267" i="215"/>
  <c r="H267" i="215"/>
  <c r="G267" i="215"/>
  <c r="F267" i="215"/>
  <c r="I267" i="215" s="1"/>
  <c r="E267" i="215"/>
  <c r="D267" i="215"/>
  <c r="C267" i="215"/>
  <c r="M266" i="215"/>
  <c r="L266" i="215"/>
  <c r="K266" i="215"/>
  <c r="J266" i="215"/>
  <c r="I266" i="215"/>
  <c r="H266" i="215"/>
  <c r="G266" i="215"/>
  <c r="F266" i="215"/>
  <c r="D266" i="215"/>
  <c r="C266" i="215"/>
  <c r="O265" i="215"/>
  <c r="N265" i="215"/>
  <c r="M265" i="215"/>
  <c r="L265" i="215"/>
  <c r="K265" i="215"/>
  <c r="J265" i="215"/>
  <c r="G265" i="215"/>
  <c r="I265" i="215" s="1"/>
  <c r="F265" i="215"/>
  <c r="E265" i="215" s="1"/>
  <c r="D265" i="215"/>
  <c r="C265" i="215"/>
  <c r="M264" i="215"/>
  <c r="L264" i="215"/>
  <c r="K264" i="215"/>
  <c r="J264" i="215"/>
  <c r="O264" i="215" s="1"/>
  <c r="G264" i="215"/>
  <c r="I264" i="215" s="1"/>
  <c r="P264" i="215" s="1"/>
  <c r="F264" i="215"/>
  <c r="E264" i="215"/>
  <c r="D264" i="215"/>
  <c r="C264" i="215"/>
  <c r="N264" i="215" s="1"/>
  <c r="P263" i="215"/>
  <c r="M263" i="215"/>
  <c r="L263" i="215"/>
  <c r="K263" i="215"/>
  <c r="J263" i="215"/>
  <c r="H263" i="215"/>
  <c r="G263" i="215"/>
  <c r="F263" i="215"/>
  <c r="I263" i="215" s="1"/>
  <c r="C263" i="215"/>
  <c r="O263" i="215" s="1"/>
  <c r="N262" i="215"/>
  <c r="M262" i="215"/>
  <c r="L262" i="215"/>
  <c r="K262" i="215"/>
  <c r="J262" i="215"/>
  <c r="I262" i="215"/>
  <c r="G262" i="215"/>
  <c r="F262" i="215"/>
  <c r="F269" i="215" s="1"/>
  <c r="C262" i="215"/>
  <c r="O262" i="215" s="1"/>
  <c r="O261" i="215"/>
  <c r="N261" i="215"/>
  <c r="M261" i="215"/>
  <c r="L261" i="215"/>
  <c r="K261" i="215"/>
  <c r="J261" i="215"/>
  <c r="G261" i="215"/>
  <c r="I261" i="215" s="1"/>
  <c r="F261" i="215"/>
  <c r="F284" i="215" s="1"/>
  <c r="D261" i="215"/>
  <c r="C261" i="215"/>
  <c r="M260" i="215"/>
  <c r="L260" i="215"/>
  <c r="L269" i="215" s="1"/>
  <c r="K260" i="215"/>
  <c r="J260" i="215"/>
  <c r="O260" i="215" s="1"/>
  <c r="G260" i="215"/>
  <c r="I260" i="215" s="1"/>
  <c r="P260" i="215" s="1"/>
  <c r="F260" i="215"/>
  <c r="E260" i="215"/>
  <c r="D260" i="215"/>
  <c r="C260" i="215"/>
  <c r="N260" i="215" s="1"/>
  <c r="M259" i="215"/>
  <c r="L259" i="215"/>
  <c r="L284" i="215" s="1"/>
  <c r="K259" i="215"/>
  <c r="K269" i="215" s="1"/>
  <c r="J259" i="215"/>
  <c r="J269" i="215" s="1"/>
  <c r="H259" i="215"/>
  <c r="G259" i="215"/>
  <c r="G269" i="215" s="1"/>
  <c r="F259" i="215"/>
  <c r="I259" i="215" s="1"/>
  <c r="C259" i="215"/>
  <c r="C269" i="215" s="1"/>
  <c r="B250" i="215"/>
  <c r="L248" i="215"/>
  <c r="C247" i="215"/>
  <c r="I247" i="215" s="1"/>
  <c r="O245" i="215"/>
  <c r="N245" i="215"/>
  <c r="M245" i="215"/>
  <c r="L245" i="215"/>
  <c r="K245" i="215"/>
  <c r="J245" i="215"/>
  <c r="G245" i="215"/>
  <c r="I245" i="215" s="1"/>
  <c r="F245" i="215"/>
  <c r="E245" i="215" s="1"/>
  <c r="D245" i="215"/>
  <c r="C245" i="215"/>
  <c r="P244" i="215"/>
  <c r="O244" i="215"/>
  <c r="C244" i="215"/>
  <c r="P243" i="215"/>
  <c r="M243" i="215"/>
  <c r="L243" i="215"/>
  <c r="K243" i="215"/>
  <c r="J243" i="215"/>
  <c r="O243" i="215" s="1"/>
  <c r="H243" i="215"/>
  <c r="G243" i="215"/>
  <c r="F243" i="215"/>
  <c r="I243" i="215" s="1"/>
  <c r="E243" i="215"/>
  <c r="D243" i="215"/>
  <c r="C243" i="215"/>
  <c r="N243" i="215" s="1"/>
  <c r="N240" i="215"/>
  <c r="M240" i="215"/>
  <c r="L240" i="215"/>
  <c r="K240" i="215"/>
  <c r="J240" i="215"/>
  <c r="I240" i="215"/>
  <c r="G240" i="215"/>
  <c r="F240" i="215"/>
  <c r="D240" i="215"/>
  <c r="C240" i="215"/>
  <c r="O240" i="215" s="1"/>
  <c r="M239" i="215"/>
  <c r="N239" i="215" s="1"/>
  <c r="L239" i="215"/>
  <c r="K239" i="215"/>
  <c r="J239" i="215"/>
  <c r="O239" i="215" s="1"/>
  <c r="G239" i="215"/>
  <c r="I239" i="215" s="1"/>
  <c r="F239" i="215"/>
  <c r="E239" i="215"/>
  <c r="D239" i="215"/>
  <c r="C239" i="215"/>
  <c r="P238" i="215"/>
  <c r="M238" i="215"/>
  <c r="L238" i="215"/>
  <c r="K238" i="215"/>
  <c r="J238" i="215"/>
  <c r="O238" i="215" s="1"/>
  <c r="H238" i="215"/>
  <c r="G238" i="215"/>
  <c r="F238" i="215"/>
  <c r="D238" i="215" s="1"/>
  <c r="E238" i="215"/>
  <c r="C238" i="215"/>
  <c r="N238" i="215" s="1"/>
  <c r="N237" i="215"/>
  <c r="M237" i="215"/>
  <c r="L237" i="215"/>
  <c r="K237" i="215"/>
  <c r="J237" i="215"/>
  <c r="G237" i="215"/>
  <c r="F237" i="215"/>
  <c r="E237" i="215" s="1"/>
  <c r="C237" i="215"/>
  <c r="O237" i="215" s="1"/>
  <c r="N236" i="215"/>
  <c r="M236" i="215"/>
  <c r="L236" i="215"/>
  <c r="K236" i="215"/>
  <c r="J236" i="215"/>
  <c r="I236" i="215"/>
  <c r="G236" i="215"/>
  <c r="F236" i="215"/>
  <c r="P236" i="215" s="1"/>
  <c r="D236" i="215"/>
  <c r="C236" i="215"/>
  <c r="O236" i="215" s="1"/>
  <c r="M235" i="215"/>
  <c r="N235" i="215" s="1"/>
  <c r="L235" i="215"/>
  <c r="K235" i="215"/>
  <c r="J235" i="215"/>
  <c r="O235" i="215" s="1"/>
  <c r="G235" i="215"/>
  <c r="I235" i="215" s="1"/>
  <c r="P235" i="215" s="1"/>
  <c r="F235" i="215"/>
  <c r="E235" i="215"/>
  <c r="D235" i="215"/>
  <c r="C235" i="215"/>
  <c r="M234" i="215"/>
  <c r="L234" i="215"/>
  <c r="K234" i="215"/>
  <c r="J234" i="215"/>
  <c r="O234" i="215" s="1"/>
  <c r="H234" i="215"/>
  <c r="G234" i="215"/>
  <c r="F234" i="215"/>
  <c r="D234" i="215" s="1"/>
  <c r="E234" i="215"/>
  <c r="C234" i="215"/>
  <c r="N234" i="215" s="1"/>
  <c r="N233" i="215"/>
  <c r="M233" i="215"/>
  <c r="L233" i="215"/>
  <c r="K233" i="215"/>
  <c r="J233" i="215"/>
  <c r="G233" i="215"/>
  <c r="F233" i="215"/>
  <c r="E233" i="215" s="1"/>
  <c r="C233" i="215"/>
  <c r="O233" i="215" s="1"/>
  <c r="N232" i="215"/>
  <c r="M232" i="215"/>
  <c r="L232" i="215"/>
  <c r="K232" i="215"/>
  <c r="J232" i="215"/>
  <c r="I232" i="215"/>
  <c r="G232" i="215"/>
  <c r="F232" i="215"/>
  <c r="P232" i="215" s="1"/>
  <c r="D232" i="215"/>
  <c r="C232" i="215"/>
  <c r="O232" i="215" s="1"/>
  <c r="P231" i="215"/>
  <c r="N231" i="215"/>
  <c r="M231" i="215"/>
  <c r="L231" i="215"/>
  <c r="K231" i="215"/>
  <c r="J231" i="215"/>
  <c r="O231" i="215" s="1"/>
  <c r="G231" i="215"/>
  <c r="I231" i="215" s="1"/>
  <c r="F231" i="215"/>
  <c r="E231" i="215"/>
  <c r="D231" i="215"/>
  <c r="C231" i="215"/>
  <c r="P230" i="215"/>
  <c r="M230" i="215"/>
  <c r="L230" i="215"/>
  <c r="K230" i="215"/>
  <c r="J230" i="215"/>
  <c r="O230" i="215" s="1"/>
  <c r="H230" i="215"/>
  <c r="G230" i="215"/>
  <c r="F230" i="215"/>
  <c r="D230" i="215" s="1"/>
  <c r="E230" i="215"/>
  <c r="C230" i="215"/>
  <c r="N230" i="215" s="1"/>
  <c r="N229" i="215"/>
  <c r="M229" i="215"/>
  <c r="L229" i="215"/>
  <c r="K229" i="215"/>
  <c r="J229" i="215"/>
  <c r="G229" i="215"/>
  <c r="F229" i="215"/>
  <c r="E229" i="215" s="1"/>
  <c r="C229" i="215"/>
  <c r="O229" i="215" s="1"/>
  <c r="N228" i="215"/>
  <c r="M228" i="215"/>
  <c r="L228" i="215"/>
  <c r="K228" i="215"/>
  <c r="J228" i="215"/>
  <c r="I228" i="215"/>
  <c r="G228" i="215"/>
  <c r="F228" i="215"/>
  <c r="D228" i="215"/>
  <c r="C228" i="215"/>
  <c r="O228" i="215" s="1"/>
  <c r="M225" i="215"/>
  <c r="L225" i="215"/>
  <c r="K225" i="215"/>
  <c r="J225" i="215"/>
  <c r="O225" i="215" s="1"/>
  <c r="H225" i="215"/>
  <c r="G225" i="215"/>
  <c r="F225" i="215"/>
  <c r="D225" i="215" s="1"/>
  <c r="E225" i="215"/>
  <c r="C225" i="215"/>
  <c r="N225" i="215" s="1"/>
  <c r="N224" i="215"/>
  <c r="M224" i="215"/>
  <c r="L224" i="215"/>
  <c r="K224" i="215"/>
  <c r="J224" i="215"/>
  <c r="G224" i="215"/>
  <c r="F224" i="215"/>
  <c r="E224" i="215" s="1"/>
  <c r="C224" i="215"/>
  <c r="O224" i="215" s="1"/>
  <c r="P223" i="215"/>
  <c r="N223" i="215"/>
  <c r="M223" i="215"/>
  <c r="L223" i="215"/>
  <c r="K223" i="215"/>
  <c r="J223" i="215"/>
  <c r="I223" i="215"/>
  <c r="G223" i="215"/>
  <c r="F223" i="215"/>
  <c r="H223" i="215" s="1"/>
  <c r="D223" i="215"/>
  <c r="C223" i="215"/>
  <c r="O223" i="215" s="1"/>
  <c r="P222" i="215"/>
  <c r="M222" i="215"/>
  <c r="N222" i="215" s="1"/>
  <c r="L222" i="215"/>
  <c r="K222" i="215"/>
  <c r="J222" i="215"/>
  <c r="O222" i="215" s="1"/>
  <c r="G222" i="215"/>
  <c r="I222" i="215" s="1"/>
  <c r="F222" i="215"/>
  <c r="E222" i="215"/>
  <c r="D222" i="215"/>
  <c r="C222" i="215"/>
  <c r="P221" i="215"/>
  <c r="N221" i="215"/>
  <c r="M221" i="215"/>
  <c r="L221" i="215"/>
  <c r="K221" i="215"/>
  <c r="J221" i="215"/>
  <c r="O221" i="215" s="1"/>
  <c r="H221" i="215"/>
  <c r="G221" i="215"/>
  <c r="F221" i="215"/>
  <c r="D221" i="215" s="1"/>
  <c r="E221" i="215"/>
  <c r="C221" i="215"/>
  <c r="P220" i="215"/>
  <c r="N220" i="215"/>
  <c r="M220" i="215"/>
  <c r="L220" i="215"/>
  <c r="G220" i="215"/>
  <c r="F220" i="215"/>
  <c r="C220" i="215"/>
  <c r="K220" i="215" s="1"/>
  <c r="K180" i="215" s="1"/>
  <c r="N219" i="215"/>
  <c r="M219" i="215"/>
  <c r="L219" i="215"/>
  <c r="G219" i="215"/>
  <c r="F219" i="215"/>
  <c r="I219" i="215" s="1"/>
  <c r="D219" i="215"/>
  <c r="C219" i="215"/>
  <c r="K219" i="215" s="1"/>
  <c r="K179" i="215" s="1"/>
  <c r="M218" i="215"/>
  <c r="N218" i="215" s="1"/>
  <c r="L218" i="215"/>
  <c r="K218" i="215"/>
  <c r="J218" i="215"/>
  <c r="G218" i="215"/>
  <c r="I218" i="215" s="1"/>
  <c r="F218" i="215"/>
  <c r="E218" i="215"/>
  <c r="D218" i="215"/>
  <c r="C218" i="215"/>
  <c r="M217" i="215"/>
  <c r="N217" i="215" s="1"/>
  <c r="L217" i="215"/>
  <c r="K217" i="215"/>
  <c r="J217" i="215"/>
  <c r="O217" i="215" s="1"/>
  <c r="H217" i="215"/>
  <c r="G217" i="215"/>
  <c r="F217" i="215"/>
  <c r="D217" i="215" s="1"/>
  <c r="E217" i="215"/>
  <c r="C217" i="215"/>
  <c r="N216" i="215"/>
  <c r="M216" i="215"/>
  <c r="M241" i="215" s="1"/>
  <c r="M248" i="215" s="1"/>
  <c r="L216" i="215"/>
  <c r="L241" i="215" s="1"/>
  <c r="K216" i="215"/>
  <c r="J216" i="215"/>
  <c r="G216" i="215"/>
  <c r="G241" i="215" s="1"/>
  <c r="G248" i="215" s="1"/>
  <c r="F216" i="215"/>
  <c r="C216" i="215"/>
  <c r="C241" i="215" s="1"/>
  <c r="C207" i="215"/>
  <c r="M205" i="215"/>
  <c r="L205" i="215"/>
  <c r="K205" i="215"/>
  <c r="J205" i="215"/>
  <c r="G205" i="215"/>
  <c r="I205" i="215" s="1"/>
  <c r="F205" i="215"/>
  <c r="D205" i="215"/>
  <c r="C205" i="215"/>
  <c r="P204" i="215"/>
  <c r="O204" i="215"/>
  <c r="C204" i="215"/>
  <c r="P203" i="215"/>
  <c r="M203" i="215"/>
  <c r="L203" i="215"/>
  <c r="K203" i="215"/>
  <c r="J203" i="215"/>
  <c r="G203" i="215"/>
  <c r="F203" i="215"/>
  <c r="D203" i="215"/>
  <c r="C203" i="215"/>
  <c r="M200" i="215"/>
  <c r="N200" i="215" s="1"/>
  <c r="L200" i="215"/>
  <c r="K200" i="215"/>
  <c r="J200" i="215"/>
  <c r="O200" i="215" s="1"/>
  <c r="G200" i="215"/>
  <c r="I200" i="215" s="1"/>
  <c r="P200" i="215" s="1"/>
  <c r="F200" i="215"/>
  <c r="E200" i="215"/>
  <c r="D200" i="215"/>
  <c r="C200" i="215"/>
  <c r="M199" i="215"/>
  <c r="L199" i="215"/>
  <c r="K199" i="215"/>
  <c r="J199" i="215"/>
  <c r="O199" i="215" s="1"/>
  <c r="H199" i="215"/>
  <c r="G199" i="215"/>
  <c r="F199" i="215"/>
  <c r="D199" i="215" s="1"/>
  <c r="E199" i="215"/>
  <c r="C199" i="215"/>
  <c r="N199" i="215" s="1"/>
  <c r="P198" i="215"/>
  <c r="N198" i="215"/>
  <c r="M198" i="215"/>
  <c r="L198" i="215"/>
  <c r="K198" i="215"/>
  <c r="J198" i="215"/>
  <c r="H198" i="215"/>
  <c r="G198" i="215"/>
  <c r="F198" i="215"/>
  <c r="C198" i="215"/>
  <c r="O198" i="215" s="1"/>
  <c r="N197" i="215"/>
  <c r="M197" i="215"/>
  <c r="L197" i="215"/>
  <c r="K197" i="215"/>
  <c r="J197" i="215"/>
  <c r="G197" i="215"/>
  <c r="F197" i="215"/>
  <c r="D197" i="215"/>
  <c r="C197" i="215"/>
  <c r="O197" i="215" s="1"/>
  <c r="M196" i="215"/>
  <c r="N196" i="215" s="1"/>
  <c r="L196" i="215"/>
  <c r="K196" i="215"/>
  <c r="J196" i="215"/>
  <c r="O196" i="215" s="1"/>
  <c r="G196" i="215"/>
  <c r="I196" i="215" s="1"/>
  <c r="F196" i="215"/>
  <c r="E196" i="215"/>
  <c r="D196" i="215"/>
  <c r="C196" i="215"/>
  <c r="M195" i="215"/>
  <c r="L195" i="215"/>
  <c r="K195" i="215"/>
  <c r="J195" i="215"/>
  <c r="O195" i="215" s="1"/>
  <c r="H195" i="215"/>
  <c r="G195" i="215"/>
  <c r="F195" i="215"/>
  <c r="D195" i="215" s="1"/>
  <c r="E195" i="215"/>
  <c r="C195" i="215"/>
  <c r="N195" i="215" s="1"/>
  <c r="N194" i="215"/>
  <c r="M194" i="215"/>
  <c r="L194" i="215"/>
  <c r="K194" i="215"/>
  <c r="J194" i="215"/>
  <c r="G194" i="215"/>
  <c r="F194" i="215"/>
  <c r="C194" i="215"/>
  <c r="O194" i="215" s="1"/>
  <c r="N193" i="215"/>
  <c r="M193" i="215"/>
  <c r="L193" i="215"/>
  <c r="K193" i="215"/>
  <c r="J193" i="215"/>
  <c r="G193" i="215"/>
  <c r="F193" i="215"/>
  <c r="D193" i="215" s="1"/>
  <c r="C193" i="215"/>
  <c r="O193" i="215" s="1"/>
  <c r="M192" i="215"/>
  <c r="N192" i="215" s="1"/>
  <c r="L192" i="215"/>
  <c r="K192" i="215"/>
  <c r="J192" i="215"/>
  <c r="G192" i="215"/>
  <c r="I192" i="215" s="1"/>
  <c r="F192" i="215"/>
  <c r="E192" i="215"/>
  <c r="D192" i="215"/>
  <c r="C192" i="215"/>
  <c r="P191" i="215"/>
  <c r="M191" i="215"/>
  <c r="L191" i="215"/>
  <c r="K191" i="215"/>
  <c r="J191" i="215"/>
  <c r="O191" i="215" s="1"/>
  <c r="H191" i="215"/>
  <c r="G191" i="215"/>
  <c r="F191" i="215"/>
  <c r="D191" i="215" s="1"/>
  <c r="E191" i="215"/>
  <c r="C191" i="215"/>
  <c r="N191" i="215" s="1"/>
  <c r="M190" i="215"/>
  <c r="L190" i="215"/>
  <c r="K190" i="215"/>
  <c r="J190" i="215"/>
  <c r="H190" i="215"/>
  <c r="G190" i="215"/>
  <c r="F190" i="215"/>
  <c r="C190" i="215"/>
  <c r="O190" i="215" s="1"/>
  <c r="N189" i="215"/>
  <c r="M189" i="215"/>
  <c r="L189" i="215"/>
  <c r="K189" i="215"/>
  <c r="J189" i="215"/>
  <c r="I189" i="215"/>
  <c r="G189" i="215"/>
  <c r="F189" i="215"/>
  <c r="D189" i="215"/>
  <c r="C189" i="215"/>
  <c r="O188" i="215"/>
  <c r="M188" i="215"/>
  <c r="N188" i="215" s="1"/>
  <c r="L188" i="215"/>
  <c r="K188" i="215"/>
  <c r="J188" i="215"/>
  <c r="G188" i="215"/>
  <c r="F188" i="215"/>
  <c r="E188" i="215"/>
  <c r="D188" i="215"/>
  <c r="C188" i="215"/>
  <c r="M185" i="215"/>
  <c r="L185" i="215"/>
  <c r="K185" i="215"/>
  <c r="J185" i="215"/>
  <c r="H185" i="215"/>
  <c r="G185" i="215"/>
  <c r="F185" i="215"/>
  <c r="C185" i="215"/>
  <c r="N184" i="215"/>
  <c r="M184" i="215"/>
  <c r="L184" i="215"/>
  <c r="K184" i="215"/>
  <c r="J184" i="215"/>
  <c r="I184" i="215"/>
  <c r="G184" i="215"/>
  <c r="F184" i="215"/>
  <c r="D184" i="215"/>
  <c r="C184" i="215"/>
  <c r="P183" i="215"/>
  <c r="M183" i="215"/>
  <c r="N183" i="215" s="1"/>
  <c r="L183" i="215"/>
  <c r="K183" i="215"/>
  <c r="J183" i="215"/>
  <c r="O183" i="215" s="1"/>
  <c r="G183" i="215"/>
  <c r="F183" i="215"/>
  <c r="E183" i="215"/>
  <c r="D183" i="215"/>
  <c r="C183" i="215"/>
  <c r="P182" i="215"/>
  <c r="M182" i="215"/>
  <c r="N182" i="215" s="1"/>
  <c r="L182" i="215"/>
  <c r="K182" i="215"/>
  <c r="J182" i="215"/>
  <c r="O182" i="215" s="1"/>
  <c r="H182" i="215"/>
  <c r="G182" i="215"/>
  <c r="F182" i="215"/>
  <c r="D182" i="215" s="1"/>
  <c r="E182" i="215"/>
  <c r="C182" i="215"/>
  <c r="P181" i="215"/>
  <c r="M181" i="215"/>
  <c r="L181" i="215"/>
  <c r="K181" i="215"/>
  <c r="J181" i="215"/>
  <c r="H181" i="215"/>
  <c r="G181" i="215"/>
  <c r="F181" i="215"/>
  <c r="C181" i="215"/>
  <c r="O181" i="215" s="1"/>
  <c r="P180" i="215"/>
  <c r="N180" i="215"/>
  <c r="M180" i="215"/>
  <c r="L180" i="215"/>
  <c r="I180" i="215"/>
  <c r="G180" i="215"/>
  <c r="F180" i="215"/>
  <c r="D180" i="215"/>
  <c r="C180" i="215"/>
  <c r="M179" i="215"/>
  <c r="N179" i="215" s="1"/>
  <c r="L179" i="215"/>
  <c r="L201" i="215" s="1"/>
  <c r="L208" i="215" s="1"/>
  <c r="G179" i="215"/>
  <c r="F179" i="215"/>
  <c r="E179" i="215"/>
  <c r="D179" i="215"/>
  <c r="C179" i="215"/>
  <c r="M178" i="215"/>
  <c r="N178" i="215" s="1"/>
  <c r="L178" i="215"/>
  <c r="K178" i="215"/>
  <c r="J178" i="215"/>
  <c r="G178" i="215"/>
  <c r="H178" i="215" s="1"/>
  <c r="F178" i="215"/>
  <c r="D178" i="215" s="1"/>
  <c r="E178" i="215"/>
  <c r="C178" i="215"/>
  <c r="M177" i="215"/>
  <c r="M186" i="215" s="1"/>
  <c r="L177" i="215"/>
  <c r="K177" i="215"/>
  <c r="J177" i="215"/>
  <c r="H177" i="215"/>
  <c r="G177" i="215"/>
  <c r="F177" i="215"/>
  <c r="C177" i="215"/>
  <c r="M176" i="215"/>
  <c r="L176" i="215"/>
  <c r="K176" i="215"/>
  <c r="J176" i="215"/>
  <c r="G176" i="215"/>
  <c r="F176" i="215"/>
  <c r="D176" i="215" s="1"/>
  <c r="C176" i="215"/>
  <c r="N176" i="215" s="1"/>
  <c r="B167" i="215"/>
  <c r="L165" i="215"/>
  <c r="I164" i="215"/>
  <c r="F164" i="215"/>
  <c r="C164" i="215"/>
  <c r="C163" i="215"/>
  <c r="O163" i="215" s="1"/>
  <c r="M162" i="215"/>
  <c r="L162" i="215"/>
  <c r="K162" i="215"/>
  <c r="J162" i="215"/>
  <c r="G162" i="215"/>
  <c r="F162" i="215"/>
  <c r="E162" i="215"/>
  <c r="D162" i="215"/>
  <c r="C162" i="215"/>
  <c r="P161" i="215"/>
  <c r="C161" i="215"/>
  <c r="P160" i="215"/>
  <c r="M160" i="215"/>
  <c r="L160" i="215"/>
  <c r="K160" i="215"/>
  <c r="J160" i="215"/>
  <c r="G160" i="215"/>
  <c r="F160" i="215"/>
  <c r="E160" i="215"/>
  <c r="D160" i="215"/>
  <c r="C160" i="215"/>
  <c r="N157" i="215"/>
  <c r="M157" i="215"/>
  <c r="L157" i="215"/>
  <c r="K157" i="215"/>
  <c r="O157" i="215" s="1"/>
  <c r="J157" i="215"/>
  <c r="H157" i="215"/>
  <c r="G157" i="215"/>
  <c r="F157" i="215"/>
  <c r="I157" i="215" s="1"/>
  <c r="P157" i="215" s="1"/>
  <c r="C157" i="215"/>
  <c r="O156" i="215"/>
  <c r="N156" i="215"/>
  <c r="M156" i="215"/>
  <c r="L156" i="215"/>
  <c r="K156" i="215"/>
  <c r="J156" i="215"/>
  <c r="G156" i="215"/>
  <c r="F156" i="215"/>
  <c r="D156" i="215" s="1"/>
  <c r="E156" i="215"/>
  <c r="C156" i="215"/>
  <c r="P155" i="215"/>
  <c r="M155" i="215"/>
  <c r="L155" i="215"/>
  <c r="K155" i="215"/>
  <c r="J155" i="215"/>
  <c r="G155" i="215"/>
  <c r="I155" i="215" s="1"/>
  <c r="F155" i="215"/>
  <c r="D155" i="215"/>
  <c r="C155" i="215"/>
  <c r="N155" i="215" s="1"/>
  <c r="M154" i="215"/>
  <c r="N154" i="215" s="1"/>
  <c r="L154" i="215"/>
  <c r="K154" i="215"/>
  <c r="J154" i="215"/>
  <c r="I154" i="215"/>
  <c r="H154" i="215"/>
  <c r="G154" i="215"/>
  <c r="F154" i="215"/>
  <c r="D154" i="215" s="1"/>
  <c r="E154" i="215"/>
  <c r="C154" i="215"/>
  <c r="O154" i="215" s="1"/>
  <c r="P154" i="215" s="1"/>
  <c r="M153" i="215"/>
  <c r="N153" i="215" s="1"/>
  <c r="L153" i="215"/>
  <c r="K153" i="215"/>
  <c r="J153" i="215"/>
  <c r="H153" i="215"/>
  <c r="G153" i="215"/>
  <c r="F153" i="215"/>
  <c r="D153" i="215" s="1"/>
  <c r="E153" i="215"/>
  <c r="C153" i="215"/>
  <c r="O153" i="215" s="1"/>
  <c r="M152" i="215"/>
  <c r="L152" i="215"/>
  <c r="K152" i="215"/>
  <c r="J152" i="215"/>
  <c r="H152" i="215"/>
  <c r="G152" i="215"/>
  <c r="F152" i="215"/>
  <c r="E152" i="215" s="1"/>
  <c r="C152" i="215"/>
  <c r="N152" i="215" s="1"/>
  <c r="N151" i="215"/>
  <c r="M151" i="215"/>
  <c r="L151" i="215"/>
  <c r="K151" i="215"/>
  <c r="J151" i="215"/>
  <c r="I151" i="215"/>
  <c r="G151" i="215"/>
  <c r="F151" i="215"/>
  <c r="D151" i="215" s="1"/>
  <c r="C151" i="215"/>
  <c r="O151" i="215" s="1"/>
  <c r="O150" i="215"/>
  <c r="M150" i="215"/>
  <c r="L150" i="215"/>
  <c r="K150" i="215"/>
  <c r="J150" i="215"/>
  <c r="G150" i="215"/>
  <c r="I150" i="215" s="1"/>
  <c r="P150" i="215" s="1"/>
  <c r="F150" i="215"/>
  <c r="E150" i="215"/>
  <c r="D150" i="215"/>
  <c r="C150" i="215"/>
  <c r="N150" i="215" s="1"/>
  <c r="M149" i="215"/>
  <c r="N149" i="215" s="1"/>
  <c r="L149" i="215"/>
  <c r="K149" i="215"/>
  <c r="J149" i="215"/>
  <c r="H149" i="215"/>
  <c r="G149" i="215"/>
  <c r="F149" i="215"/>
  <c r="D149" i="215" s="1"/>
  <c r="E149" i="215"/>
  <c r="C149" i="215"/>
  <c r="O149" i="215" s="1"/>
  <c r="M148" i="215"/>
  <c r="L148" i="215"/>
  <c r="K148" i="215"/>
  <c r="J148" i="215"/>
  <c r="H148" i="215"/>
  <c r="G148" i="215"/>
  <c r="F148" i="215"/>
  <c r="E148" i="215" s="1"/>
  <c r="C148" i="215"/>
  <c r="N148" i="215" s="1"/>
  <c r="N147" i="215"/>
  <c r="M147" i="215"/>
  <c r="L147" i="215"/>
  <c r="K147" i="215"/>
  <c r="J147" i="215"/>
  <c r="I147" i="215"/>
  <c r="G147" i="215"/>
  <c r="F147" i="215"/>
  <c r="D147" i="215" s="1"/>
  <c r="C147" i="215"/>
  <c r="O147" i="215" s="1"/>
  <c r="O146" i="215"/>
  <c r="M146" i="215"/>
  <c r="L146" i="215"/>
  <c r="K146" i="215"/>
  <c r="J146" i="215"/>
  <c r="G146" i="215"/>
  <c r="I146" i="215" s="1"/>
  <c r="P146" i="215" s="1"/>
  <c r="F146" i="215"/>
  <c r="E146" i="215"/>
  <c r="D146" i="215"/>
  <c r="C146" i="215"/>
  <c r="N146" i="215" s="1"/>
  <c r="P145" i="215"/>
  <c r="M145" i="215"/>
  <c r="N145" i="215" s="1"/>
  <c r="L145" i="215"/>
  <c r="K145" i="215"/>
  <c r="J145" i="215"/>
  <c r="H145" i="215"/>
  <c r="G145" i="215"/>
  <c r="F145" i="215"/>
  <c r="D145" i="215" s="1"/>
  <c r="E145" i="215"/>
  <c r="C145" i="215"/>
  <c r="O145" i="215" s="1"/>
  <c r="N142" i="215"/>
  <c r="M142" i="215"/>
  <c r="L142" i="215"/>
  <c r="K142" i="215"/>
  <c r="J142" i="215"/>
  <c r="O142" i="215" s="1"/>
  <c r="I142" i="215"/>
  <c r="G142" i="215"/>
  <c r="F142" i="215"/>
  <c r="D142" i="215" s="1"/>
  <c r="C142" i="215"/>
  <c r="M141" i="215"/>
  <c r="L141" i="215"/>
  <c r="O141" i="215" s="1"/>
  <c r="K141" i="215"/>
  <c r="J141" i="215"/>
  <c r="G141" i="215"/>
  <c r="I141" i="215" s="1"/>
  <c r="P141" i="215" s="1"/>
  <c r="F141" i="215"/>
  <c r="E141" i="215"/>
  <c r="D141" i="215"/>
  <c r="C141" i="215"/>
  <c r="N141" i="215" s="1"/>
  <c r="P140" i="215"/>
  <c r="M140" i="215"/>
  <c r="N140" i="215" s="1"/>
  <c r="L140" i="215"/>
  <c r="K140" i="215"/>
  <c r="J140" i="215"/>
  <c r="H140" i="215"/>
  <c r="G140" i="215"/>
  <c r="F140" i="215"/>
  <c r="D140" i="215" s="1"/>
  <c r="E140" i="215"/>
  <c r="C140" i="215"/>
  <c r="O140" i="215" s="1"/>
  <c r="P139" i="215"/>
  <c r="M139" i="215"/>
  <c r="L139" i="215"/>
  <c r="K139" i="215"/>
  <c r="J139" i="215"/>
  <c r="H139" i="215"/>
  <c r="G139" i="215"/>
  <c r="F139" i="215"/>
  <c r="E139" i="215" s="1"/>
  <c r="C139" i="215"/>
  <c r="N139" i="215" s="1"/>
  <c r="P138" i="215"/>
  <c r="N138" i="215"/>
  <c r="M138" i="215"/>
  <c r="L138" i="215"/>
  <c r="K138" i="215"/>
  <c r="J138" i="215"/>
  <c r="O138" i="215" s="1"/>
  <c r="G138" i="215"/>
  <c r="F138" i="215"/>
  <c r="D138" i="215" s="1"/>
  <c r="C138" i="215"/>
  <c r="P137" i="215"/>
  <c r="M137" i="215"/>
  <c r="N137" i="215" s="1"/>
  <c r="L137" i="215"/>
  <c r="K137" i="215"/>
  <c r="J137" i="215"/>
  <c r="O137" i="215" s="1"/>
  <c r="G137" i="215"/>
  <c r="I137" i="215" s="1"/>
  <c r="F137" i="215"/>
  <c r="E137" i="215"/>
  <c r="D137" i="215"/>
  <c r="C137" i="215"/>
  <c r="M136" i="215"/>
  <c r="N136" i="215" s="1"/>
  <c r="L136" i="215"/>
  <c r="K136" i="215"/>
  <c r="J136" i="215"/>
  <c r="H136" i="215"/>
  <c r="G136" i="215"/>
  <c r="F136" i="215"/>
  <c r="D136" i="215" s="1"/>
  <c r="E136" i="215"/>
  <c r="C136" i="215"/>
  <c r="O136" i="215" s="1"/>
  <c r="P135" i="215"/>
  <c r="M135" i="215"/>
  <c r="L135" i="215"/>
  <c r="L143" i="215" s="1"/>
  <c r="K135" i="215"/>
  <c r="J135" i="215"/>
  <c r="H135" i="215"/>
  <c r="G135" i="215"/>
  <c r="F135" i="215"/>
  <c r="E135" i="215" s="1"/>
  <c r="C135" i="215"/>
  <c r="N135" i="215" s="1"/>
  <c r="P134" i="215"/>
  <c r="M134" i="215"/>
  <c r="L134" i="215"/>
  <c r="K134" i="215"/>
  <c r="J134" i="215"/>
  <c r="I134" i="215"/>
  <c r="H134" i="215"/>
  <c r="G134" i="215"/>
  <c r="F134" i="215"/>
  <c r="D134" i="215" s="1"/>
  <c r="E134" i="215"/>
  <c r="C134" i="215"/>
  <c r="O134" i="215" s="1"/>
  <c r="M133" i="215"/>
  <c r="M158" i="215" s="1"/>
  <c r="M165" i="215" s="1"/>
  <c r="L133" i="215"/>
  <c r="K133" i="215"/>
  <c r="K158" i="215" s="1"/>
  <c r="K165" i="215" s="1"/>
  <c r="J133" i="215"/>
  <c r="J158" i="215" s="1"/>
  <c r="J165" i="215" s="1"/>
  <c r="I133" i="215"/>
  <c r="G133" i="215"/>
  <c r="G143" i="215" s="1"/>
  <c r="F133" i="215"/>
  <c r="F158" i="215" s="1"/>
  <c r="C133" i="215"/>
  <c r="O133" i="215" s="1"/>
  <c r="I124" i="215"/>
  <c r="C124" i="215"/>
  <c r="F124" i="215" s="1"/>
  <c r="F125" i="215" s="1"/>
  <c r="M123" i="215"/>
  <c r="L123" i="215"/>
  <c r="K123" i="215"/>
  <c r="J123" i="215"/>
  <c r="F123" i="215"/>
  <c r="D123" i="215" s="1"/>
  <c r="E123" i="215"/>
  <c r="C123" i="215"/>
  <c r="O123" i="215" s="1"/>
  <c r="M122" i="215"/>
  <c r="L122" i="215"/>
  <c r="K122" i="215"/>
  <c r="J122" i="215"/>
  <c r="G122" i="215"/>
  <c r="F122" i="215"/>
  <c r="I122" i="215" s="1"/>
  <c r="D122" i="215"/>
  <c r="C122" i="215"/>
  <c r="O122" i="215" s="1"/>
  <c r="O121" i="215"/>
  <c r="F121" i="215"/>
  <c r="H121" i="215" s="1"/>
  <c r="E121" i="215"/>
  <c r="C121" i="215"/>
  <c r="M120" i="215"/>
  <c r="L120" i="215"/>
  <c r="K120" i="215"/>
  <c r="J120" i="215"/>
  <c r="H120" i="215"/>
  <c r="G120" i="215"/>
  <c r="F120" i="215"/>
  <c r="E120" i="215" s="1"/>
  <c r="D120" i="215"/>
  <c r="C120" i="215"/>
  <c r="N120" i="215" s="1"/>
  <c r="M117" i="215"/>
  <c r="N117" i="215" s="1"/>
  <c r="L117" i="215"/>
  <c r="J117" i="215"/>
  <c r="G117" i="215"/>
  <c r="H117" i="215" s="1"/>
  <c r="F117" i="215"/>
  <c r="I117" i="215" s="1"/>
  <c r="E117" i="215"/>
  <c r="D117" i="215"/>
  <c r="C117" i="215"/>
  <c r="M116" i="215"/>
  <c r="N116" i="215" s="1"/>
  <c r="L116" i="215"/>
  <c r="K116" i="215"/>
  <c r="J116" i="215"/>
  <c r="H116" i="215"/>
  <c r="G116" i="215"/>
  <c r="F116" i="215"/>
  <c r="D116" i="215" s="1"/>
  <c r="E116" i="215"/>
  <c r="C116" i="215"/>
  <c r="O116" i="215" s="1"/>
  <c r="M115" i="215"/>
  <c r="L115" i="215"/>
  <c r="K115" i="215"/>
  <c r="J115" i="215"/>
  <c r="H115" i="215"/>
  <c r="G115" i="215"/>
  <c r="F115" i="215"/>
  <c r="E115" i="215" s="1"/>
  <c r="C115" i="215"/>
  <c r="N115" i="215" s="1"/>
  <c r="N114" i="215"/>
  <c r="M114" i="215"/>
  <c r="L114" i="215"/>
  <c r="K114" i="215"/>
  <c r="J114" i="215"/>
  <c r="G114" i="215"/>
  <c r="F114" i="215"/>
  <c r="D114" i="215" s="1"/>
  <c r="C114" i="215"/>
  <c r="O114" i="215" s="1"/>
  <c r="M113" i="215"/>
  <c r="N113" i="215" s="1"/>
  <c r="L113" i="215"/>
  <c r="O113" i="215" s="1"/>
  <c r="K113" i="215"/>
  <c r="J113" i="215"/>
  <c r="G113" i="215"/>
  <c r="I113" i="215" s="1"/>
  <c r="F113" i="215"/>
  <c r="E113" i="215"/>
  <c r="D113" i="215"/>
  <c r="C113" i="215"/>
  <c r="M112" i="215"/>
  <c r="N112" i="215" s="1"/>
  <c r="L112" i="215"/>
  <c r="K112" i="215"/>
  <c r="J112" i="215"/>
  <c r="H112" i="215"/>
  <c r="G112" i="215"/>
  <c r="F112" i="215"/>
  <c r="D112" i="215" s="1"/>
  <c r="E112" i="215"/>
  <c r="C112" i="215"/>
  <c r="O112" i="215" s="1"/>
  <c r="M111" i="215"/>
  <c r="L111" i="215"/>
  <c r="K111" i="215"/>
  <c r="J111" i="215"/>
  <c r="H111" i="215"/>
  <c r="G111" i="215"/>
  <c r="F111" i="215"/>
  <c r="E111" i="215" s="1"/>
  <c r="C111" i="215"/>
  <c r="N111" i="215" s="1"/>
  <c r="N110" i="215"/>
  <c r="M110" i="215"/>
  <c r="L110" i="215"/>
  <c r="K110" i="215"/>
  <c r="J110" i="215"/>
  <c r="G110" i="215"/>
  <c r="F110" i="215"/>
  <c r="D110" i="215" s="1"/>
  <c r="C110" i="215"/>
  <c r="O110" i="215" s="1"/>
  <c r="M109" i="215"/>
  <c r="N109" i="215" s="1"/>
  <c r="L109" i="215"/>
  <c r="O109" i="215" s="1"/>
  <c r="K109" i="215"/>
  <c r="J109" i="215"/>
  <c r="G109" i="215"/>
  <c r="I109" i="215" s="1"/>
  <c r="P109" i="215" s="1"/>
  <c r="F109" i="215"/>
  <c r="E109" i="215"/>
  <c r="D109" i="215"/>
  <c r="C109" i="215"/>
  <c r="G123" i="215" s="1"/>
  <c r="M108" i="215"/>
  <c r="N108" i="215" s="1"/>
  <c r="L108" i="215"/>
  <c r="K108" i="215"/>
  <c r="J108" i="215"/>
  <c r="H108" i="215"/>
  <c r="G108" i="215"/>
  <c r="F108" i="215"/>
  <c r="D108" i="215" s="1"/>
  <c r="E108" i="215"/>
  <c r="C108" i="215"/>
  <c r="O108" i="215" s="1"/>
  <c r="M107" i="215"/>
  <c r="L107" i="215"/>
  <c r="K107" i="215"/>
  <c r="J107" i="215"/>
  <c r="H107" i="215"/>
  <c r="G107" i="215"/>
  <c r="F107" i="215"/>
  <c r="E107" i="215" s="1"/>
  <c r="C107" i="215"/>
  <c r="N107" i="215" s="1"/>
  <c r="N106" i="215"/>
  <c r="M106" i="215"/>
  <c r="L106" i="215"/>
  <c r="K106" i="215"/>
  <c r="J106" i="215"/>
  <c r="O106" i="215" s="1"/>
  <c r="G106" i="215"/>
  <c r="F106" i="215"/>
  <c r="D106" i="215" s="1"/>
  <c r="C106" i="215"/>
  <c r="P105" i="215"/>
  <c r="M105" i="215"/>
  <c r="N105" i="215" s="1"/>
  <c r="L105" i="215"/>
  <c r="O105" i="215" s="1"/>
  <c r="K105" i="215"/>
  <c r="J105" i="215"/>
  <c r="G105" i="215"/>
  <c r="I105" i="215" s="1"/>
  <c r="F105" i="215"/>
  <c r="E105" i="215"/>
  <c r="D105" i="215"/>
  <c r="C105" i="215"/>
  <c r="M102" i="215"/>
  <c r="L102" i="215"/>
  <c r="K102" i="215"/>
  <c r="J102" i="215"/>
  <c r="H102" i="215"/>
  <c r="G102" i="215"/>
  <c r="F102" i="215"/>
  <c r="E102" i="215" s="1"/>
  <c r="C102" i="215"/>
  <c r="N102" i="215" s="1"/>
  <c r="N101" i="215"/>
  <c r="M101" i="215"/>
  <c r="L101" i="215"/>
  <c r="K101" i="215"/>
  <c r="J101" i="215"/>
  <c r="O101" i="215" s="1"/>
  <c r="G101" i="215"/>
  <c r="F101" i="215"/>
  <c r="D101" i="215" s="1"/>
  <c r="C101" i="215"/>
  <c r="M100" i="215"/>
  <c r="L100" i="215"/>
  <c r="O100" i="215" s="1"/>
  <c r="K100" i="215"/>
  <c r="J100" i="215"/>
  <c r="G100" i="215"/>
  <c r="I100" i="215" s="1"/>
  <c r="P100" i="215" s="1"/>
  <c r="F100" i="215"/>
  <c r="E100" i="215"/>
  <c r="D100" i="215"/>
  <c r="C100" i="215"/>
  <c r="N100" i="215" s="1"/>
  <c r="P99" i="215"/>
  <c r="M99" i="215"/>
  <c r="N99" i="215" s="1"/>
  <c r="L99" i="215"/>
  <c r="K99" i="215"/>
  <c r="J99" i="215"/>
  <c r="H99" i="215"/>
  <c r="G99" i="215"/>
  <c r="F99" i="215"/>
  <c r="D99" i="215" s="1"/>
  <c r="E99" i="215"/>
  <c r="C99" i="215"/>
  <c r="O99" i="215" s="1"/>
  <c r="M98" i="215"/>
  <c r="L98" i="215"/>
  <c r="K98" i="215"/>
  <c r="J98" i="215"/>
  <c r="H98" i="215"/>
  <c r="G98" i="215"/>
  <c r="F98" i="215"/>
  <c r="E98" i="215" s="1"/>
  <c r="C98" i="215"/>
  <c r="N98" i="215" s="1"/>
  <c r="N97" i="215"/>
  <c r="M97" i="215"/>
  <c r="L97" i="215"/>
  <c r="K97" i="215"/>
  <c r="J97" i="215"/>
  <c r="O97" i="215" s="1"/>
  <c r="G97" i="215"/>
  <c r="F97" i="215"/>
  <c r="D97" i="215" s="1"/>
  <c r="C97" i="215"/>
  <c r="M96" i="215"/>
  <c r="L96" i="215"/>
  <c r="K96" i="215"/>
  <c r="J96" i="215"/>
  <c r="O96" i="215" s="1"/>
  <c r="G96" i="215"/>
  <c r="I96" i="215" s="1"/>
  <c r="F96" i="215"/>
  <c r="E96" i="215"/>
  <c r="D96" i="215"/>
  <c r="C96" i="215"/>
  <c r="N96" i="215" s="1"/>
  <c r="P95" i="215"/>
  <c r="M95" i="215"/>
  <c r="N95" i="215" s="1"/>
  <c r="L95" i="215"/>
  <c r="K95" i="215"/>
  <c r="J95" i="215"/>
  <c r="J103" i="215" s="1"/>
  <c r="H95" i="215"/>
  <c r="G95" i="215"/>
  <c r="F95" i="215"/>
  <c r="D95" i="215" s="1"/>
  <c r="E95" i="215"/>
  <c r="C95" i="215"/>
  <c r="O95" i="215" s="1"/>
  <c r="P94" i="215"/>
  <c r="M94" i="215"/>
  <c r="L94" i="215"/>
  <c r="K94" i="215"/>
  <c r="J94" i="215"/>
  <c r="H94" i="215"/>
  <c r="G94" i="215"/>
  <c r="F94" i="215"/>
  <c r="E94" i="215" s="1"/>
  <c r="C94" i="215"/>
  <c r="N94" i="215" s="1"/>
  <c r="N93" i="215"/>
  <c r="M93" i="215"/>
  <c r="M118" i="215" s="1"/>
  <c r="M125" i="215" s="1"/>
  <c r="L93" i="215"/>
  <c r="L118" i="215" s="1"/>
  <c r="L125" i="215" s="1"/>
  <c r="K93" i="215"/>
  <c r="J93" i="215"/>
  <c r="J118" i="215" s="1"/>
  <c r="J125" i="215" s="1"/>
  <c r="G93" i="215"/>
  <c r="G103" i="215" s="1"/>
  <c r="G118" i="215" s="1"/>
  <c r="G125" i="215" s="1"/>
  <c r="F93" i="215"/>
  <c r="D93" i="215" s="1"/>
  <c r="C93" i="215"/>
  <c r="C118" i="215" s="1"/>
  <c r="B83" i="215"/>
  <c r="L82" i="215"/>
  <c r="C81" i="215"/>
  <c r="F81" i="215" s="1"/>
  <c r="P79" i="215"/>
  <c r="O79" i="215"/>
  <c r="N79" i="215"/>
  <c r="M79" i="215"/>
  <c r="L79" i="215"/>
  <c r="K79" i="215"/>
  <c r="J79" i="215"/>
  <c r="I79" i="215"/>
  <c r="G79" i="215"/>
  <c r="F79" i="215"/>
  <c r="H79" i="215" s="1"/>
  <c r="E79" i="215"/>
  <c r="D79" i="215"/>
  <c r="C79" i="215"/>
  <c r="P78" i="215"/>
  <c r="O78" i="215"/>
  <c r="C78" i="215"/>
  <c r="P77" i="215"/>
  <c r="N77" i="215"/>
  <c r="M77" i="215"/>
  <c r="L77" i="215"/>
  <c r="K77" i="215"/>
  <c r="J77" i="215"/>
  <c r="H77" i="215"/>
  <c r="G77" i="215"/>
  <c r="F77" i="215"/>
  <c r="I77" i="215" s="1"/>
  <c r="E77" i="215"/>
  <c r="D77" i="215"/>
  <c r="C77" i="215"/>
  <c r="O77" i="215" s="1"/>
  <c r="N74" i="215"/>
  <c r="M74" i="215"/>
  <c r="L74" i="215"/>
  <c r="K74" i="215"/>
  <c r="J74" i="215"/>
  <c r="O74" i="215" s="1"/>
  <c r="G74" i="215"/>
  <c r="F74" i="215"/>
  <c r="D74" i="215" s="1"/>
  <c r="C74" i="215"/>
  <c r="P73" i="215"/>
  <c r="M73" i="215"/>
  <c r="L73" i="215"/>
  <c r="K73" i="215"/>
  <c r="J73" i="215"/>
  <c r="O73" i="215" s="1"/>
  <c r="G73" i="215"/>
  <c r="I73" i="215" s="1"/>
  <c r="F73" i="215"/>
  <c r="E73" i="215"/>
  <c r="D73" i="215"/>
  <c r="C73" i="215"/>
  <c r="N73" i="215" s="1"/>
  <c r="P72" i="215"/>
  <c r="N72" i="215"/>
  <c r="M72" i="215"/>
  <c r="L72" i="215"/>
  <c r="K72" i="215"/>
  <c r="J72" i="215"/>
  <c r="H72" i="215"/>
  <c r="G72" i="215"/>
  <c r="F72" i="215"/>
  <c r="D72" i="215" s="1"/>
  <c r="E72" i="215"/>
  <c r="C72" i="215"/>
  <c r="O72" i="215" s="1"/>
  <c r="P71" i="215"/>
  <c r="N71" i="215"/>
  <c r="M71" i="215"/>
  <c r="L71" i="215"/>
  <c r="K71" i="215"/>
  <c r="J71" i="215"/>
  <c r="H71" i="215"/>
  <c r="G71" i="215"/>
  <c r="F71" i="215"/>
  <c r="E71" i="215" s="1"/>
  <c r="C71" i="215"/>
  <c r="O71" i="215" s="1"/>
  <c r="N70" i="215"/>
  <c r="M70" i="215"/>
  <c r="L70" i="215"/>
  <c r="K70" i="215"/>
  <c r="J70" i="215"/>
  <c r="O70" i="215" s="1"/>
  <c r="G70" i="215"/>
  <c r="F70" i="215"/>
  <c r="D70" i="215" s="1"/>
  <c r="C70" i="215"/>
  <c r="P69" i="215"/>
  <c r="M69" i="215"/>
  <c r="L69" i="215"/>
  <c r="K69" i="215"/>
  <c r="J69" i="215"/>
  <c r="O69" i="215" s="1"/>
  <c r="G69" i="215"/>
  <c r="I69" i="215" s="1"/>
  <c r="F69" i="215"/>
  <c r="E69" i="215"/>
  <c r="D69" i="215"/>
  <c r="C69" i="215"/>
  <c r="N69" i="215" s="1"/>
  <c r="P68" i="215"/>
  <c r="N68" i="215"/>
  <c r="M68" i="215"/>
  <c r="L68" i="215"/>
  <c r="K68" i="215"/>
  <c r="J68" i="215"/>
  <c r="H68" i="215"/>
  <c r="G68" i="215"/>
  <c r="F68" i="215"/>
  <c r="D68" i="215" s="1"/>
  <c r="E68" i="215"/>
  <c r="C68" i="215"/>
  <c r="O68" i="215" s="1"/>
  <c r="P67" i="215"/>
  <c r="N67" i="215"/>
  <c r="M67" i="215"/>
  <c r="L67" i="215"/>
  <c r="K67" i="215"/>
  <c r="J67" i="215"/>
  <c r="H67" i="215"/>
  <c r="G67" i="215"/>
  <c r="F67" i="215"/>
  <c r="E67" i="215" s="1"/>
  <c r="C67" i="215"/>
  <c r="O67" i="215" s="1"/>
  <c r="N66" i="215"/>
  <c r="M66" i="215"/>
  <c r="L66" i="215"/>
  <c r="K66" i="215"/>
  <c r="J66" i="215"/>
  <c r="O66" i="215" s="1"/>
  <c r="G66" i="215"/>
  <c r="F66" i="215"/>
  <c r="D66" i="215" s="1"/>
  <c r="C66" i="215"/>
  <c r="P65" i="215"/>
  <c r="M65" i="215"/>
  <c r="L65" i="215"/>
  <c r="K65" i="215"/>
  <c r="J65" i="215"/>
  <c r="O65" i="215" s="1"/>
  <c r="G65" i="215"/>
  <c r="I65" i="215" s="1"/>
  <c r="F65" i="215"/>
  <c r="E65" i="215"/>
  <c r="D65" i="215"/>
  <c r="C65" i="215"/>
  <c r="N65" i="215" s="1"/>
  <c r="P64" i="215"/>
  <c r="N64" i="215"/>
  <c r="M64" i="215"/>
  <c r="L64" i="215"/>
  <c r="K64" i="215"/>
  <c r="J64" i="215"/>
  <c r="H64" i="215"/>
  <c r="G64" i="215"/>
  <c r="F64" i="215"/>
  <c r="D64" i="215" s="1"/>
  <c r="E64" i="215"/>
  <c r="C64" i="215"/>
  <c r="O64" i="215" s="1"/>
  <c r="P63" i="215"/>
  <c r="N63" i="215"/>
  <c r="M63" i="215"/>
  <c r="L63" i="215"/>
  <c r="K63" i="215"/>
  <c r="J63" i="215"/>
  <c r="H63" i="215"/>
  <c r="G63" i="215"/>
  <c r="F63" i="215"/>
  <c r="E63" i="215" s="1"/>
  <c r="C63" i="215"/>
  <c r="O63" i="215" s="1"/>
  <c r="P62" i="215"/>
  <c r="N62" i="215"/>
  <c r="M62" i="215"/>
  <c r="L62" i="215"/>
  <c r="K62" i="215"/>
  <c r="J62" i="215"/>
  <c r="O62" i="215" s="1"/>
  <c r="G62" i="215"/>
  <c r="F62" i="215"/>
  <c r="I62" i="215" s="1"/>
  <c r="C62" i="215"/>
  <c r="P59" i="215"/>
  <c r="N59" i="215"/>
  <c r="M59" i="215"/>
  <c r="L59" i="215"/>
  <c r="K59" i="215"/>
  <c r="J59" i="215"/>
  <c r="H59" i="215"/>
  <c r="G59" i="215"/>
  <c r="F59" i="215"/>
  <c r="D59" i="215" s="1"/>
  <c r="E59" i="215"/>
  <c r="C59" i="215"/>
  <c r="O59" i="215" s="1"/>
  <c r="P58" i="215"/>
  <c r="N58" i="215"/>
  <c r="M58" i="215"/>
  <c r="L58" i="215"/>
  <c r="K58" i="215"/>
  <c r="J58" i="215"/>
  <c r="H58" i="215"/>
  <c r="G58" i="215"/>
  <c r="F58" i="215"/>
  <c r="E58" i="215" s="1"/>
  <c r="C58" i="215"/>
  <c r="O58" i="215" s="1"/>
  <c r="P57" i="215"/>
  <c r="N57" i="215"/>
  <c r="M57" i="215"/>
  <c r="L57" i="215"/>
  <c r="K57" i="215"/>
  <c r="J57" i="215"/>
  <c r="O57" i="215" s="1"/>
  <c r="G57" i="215"/>
  <c r="F57" i="215"/>
  <c r="D57" i="215" s="1"/>
  <c r="C57" i="215"/>
  <c r="P56" i="215"/>
  <c r="N56" i="215"/>
  <c r="M56" i="215"/>
  <c r="L56" i="215"/>
  <c r="K56" i="215"/>
  <c r="J56" i="215"/>
  <c r="O56" i="215" s="1"/>
  <c r="H56" i="215"/>
  <c r="G56" i="215"/>
  <c r="F56" i="215"/>
  <c r="I56" i="215" s="1"/>
  <c r="E56" i="215"/>
  <c r="D56" i="215"/>
  <c r="C56" i="215"/>
  <c r="P55" i="215"/>
  <c r="N55" i="215"/>
  <c r="M55" i="215"/>
  <c r="L55" i="215"/>
  <c r="K55" i="215"/>
  <c r="J55" i="215"/>
  <c r="H55" i="215"/>
  <c r="G55" i="215"/>
  <c r="F55" i="215"/>
  <c r="E55" i="215" s="1"/>
  <c r="C55" i="215"/>
  <c r="O55" i="215" s="1"/>
  <c r="P54" i="215"/>
  <c r="N54" i="215"/>
  <c r="M54" i="215"/>
  <c r="L54" i="215"/>
  <c r="K54" i="215"/>
  <c r="J54" i="215"/>
  <c r="H54" i="215"/>
  <c r="G54" i="215"/>
  <c r="F54" i="215"/>
  <c r="E54" i="215" s="1"/>
  <c r="C54" i="215"/>
  <c r="O54" i="215" s="1"/>
  <c r="N53" i="215"/>
  <c r="M53" i="215"/>
  <c r="L53" i="215"/>
  <c r="K53" i="215"/>
  <c r="J53" i="215"/>
  <c r="O53" i="215" s="1"/>
  <c r="G53" i="215"/>
  <c r="F53" i="215"/>
  <c r="D53" i="215" s="1"/>
  <c r="C53" i="215"/>
  <c r="P52" i="215"/>
  <c r="N52" i="215"/>
  <c r="M52" i="215"/>
  <c r="L52" i="215"/>
  <c r="L60" i="215" s="1"/>
  <c r="K52" i="215"/>
  <c r="J52" i="215"/>
  <c r="O52" i="215" s="1"/>
  <c r="H52" i="215"/>
  <c r="G52" i="215"/>
  <c r="G60" i="215" s="1"/>
  <c r="F52" i="215"/>
  <c r="I52" i="215" s="1"/>
  <c r="E52" i="215"/>
  <c r="D52" i="215"/>
  <c r="C52" i="215"/>
  <c r="P51" i="215"/>
  <c r="N51" i="215"/>
  <c r="M51" i="215"/>
  <c r="M60" i="215" s="1"/>
  <c r="L51" i="215"/>
  <c r="K51" i="215"/>
  <c r="J51" i="215"/>
  <c r="J60" i="215" s="1"/>
  <c r="H51" i="215"/>
  <c r="G51" i="215"/>
  <c r="F51" i="215"/>
  <c r="E51" i="215" s="1"/>
  <c r="C51" i="215"/>
  <c r="O51" i="215" s="1"/>
  <c r="P50" i="215"/>
  <c r="N50" i="215"/>
  <c r="N60" i="215" s="1"/>
  <c r="M50" i="215"/>
  <c r="M75" i="215" s="1"/>
  <c r="L50" i="215"/>
  <c r="L75" i="215" s="1"/>
  <c r="K50" i="215"/>
  <c r="K75" i="215" s="1"/>
  <c r="K82" i="215" s="1"/>
  <c r="J50" i="215"/>
  <c r="J75" i="215" s="1"/>
  <c r="H50" i="215"/>
  <c r="G50" i="215"/>
  <c r="G75" i="215" s="1"/>
  <c r="G82" i="215" s="1"/>
  <c r="F50" i="215"/>
  <c r="F75" i="215" s="1"/>
  <c r="C50" i="215"/>
  <c r="C75" i="215" s="1"/>
  <c r="J47" i="215"/>
  <c r="L42" i="215"/>
  <c r="K42" i="215"/>
  <c r="J42" i="215"/>
  <c r="F42" i="215"/>
  <c r="P39" i="215"/>
  <c r="O39" i="215"/>
  <c r="M39" i="215"/>
  <c r="L39" i="215"/>
  <c r="K39" i="215"/>
  <c r="J39" i="215"/>
  <c r="G39" i="215"/>
  <c r="I39" i="215" s="1"/>
  <c r="F39" i="215"/>
  <c r="E39" i="215"/>
  <c r="D39" i="215"/>
  <c r="C39" i="215"/>
  <c r="N39" i="215" s="1"/>
  <c r="P38" i="215"/>
  <c r="C38" i="215"/>
  <c r="O38" i="215" s="1"/>
  <c r="P37" i="215"/>
  <c r="N37" i="215"/>
  <c r="M37" i="215"/>
  <c r="L37" i="215"/>
  <c r="K37" i="215"/>
  <c r="J37" i="215"/>
  <c r="H37" i="215"/>
  <c r="G37" i="215"/>
  <c r="F37" i="215"/>
  <c r="E37" i="215" s="1"/>
  <c r="D37" i="215"/>
  <c r="C37" i="215"/>
  <c r="O37" i="215" s="1"/>
  <c r="M34" i="215"/>
  <c r="N34" i="215" s="1"/>
  <c r="L34" i="215"/>
  <c r="K34" i="215"/>
  <c r="J34" i="215"/>
  <c r="O34" i="215" s="1"/>
  <c r="G34" i="215"/>
  <c r="H34" i="215" s="1"/>
  <c r="F34" i="215"/>
  <c r="I34" i="215" s="1"/>
  <c r="P34" i="215" s="1"/>
  <c r="E34" i="215"/>
  <c r="D34" i="215"/>
  <c r="C34" i="215"/>
  <c r="M33" i="215"/>
  <c r="N33" i="215" s="1"/>
  <c r="L33" i="215"/>
  <c r="K33" i="215"/>
  <c r="J33" i="215"/>
  <c r="H33" i="215"/>
  <c r="G33" i="215"/>
  <c r="F33" i="215"/>
  <c r="D33" i="215" s="1"/>
  <c r="E33" i="215"/>
  <c r="C33" i="215"/>
  <c r="O33" i="215" s="1"/>
  <c r="P32" i="215"/>
  <c r="N32" i="215"/>
  <c r="M32" i="215"/>
  <c r="L32" i="215"/>
  <c r="K32" i="215"/>
  <c r="J32" i="215"/>
  <c r="H32" i="215"/>
  <c r="G32" i="215"/>
  <c r="F32" i="215"/>
  <c r="E32" i="215" s="1"/>
  <c r="C32" i="215"/>
  <c r="O32" i="215" s="1"/>
  <c r="N31" i="215"/>
  <c r="M31" i="215"/>
  <c r="L31" i="215"/>
  <c r="K31" i="215"/>
  <c r="J31" i="215"/>
  <c r="O31" i="215" s="1"/>
  <c r="G31" i="215"/>
  <c r="F31" i="215"/>
  <c r="I31" i="215" s="1"/>
  <c r="C31" i="215"/>
  <c r="M30" i="215"/>
  <c r="N30" i="215" s="1"/>
  <c r="L30" i="215"/>
  <c r="K30" i="215"/>
  <c r="J30" i="215"/>
  <c r="O30" i="215" s="1"/>
  <c r="G30" i="215"/>
  <c r="H30" i="215" s="1"/>
  <c r="F30" i="215"/>
  <c r="I30" i="215" s="1"/>
  <c r="P30" i="215" s="1"/>
  <c r="E30" i="215"/>
  <c r="D30" i="215"/>
  <c r="C30" i="215"/>
  <c r="P29" i="215"/>
  <c r="N29" i="215"/>
  <c r="M29" i="215"/>
  <c r="L29" i="215"/>
  <c r="K29" i="215"/>
  <c r="J29" i="215"/>
  <c r="H29" i="215"/>
  <c r="G29" i="215"/>
  <c r="F29" i="215"/>
  <c r="D29" i="215" s="1"/>
  <c r="E29" i="215"/>
  <c r="C29" i="215"/>
  <c r="O29" i="215" s="1"/>
  <c r="P28" i="215"/>
  <c r="N28" i="215"/>
  <c r="M28" i="215"/>
  <c r="L28" i="215"/>
  <c r="K28" i="215"/>
  <c r="J28" i="215"/>
  <c r="H28" i="215"/>
  <c r="G28" i="215"/>
  <c r="F28" i="215"/>
  <c r="E28" i="215" s="1"/>
  <c r="C28" i="215"/>
  <c r="O28" i="215" s="1"/>
  <c r="N27" i="215"/>
  <c r="M27" i="215"/>
  <c r="L27" i="215"/>
  <c r="K27" i="215"/>
  <c r="J27" i="215"/>
  <c r="O27" i="215" s="1"/>
  <c r="G27" i="215"/>
  <c r="F27" i="215"/>
  <c r="D27" i="215" s="1"/>
  <c r="C27" i="215"/>
  <c r="M26" i="215"/>
  <c r="N26" i="215" s="1"/>
  <c r="L26" i="215"/>
  <c r="K26" i="215"/>
  <c r="J26" i="215"/>
  <c r="O26" i="215" s="1"/>
  <c r="G26" i="215"/>
  <c r="H26" i="215" s="1"/>
  <c r="F26" i="215"/>
  <c r="I26" i="215" s="1"/>
  <c r="E26" i="215"/>
  <c r="D26" i="215"/>
  <c r="C26" i="215"/>
  <c r="M25" i="215"/>
  <c r="L25" i="215"/>
  <c r="K25" i="215"/>
  <c r="J25" i="215"/>
  <c r="H25" i="215"/>
  <c r="G25" i="215"/>
  <c r="F25" i="215"/>
  <c r="D25" i="215" s="1"/>
  <c r="E25" i="215"/>
  <c r="C25" i="215"/>
  <c r="O25" i="215" s="1"/>
  <c r="P24" i="215"/>
  <c r="M24" i="215"/>
  <c r="L24" i="215"/>
  <c r="K24" i="215"/>
  <c r="J24" i="215"/>
  <c r="H24" i="215"/>
  <c r="G24" i="215"/>
  <c r="F24" i="215"/>
  <c r="E24" i="215" s="1"/>
  <c r="C24" i="215"/>
  <c r="O24" i="215" s="1"/>
  <c r="N23" i="215"/>
  <c r="M23" i="215"/>
  <c r="L23" i="215"/>
  <c r="K23" i="215"/>
  <c r="J23" i="215"/>
  <c r="O23" i="215" s="1"/>
  <c r="G23" i="215"/>
  <c r="F23" i="215"/>
  <c r="D23" i="215" s="1"/>
  <c r="C23" i="215"/>
  <c r="M22" i="215"/>
  <c r="N22" i="215" s="1"/>
  <c r="L22" i="215"/>
  <c r="K22" i="215"/>
  <c r="J22" i="215"/>
  <c r="O22" i="215" s="1"/>
  <c r="G22" i="215"/>
  <c r="H22" i="215" s="1"/>
  <c r="F22" i="215"/>
  <c r="I22" i="215" s="1"/>
  <c r="E22" i="215"/>
  <c r="D22" i="215"/>
  <c r="C22" i="215"/>
  <c r="N19" i="215"/>
  <c r="M19" i="215"/>
  <c r="L19" i="215"/>
  <c r="K19" i="215"/>
  <c r="J19" i="215"/>
  <c r="H19" i="215"/>
  <c r="G19" i="215"/>
  <c r="F19" i="215"/>
  <c r="E19" i="215" s="1"/>
  <c r="C19" i="215"/>
  <c r="O19" i="215" s="1"/>
  <c r="N18" i="215"/>
  <c r="M18" i="215"/>
  <c r="L18" i="215"/>
  <c r="O18" i="215" s="1"/>
  <c r="K18" i="215"/>
  <c r="J18" i="215"/>
  <c r="G18" i="215"/>
  <c r="F18" i="215"/>
  <c r="I18" i="215" s="1"/>
  <c r="C18" i="215"/>
  <c r="P17" i="215"/>
  <c r="M17" i="215"/>
  <c r="N17" i="215" s="1"/>
  <c r="L17" i="215"/>
  <c r="K17" i="215"/>
  <c r="J17" i="215"/>
  <c r="O17" i="215" s="1"/>
  <c r="G17" i="215"/>
  <c r="H17" i="215" s="1"/>
  <c r="F17" i="215"/>
  <c r="I17" i="215" s="1"/>
  <c r="E17" i="215"/>
  <c r="D17" i="215"/>
  <c r="C17" i="215"/>
  <c r="P16" i="215"/>
  <c r="M16" i="215"/>
  <c r="L16" i="215"/>
  <c r="K16" i="215"/>
  <c r="J16" i="215"/>
  <c r="H16" i="215"/>
  <c r="G16" i="215"/>
  <c r="F16" i="215"/>
  <c r="D16" i="215" s="1"/>
  <c r="E16" i="215"/>
  <c r="C16" i="215"/>
  <c r="O16" i="215" s="1"/>
  <c r="P15" i="215"/>
  <c r="N15" i="215"/>
  <c r="M15" i="215"/>
  <c r="L15" i="215"/>
  <c r="K15" i="215"/>
  <c r="J15" i="215"/>
  <c r="H15" i="215"/>
  <c r="G15" i="215"/>
  <c r="F15" i="215"/>
  <c r="E15" i="215" s="1"/>
  <c r="C15" i="215"/>
  <c r="O15" i="215" s="1"/>
  <c r="P14" i="215"/>
  <c r="N14" i="215"/>
  <c r="M14" i="215"/>
  <c r="L14" i="215"/>
  <c r="K14" i="215"/>
  <c r="J14" i="215"/>
  <c r="O14" i="215" s="1"/>
  <c r="G14" i="215"/>
  <c r="F14" i="215"/>
  <c r="I14" i="215" s="1"/>
  <c r="C14" i="215"/>
  <c r="M13" i="215"/>
  <c r="N13" i="215" s="1"/>
  <c r="L13" i="215"/>
  <c r="K13" i="215"/>
  <c r="J13" i="215"/>
  <c r="O13" i="215" s="1"/>
  <c r="G13" i="215"/>
  <c r="H13" i="215" s="1"/>
  <c r="F13" i="215"/>
  <c r="I13" i="215" s="1"/>
  <c r="P13" i="215" s="1"/>
  <c r="E13" i="215"/>
  <c r="D13" i="215"/>
  <c r="C13" i="215"/>
  <c r="P12" i="215"/>
  <c r="M12" i="215"/>
  <c r="M20" i="215" s="1"/>
  <c r="L12" i="215"/>
  <c r="K12" i="215"/>
  <c r="J12" i="215"/>
  <c r="J20" i="215" s="1"/>
  <c r="H12" i="215"/>
  <c r="G12" i="215"/>
  <c r="F12" i="215"/>
  <c r="D12" i="215" s="1"/>
  <c r="E12" i="215"/>
  <c r="C12" i="215"/>
  <c r="O12" i="215" s="1"/>
  <c r="P11" i="215"/>
  <c r="N11" i="215"/>
  <c r="M11" i="215"/>
  <c r="L11" i="215"/>
  <c r="K11" i="215"/>
  <c r="K20" i="215" s="1"/>
  <c r="J11" i="215"/>
  <c r="H11" i="215"/>
  <c r="G11" i="215"/>
  <c r="F11" i="215"/>
  <c r="E11" i="215" s="1"/>
  <c r="C11" i="215"/>
  <c r="C20" i="215" s="1"/>
  <c r="N10" i="215"/>
  <c r="M10" i="215"/>
  <c r="M35" i="215" s="1"/>
  <c r="L10" i="215"/>
  <c r="L35" i="215" s="1"/>
  <c r="K10" i="215"/>
  <c r="K35" i="215" s="1"/>
  <c r="J10" i="215"/>
  <c r="J35" i="215" s="1"/>
  <c r="G10" i="215"/>
  <c r="G20" i="215" s="1"/>
  <c r="F10" i="215"/>
  <c r="D10" i="215" s="1"/>
  <c r="C10" i="215"/>
  <c r="C35" i="215" s="1"/>
  <c r="L7" i="215"/>
  <c r="L90" i="215" s="1"/>
  <c r="K7" i="215"/>
  <c r="K90" i="215" s="1"/>
  <c r="J7" i="215"/>
  <c r="K1" i="215"/>
  <c r="C42" i="215" l="1"/>
  <c r="O35" i="215"/>
  <c r="N35" i="215"/>
  <c r="P22" i="215"/>
  <c r="M42" i="215"/>
  <c r="N75" i="215"/>
  <c r="C82" i="215"/>
  <c r="N82" i="215" s="1"/>
  <c r="O75" i="215"/>
  <c r="F82" i="215"/>
  <c r="I81" i="215"/>
  <c r="I75" i="215"/>
  <c r="P75" i="215"/>
  <c r="H75" i="215"/>
  <c r="J82" i="215"/>
  <c r="N103" i="215"/>
  <c r="P96" i="215"/>
  <c r="N118" i="215"/>
  <c r="C125" i="215"/>
  <c r="P113" i="215"/>
  <c r="P26" i="215"/>
  <c r="M82" i="215"/>
  <c r="I123" i="215"/>
  <c r="P123" i="215" s="1"/>
  <c r="H123" i="215"/>
  <c r="I125" i="215"/>
  <c r="H125" i="215"/>
  <c r="D14" i="215"/>
  <c r="D18" i="215"/>
  <c r="N24" i="215"/>
  <c r="D31" i="215"/>
  <c r="D62" i="215"/>
  <c r="E10" i="215"/>
  <c r="O11" i="215"/>
  <c r="I12" i="215"/>
  <c r="E14" i="215"/>
  <c r="I16" i="215"/>
  <c r="E18" i="215"/>
  <c r="E23" i="215"/>
  <c r="I25" i="215"/>
  <c r="P25" i="215" s="1"/>
  <c r="E27" i="215"/>
  <c r="I29" i="215"/>
  <c r="E31" i="215"/>
  <c r="I33" i="215"/>
  <c r="P33" i="215" s="1"/>
  <c r="O50" i="215"/>
  <c r="O60" i="215" s="1"/>
  <c r="I51" i="215"/>
  <c r="E53" i="215"/>
  <c r="I55" i="215"/>
  <c r="E57" i="215"/>
  <c r="I59" i="215"/>
  <c r="C60" i="215"/>
  <c r="K60" i="215"/>
  <c r="E62" i="215"/>
  <c r="I64" i="215"/>
  <c r="E66" i="215"/>
  <c r="I68" i="215"/>
  <c r="E70" i="215"/>
  <c r="I72" i="215"/>
  <c r="E74" i="215"/>
  <c r="E93" i="215"/>
  <c r="O94" i="215"/>
  <c r="I95" i="215"/>
  <c r="E97" i="215"/>
  <c r="O98" i="215"/>
  <c r="I99" i="215"/>
  <c r="E101" i="215"/>
  <c r="O102" i="215"/>
  <c r="E106" i="215"/>
  <c r="O107" i="215"/>
  <c r="I108" i="215"/>
  <c r="P108" i="215" s="1"/>
  <c r="E110" i="215"/>
  <c r="O111" i="215"/>
  <c r="I112" i="215"/>
  <c r="P112" i="215" s="1"/>
  <c r="E114" i="215"/>
  <c r="O115" i="215"/>
  <c r="I116" i="215"/>
  <c r="P116" i="215" s="1"/>
  <c r="K117" i="215"/>
  <c r="O117" i="215" s="1"/>
  <c r="P117" i="215" s="1"/>
  <c r="O120" i="215"/>
  <c r="P121" i="215"/>
  <c r="L130" i="215"/>
  <c r="O135" i="215"/>
  <c r="O143" i="215" s="1"/>
  <c r="I136" i="215"/>
  <c r="P136" i="215" s="1"/>
  <c r="E138" i="215"/>
  <c r="O139" i="215"/>
  <c r="I140" i="215"/>
  <c r="E142" i="215"/>
  <c r="I145" i="215"/>
  <c r="E147" i="215"/>
  <c r="O148" i="215"/>
  <c r="I149" i="215"/>
  <c r="P149" i="215" s="1"/>
  <c r="E151" i="215"/>
  <c r="O152" i="215"/>
  <c r="I153" i="215"/>
  <c r="P153" i="215" s="1"/>
  <c r="O155" i="215"/>
  <c r="O184" i="215"/>
  <c r="F241" i="215"/>
  <c r="E216" i="215"/>
  <c r="D216" i="215"/>
  <c r="F226" i="215"/>
  <c r="I216" i="215"/>
  <c r="P216" i="215" s="1"/>
  <c r="H216" i="215"/>
  <c r="L226" i="215"/>
  <c r="F35" i="215"/>
  <c r="F118" i="215"/>
  <c r="I162" i="215"/>
  <c r="P162" i="215" s="1"/>
  <c r="H162" i="215"/>
  <c r="F186" i="215"/>
  <c r="H176" i="215"/>
  <c r="F201" i="215"/>
  <c r="E176" i="215"/>
  <c r="O177" i="215"/>
  <c r="N181" i="215"/>
  <c r="I183" i="215"/>
  <c r="H183" i="215"/>
  <c r="F291" i="215"/>
  <c r="O10" i="215"/>
  <c r="O20" i="215" s="1"/>
  <c r="I11" i="215"/>
  <c r="I19" i="215"/>
  <c r="P19" i="215" s="1"/>
  <c r="I24" i="215"/>
  <c r="I28" i="215"/>
  <c r="I32" i="215"/>
  <c r="G35" i="215"/>
  <c r="G42" i="215" s="1"/>
  <c r="I42" i="215" s="1"/>
  <c r="P42" i="215" s="1"/>
  <c r="I37" i="215"/>
  <c r="H39" i="215"/>
  <c r="K47" i="215"/>
  <c r="I50" i="215"/>
  <c r="I54" i="215"/>
  <c r="I58" i="215"/>
  <c r="I63" i="215"/>
  <c r="I67" i="215"/>
  <c r="I71" i="215"/>
  <c r="B891" i="215"/>
  <c r="B649" i="215"/>
  <c r="B566" i="215"/>
  <c r="B415" i="215"/>
  <c r="B332" i="215"/>
  <c r="B249" i="215"/>
  <c r="O93" i="215"/>
  <c r="O103" i="215" s="1"/>
  <c r="I94" i="215"/>
  <c r="I98" i="215"/>
  <c r="P98" i="215" s="1"/>
  <c r="I102" i="215"/>
  <c r="P102" i="215" s="1"/>
  <c r="C103" i="215"/>
  <c r="K103" i="215"/>
  <c r="I107" i="215"/>
  <c r="P107" i="215" s="1"/>
  <c r="I111" i="215"/>
  <c r="P111" i="215" s="1"/>
  <c r="I115" i="215"/>
  <c r="P115" i="215" s="1"/>
  <c r="I120" i="215"/>
  <c r="P120" i="215" s="1"/>
  <c r="N123" i="215"/>
  <c r="D133" i="215"/>
  <c r="L158" i="215"/>
  <c r="I135" i="215"/>
  <c r="I139" i="215"/>
  <c r="I148" i="215"/>
  <c r="P148" i="215" s="1"/>
  <c r="I152" i="215"/>
  <c r="P152" i="215" s="1"/>
  <c r="H155" i="215"/>
  <c r="C158" i="215"/>
  <c r="G186" i="215"/>
  <c r="E177" i="215"/>
  <c r="N177" i="215"/>
  <c r="H180" i="215"/>
  <c r="E180" i="215"/>
  <c r="E181" i="215"/>
  <c r="D181" i="215"/>
  <c r="I181" i="215"/>
  <c r="P184" i="215"/>
  <c r="H184" i="215"/>
  <c r="E184" i="215"/>
  <c r="O185" i="215"/>
  <c r="N185" i="215"/>
  <c r="I197" i="215"/>
  <c r="P197" i="215" s="1"/>
  <c r="H197" i="215"/>
  <c r="E197" i="215"/>
  <c r="E198" i="215"/>
  <c r="D198" i="215"/>
  <c r="I198" i="215"/>
  <c r="E203" i="215"/>
  <c r="I203" i="215"/>
  <c r="H203" i="215"/>
  <c r="E220" i="215"/>
  <c r="D220" i="215"/>
  <c r="I220" i="215"/>
  <c r="H220" i="215"/>
  <c r="E269" i="215"/>
  <c r="I269" i="215"/>
  <c r="H269" i="215"/>
  <c r="I15" i="215"/>
  <c r="J855" i="215"/>
  <c r="J633" i="215"/>
  <c r="J655" i="215"/>
  <c r="J695" i="215" s="1"/>
  <c r="J735" i="215" s="1"/>
  <c r="J775" i="215" s="1"/>
  <c r="J815" i="215" s="1"/>
  <c r="J594" i="215"/>
  <c r="J572" i="215"/>
  <c r="J614" i="215"/>
  <c r="J530" i="215"/>
  <c r="J422" i="215"/>
  <c r="J496" i="215"/>
  <c r="J379" i="215"/>
  <c r="J339" i="215"/>
  <c r="J296" i="215"/>
  <c r="J256" i="215"/>
  <c r="J173" i="215"/>
  <c r="J213" i="215"/>
  <c r="H10" i="215"/>
  <c r="H14" i="215"/>
  <c r="H18" i="215"/>
  <c r="P18" i="215"/>
  <c r="L20" i="215"/>
  <c r="H23" i="215"/>
  <c r="H27" i="215"/>
  <c r="H31" i="215"/>
  <c r="P31" i="215"/>
  <c r="L47" i="215"/>
  <c r="D51" i="215"/>
  <c r="H53" i="215"/>
  <c r="P53" i="215"/>
  <c r="D55" i="215"/>
  <c r="H57" i="215"/>
  <c r="F60" i="215"/>
  <c r="H62" i="215"/>
  <c r="H66" i="215"/>
  <c r="P66" i="215"/>
  <c r="H70" i="215"/>
  <c r="P70" i="215"/>
  <c r="H74" i="215"/>
  <c r="P74" i="215"/>
  <c r="J90" i="215"/>
  <c r="H93" i="215"/>
  <c r="H97" i="215"/>
  <c r="H101" i="215"/>
  <c r="L103" i="215"/>
  <c r="H106" i="215"/>
  <c r="H110" i="215"/>
  <c r="H114" i="215"/>
  <c r="P114" i="215"/>
  <c r="D121" i="215"/>
  <c r="E122" i="215"/>
  <c r="E133" i="215"/>
  <c r="H138" i="215"/>
  <c r="H142" i="215"/>
  <c r="P142" i="215"/>
  <c r="J143" i="215"/>
  <c r="H147" i="215"/>
  <c r="P147" i="215"/>
  <c r="H151" i="215"/>
  <c r="P151" i="215"/>
  <c r="O161" i="215"/>
  <c r="F161" i="215"/>
  <c r="I176" i="215"/>
  <c r="P176" i="215" s="1"/>
  <c r="D177" i="215"/>
  <c r="D186" i="215" s="1"/>
  <c r="I177" i="215"/>
  <c r="P177" i="215" s="1"/>
  <c r="I179" i="215"/>
  <c r="H179" i="215"/>
  <c r="E185" i="215"/>
  <c r="D185" i="215"/>
  <c r="I185" i="215"/>
  <c r="P185" i="215" s="1"/>
  <c r="O189" i="215"/>
  <c r="P196" i="215"/>
  <c r="K241" i="215"/>
  <c r="K248" i="215" s="1"/>
  <c r="P228" i="215"/>
  <c r="P240" i="215"/>
  <c r="I23" i="215"/>
  <c r="P23" i="215" s="1"/>
  <c r="I27" i="215"/>
  <c r="P27" i="215" s="1"/>
  <c r="I53" i="215"/>
  <c r="I57" i="215"/>
  <c r="I66" i="215"/>
  <c r="I70" i="215"/>
  <c r="I74" i="215"/>
  <c r="I93" i="215"/>
  <c r="P93" i="215" s="1"/>
  <c r="I97" i="215"/>
  <c r="P97" i="215" s="1"/>
  <c r="I101" i="215"/>
  <c r="P101" i="215" s="1"/>
  <c r="M103" i="215"/>
  <c r="I106" i="215"/>
  <c r="P106" i="215" s="1"/>
  <c r="I110" i="215"/>
  <c r="P110" i="215" s="1"/>
  <c r="I114" i="215"/>
  <c r="N122" i="215"/>
  <c r="N133" i="215"/>
  <c r="N143" i="215" s="1"/>
  <c r="I138" i="215"/>
  <c r="C143" i="215"/>
  <c r="K143" i="215"/>
  <c r="H158" i="215"/>
  <c r="B166" i="215"/>
  <c r="I193" i="215"/>
  <c r="P193" i="215"/>
  <c r="H193" i="215"/>
  <c r="E193" i="215"/>
  <c r="E194" i="215"/>
  <c r="D194" i="215"/>
  <c r="I194" i="215"/>
  <c r="P194" i="215" s="1"/>
  <c r="I207" i="215"/>
  <c r="F207" i="215"/>
  <c r="E207" i="215" s="1"/>
  <c r="P239" i="215"/>
  <c r="I10" i="215"/>
  <c r="P10" i="215" s="1"/>
  <c r="D11" i="215"/>
  <c r="D20" i="215" s="1"/>
  <c r="F20" i="215"/>
  <c r="D24" i="215"/>
  <c r="N25" i="215"/>
  <c r="D28" i="215"/>
  <c r="D32" i="215"/>
  <c r="D54" i="215"/>
  <c r="D58" i="215"/>
  <c r="D63" i="215"/>
  <c r="H65" i="215"/>
  <c r="D67" i="215"/>
  <c r="H69" i="215"/>
  <c r="D71" i="215"/>
  <c r="H73" i="215"/>
  <c r="D94" i="215"/>
  <c r="D118" i="215" s="1"/>
  <c r="D125" i="215" s="1"/>
  <c r="H96" i="215"/>
  <c r="D98" i="215"/>
  <c r="H100" i="215"/>
  <c r="D102" i="215"/>
  <c r="F103" i="215"/>
  <c r="H105" i="215"/>
  <c r="D107" i="215"/>
  <c r="H109" i="215"/>
  <c r="D111" i="215"/>
  <c r="H113" i="215"/>
  <c r="D115" i="215"/>
  <c r="G158" i="215"/>
  <c r="G165" i="215" s="1"/>
  <c r="D135" i="215"/>
  <c r="H137" i="215"/>
  <c r="D139" i="215"/>
  <c r="H141" i="215"/>
  <c r="H146" i="215"/>
  <c r="D148" i="215"/>
  <c r="H150" i="215"/>
  <c r="D152" i="215"/>
  <c r="H156" i="215"/>
  <c r="I160" i="215"/>
  <c r="H160" i="215"/>
  <c r="K201" i="215"/>
  <c r="K208" i="215" s="1"/>
  <c r="K186" i="215"/>
  <c r="O178" i="215"/>
  <c r="I188" i="215"/>
  <c r="P188" i="215" s="1"/>
  <c r="H188" i="215"/>
  <c r="P189" i="215"/>
  <c r="H189" i="215"/>
  <c r="E189" i="215"/>
  <c r="N190" i="215"/>
  <c r="P192" i="215"/>
  <c r="K655" i="215"/>
  <c r="K695" i="215" s="1"/>
  <c r="K735" i="215" s="1"/>
  <c r="K775" i="215" s="1"/>
  <c r="K815" i="215" s="1"/>
  <c r="K594" i="215"/>
  <c r="K572" i="215"/>
  <c r="K855" i="215"/>
  <c r="K614" i="215"/>
  <c r="K633" i="215"/>
  <c r="K530" i="215"/>
  <c r="K422" i="215"/>
  <c r="K496" i="215"/>
  <c r="K296" i="215"/>
  <c r="K379" i="215"/>
  <c r="K339" i="215"/>
  <c r="K256" i="215"/>
  <c r="K213" i="215"/>
  <c r="L855" i="215"/>
  <c r="L655" i="215"/>
  <c r="L695" i="215" s="1"/>
  <c r="L735" i="215" s="1"/>
  <c r="L775" i="215" s="1"/>
  <c r="L815" i="215" s="1"/>
  <c r="L594" i="215"/>
  <c r="L572" i="215"/>
  <c r="L614" i="215"/>
  <c r="L633" i="215"/>
  <c r="L530" i="215"/>
  <c r="L422" i="215"/>
  <c r="L496" i="215"/>
  <c r="L296" i="215"/>
  <c r="L379" i="215"/>
  <c r="L339" i="215"/>
  <c r="L256" i="215"/>
  <c r="L173" i="215"/>
  <c r="L213" i="215"/>
  <c r="N12" i="215"/>
  <c r="N20" i="215" s="1"/>
  <c r="D15" i="215"/>
  <c r="N16" i="215"/>
  <c r="D19" i="215"/>
  <c r="D50" i="215"/>
  <c r="E50" i="215"/>
  <c r="H122" i="215"/>
  <c r="P122" i="215"/>
  <c r="J130" i="215"/>
  <c r="H133" i="215"/>
  <c r="P133" i="215"/>
  <c r="M143" i="215"/>
  <c r="N163" i="215"/>
  <c r="F163" i="215"/>
  <c r="F165" i="215" s="1"/>
  <c r="K173" i="215"/>
  <c r="L186" i="215"/>
  <c r="E190" i="215"/>
  <c r="D190" i="215"/>
  <c r="I190" i="215"/>
  <c r="P190" i="215"/>
  <c r="O192" i="215"/>
  <c r="H194" i="215"/>
  <c r="P205" i="215"/>
  <c r="N226" i="215"/>
  <c r="O218" i="215"/>
  <c r="P218" i="215" s="1"/>
  <c r="K130" i="215"/>
  <c r="F143" i="215"/>
  <c r="E155" i="215"/>
  <c r="I156" i="215"/>
  <c r="P156" i="215" s="1"/>
  <c r="E157" i="215"/>
  <c r="D157" i="215"/>
  <c r="C201" i="215"/>
  <c r="C186" i="215"/>
  <c r="N186" i="215" s="1"/>
  <c r="O176" i="215"/>
  <c r="M201" i="215"/>
  <c r="M208" i="215" s="1"/>
  <c r="N241" i="215"/>
  <c r="C248" i="215"/>
  <c r="I178" i="215"/>
  <c r="P178" i="215" s="1"/>
  <c r="I182" i="215"/>
  <c r="I191" i="215"/>
  <c r="I195" i="215"/>
  <c r="P195" i="215" s="1"/>
  <c r="I199" i="215"/>
  <c r="P199" i="215" s="1"/>
  <c r="H205" i="215"/>
  <c r="O216" i="215"/>
  <c r="I217" i="215"/>
  <c r="P217" i="215" s="1"/>
  <c r="E219" i="215"/>
  <c r="I221" i="215"/>
  <c r="E223" i="215"/>
  <c r="I225" i="215"/>
  <c r="P225" i="215" s="1"/>
  <c r="C226" i="215"/>
  <c r="K226" i="215"/>
  <c r="E228" i="215"/>
  <c r="I230" i="215"/>
  <c r="E232" i="215"/>
  <c r="I234" i="215"/>
  <c r="P234" i="215" s="1"/>
  <c r="E236" i="215"/>
  <c r="I238" i="215"/>
  <c r="E240" i="215"/>
  <c r="H245" i="215"/>
  <c r="P245" i="215"/>
  <c r="D259" i="215"/>
  <c r="H261" i="215"/>
  <c r="P261" i="215"/>
  <c r="D263" i="215"/>
  <c r="H265" i="215"/>
  <c r="P265" i="215"/>
  <c r="P267" i="215"/>
  <c r="O271" i="215"/>
  <c r="E276" i="215"/>
  <c r="D278" i="215"/>
  <c r="N280" i="215"/>
  <c r="P282" i="215"/>
  <c r="J284" i="215"/>
  <c r="H286" i="215"/>
  <c r="O300" i="215"/>
  <c r="O311" i="215"/>
  <c r="H224" i="215"/>
  <c r="P224" i="215"/>
  <c r="H229" i="215"/>
  <c r="H233" i="215"/>
  <c r="P233" i="215"/>
  <c r="H237" i="215"/>
  <c r="P237" i="215"/>
  <c r="E259" i="215"/>
  <c r="M269" i="215"/>
  <c r="E263" i="215"/>
  <c r="O266" i="215"/>
  <c r="P266" i="215" s="1"/>
  <c r="H272" i="215"/>
  <c r="H274" i="215"/>
  <c r="P274" i="215"/>
  <c r="E280" i="215"/>
  <c r="H282" i="215"/>
  <c r="O283" i="215"/>
  <c r="P283" i="215" s="1"/>
  <c r="N283" i="215"/>
  <c r="K284" i="215"/>
  <c r="I286" i="215"/>
  <c r="P288" i="215"/>
  <c r="I288" i="215"/>
  <c r="H288" i="215"/>
  <c r="F414" i="215"/>
  <c r="P407" i="215"/>
  <c r="E407" i="215"/>
  <c r="G201" i="215"/>
  <c r="G208" i="215" s="1"/>
  <c r="I224" i="215"/>
  <c r="M226" i="215"/>
  <c r="I229" i="215"/>
  <c r="P229" i="215" s="1"/>
  <c r="I233" i="215"/>
  <c r="I237" i="215"/>
  <c r="F247" i="215"/>
  <c r="F248" i="215" s="1"/>
  <c r="N259" i="215"/>
  <c r="N269" i="215" s="1"/>
  <c r="H260" i="215"/>
  <c r="D262" i="215"/>
  <c r="N263" i="215"/>
  <c r="H264" i="215"/>
  <c r="D268" i="215"/>
  <c r="I274" i="215"/>
  <c r="O275" i="215"/>
  <c r="I280" i="215"/>
  <c r="P280" i="215"/>
  <c r="H280" i="215"/>
  <c r="D281" i="215"/>
  <c r="J324" i="215"/>
  <c r="I316" i="215"/>
  <c r="P316" i="215"/>
  <c r="H316" i="215"/>
  <c r="E316" i="215"/>
  <c r="D316" i="215"/>
  <c r="H219" i="215"/>
  <c r="J220" i="215"/>
  <c r="J180" i="215" s="1"/>
  <c r="O180" i="215" s="1"/>
  <c r="H228" i="215"/>
  <c r="H232" i="215"/>
  <c r="H236" i="215"/>
  <c r="H240" i="215"/>
  <c r="G284" i="215"/>
  <c r="G291" i="215" s="1"/>
  <c r="O259" i="215"/>
  <c r="E262" i="215"/>
  <c r="E266" i="215"/>
  <c r="N266" i="215"/>
  <c r="E268" i="215"/>
  <c r="P271" i="215"/>
  <c r="I273" i="215"/>
  <c r="D275" i="215"/>
  <c r="H276" i="215"/>
  <c r="H278" i="215"/>
  <c r="P278" i="215"/>
  <c r="E281" i="215"/>
  <c r="E283" i="215"/>
  <c r="M284" i="215"/>
  <c r="M291" i="215" s="1"/>
  <c r="G226" i="215"/>
  <c r="O279" i="215"/>
  <c r="N279" i="215"/>
  <c r="C284" i="215"/>
  <c r="E284" i="215" s="1"/>
  <c r="E291" i="215" s="1"/>
  <c r="H192" i="215"/>
  <c r="H196" i="215"/>
  <c r="H200" i="215"/>
  <c r="E205" i="215"/>
  <c r="H218" i="215"/>
  <c r="J219" i="215"/>
  <c r="J179" i="215" s="1"/>
  <c r="O179" i="215" s="1"/>
  <c r="H222" i="215"/>
  <c r="D224" i="215"/>
  <c r="D229" i="215"/>
  <c r="H231" i="215"/>
  <c r="D233" i="215"/>
  <c r="H235" i="215"/>
  <c r="D237" i="215"/>
  <c r="H239" i="215"/>
  <c r="E261" i="215"/>
  <c r="O267" i="215"/>
  <c r="P268" i="215"/>
  <c r="I271" i="215"/>
  <c r="D272" i="215"/>
  <c r="P275" i="215"/>
  <c r="I277" i="215"/>
  <c r="P281" i="215"/>
  <c r="I312" i="215"/>
  <c r="P312" i="215"/>
  <c r="H312" i="215"/>
  <c r="E312" i="215"/>
  <c r="D312" i="215"/>
  <c r="O315" i="215"/>
  <c r="H367" i="215"/>
  <c r="F374" i="215"/>
  <c r="I367" i="215"/>
  <c r="P355" i="215"/>
  <c r="H262" i="215"/>
  <c r="P262" i="215"/>
  <c r="H268" i="215"/>
  <c r="E272" i="215"/>
  <c r="N272" i="215"/>
  <c r="D274" i="215"/>
  <c r="H275" i="215"/>
  <c r="O276" i="215"/>
  <c r="P276" i="215" s="1"/>
  <c r="E279" i="215"/>
  <c r="H281" i="215"/>
  <c r="C331" i="215"/>
  <c r="P272" i="215"/>
  <c r="E282" i="215"/>
  <c r="D282" i="215"/>
  <c r="F309" i="215"/>
  <c r="I299" i="215"/>
  <c r="P299" i="215" s="1"/>
  <c r="F324" i="215"/>
  <c r="E299" i="215"/>
  <c r="D299" i="215"/>
  <c r="I303" i="215"/>
  <c r="H303" i="215"/>
  <c r="E303" i="215"/>
  <c r="D303" i="215"/>
  <c r="I307" i="215"/>
  <c r="P307" i="215"/>
  <c r="H307" i="215"/>
  <c r="E307" i="215"/>
  <c r="D307" i="215"/>
  <c r="I320" i="215"/>
  <c r="P320" i="215"/>
  <c r="H320" i="215"/>
  <c r="E320" i="215"/>
  <c r="D320" i="215"/>
  <c r="O301" i="215"/>
  <c r="I302" i="215"/>
  <c r="P302" i="215" s="1"/>
  <c r="O305" i="215"/>
  <c r="I306" i="215"/>
  <c r="G309" i="215"/>
  <c r="I311" i="215"/>
  <c r="P311" i="215" s="1"/>
  <c r="O314" i="215"/>
  <c r="I315" i="215"/>
  <c r="P315" i="215" s="1"/>
  <c r="O318" i="215"/>
  <c r="I319" i="215"/>
  <c r="P319" i="215" s="1"/>
  <c r="O322" i="215"/>
  <c r="I323" i="215"/>
  <c r="P323" i="215" s="1"/>
  <c r="H342" i="215"/>
  <c r="N345" i="215"/>
  <c r="H346" i="215"/>
  <c r="N349" i="215"/>
  <c r="H350" i="215"/>
  <c r="L352" i="215"/>
  <c r="N354" i="215"/>
  <c r="H355" i="215"/>
  <c r="I359" i="215"/>
  <c r="P359" i="215" s="1"/>
  <c r="O362" i="215"/>
  <c r="I363" i="215"/>
  <c r="P363" i="215" s="1"/>
  <c r="O366" i="215"/>
  <c r="I371" i="215"/>
  <c r="P371" i="215" s="1"/>
  <c r="O382" i="215"/>
  <c r="I384" i="215"/>
  <c r="O389" i="215"/>
  <c r="I390" i="215"/>
  <c r="H301" i="215"/>
  <c r="H305" i="215"/>
  <c r="N308" i="215"/>
  <c r="N309" i="215" s="1"/>
  <c r="N313" i="215"/>
  <c r="H314" i="215"/>
  <c r="N317" i="215"/>
  <c r="H318" i="215"/>
  <c r="P318" i="215"/>
  <c r="N321" i="215"/>
  <c r="H322" i="215"/>
  <c r="L324" i="215"/>
  <c r="N326" i="215"/>
  <c r="E328" i="215"/>
  <c r="I342" i="215"/>
  <c r="E344" i="215"/>
  <c r="O345" i="215"/>
  <c r="P345" i="215" s="1"/>
  <c r="E348" i="215"/>
  <c r="O349" i="215"/>
  <c r="M352" i="215"/>
  <c r="O354" i="215"/>
  <c r="P354" i="215" s="1"/>
  <c r="H358" i="215"/>
  <c r="P358" i="215"/>
  <c r="D360" i="215"/>
  <c r="H362" i="215"/>
  <c r="P362" i="215"/>
  <c r="D364" i="215"/>
  <c r="H366" i="215"/>
  <c r="P366" i="215"/>
  <c r="J367" i="215"/>
  <c r="H382" i="215"/>
  <c r="P382" i="215"/>
  <c r="H389" i="215"/>
  <c r="F392" i="215"/>
  <c r="P394" i="215"/>
  <c r="P399" i="215"/>
  <c r="I409" i="215"/>
  <c r="H409" i="215"/>
  <c r="I301" i="215"/>
  <c r="I305" i="215"/>
  <c r="I314" i="215"/>
  <c r="P314" i="215" s="1"/>
  <c r="I318" i="215"/>
  <c r="I322" i="215"/>
  <c r="P322" i="215" s="1"/>
  <c r="M324" i="215"/>
  <c r="M331" i="215" s="1"/>
  <c r="D343" i="215"/>
  <c r="D367" i="215" s="1"/>
  <c r="D374" i="215" s="1"/>
  <c r="D347" i="215"/>
  <c r="D351" i="215"/>
  <c r="F352" i="215"/>
  <c r="D356" i="215"/>
  <c r="I358" i="215"/>
  <c r="E360" i="215"/>
  <c r="I362" i="215"/>
  <c r="E364" i="215"/>
  <c r="I366" i="215"/>
  <c r="C367" i="215"/>
  <c r="E367" i="215" s="1"/>
  <c r="E374" i="215" s="1"/>
  <c r="K367" i="215"/>
  <c r="E369" i="215"/>
  <c r="I382" i="215"/>
  <c r="O395" i="215"/>
  <c r="H396" i="215"/>
  <c r="O400" i="215"/>
  <c r="O411" i="215"/>
  <c r="E343" i="215"/>
  <c r="G352" i="215"/>
  <c r="J392" i="215"/>
  <c r="O299" i="215"/>
  <c r="E302" i="215"/>
  <c r="C309" i="215"/>
  <c r="N347" i="215"/>
  <c r="H348" i="215"/>
  <c r="N351" i="215"/>
  <c r="N356" i="215"/>
  <c r="E359" i="215"/>
  <c r="E363" i="215"/>
  <c r="E371" i="215"/>
  <c r="C414" i="215"/>
  <c r="K407" i="215"/>
  <c r="K414" i="215" s="1"/>
  <c r="K392" i="215"/>
  <c r="L392" i="215"/>
  <c r="N407" i="215"/>
  <c r="H331" i="215"/>
  <c r="E342" i="215"/>
  <c r="E346" i="215"/>
  <c r="E350" i="215"/>
  <c r="E355" i="215"/>
  <c r="H360" i="215"/>
  <c r="P360" i="215"/>
  <c r="H364" i="215"/>
  <c r="P364" i="215"/>
  <c r="H369" i="215"/>
  <c r="P369" i="215"/>
  <c r="H385" i="215"/>
  <c r="H387" i="215"/>
  <c r="H391" i="215"/>
  <c r="P391" i="215"/>
  <c r="P395" i="215"/>
  <c r="H397" i="215"/>
  <c r="O401" i="215"/>
  <c r="H403" i="215"/>
  <c r="N342" i="215"/>
  <c r="H343" i="215"/>
  <c r="N346" i="215"/>
  <c r="H347" i="215"/>
  <c r="N350" i="215"/>
  <c r="H351" i="215"/>
  <c r="N355" i="215"/>
  <c r="M407" i="215"/>
  <c r="M414" i="215" s="1"/>
  <c r="M392" i="215"/>
  <c r="C392" i="215"/>
  <c r="O396" i="215"/>
  <c r="P398" i="215"/>
  <c r="I405" i="215"/>
  <c r="P405" i="215"/>
  <c r="N409" i="215"/>
  <c r="E409" i="215"/>
  <c r="O409" i="215"/>
  <c r="I457" i="215"/>
  <c r="P457" i="215" s="1"/>
  <c r="H457" i="215"/>
  <c r="O472" i="215"/>
  <c r="H302" i="215"/>
  <c r="H311" i="215"/>
  <c r="H315" i="215"/>
  <c r="H319" i="215"/>
  <c r="H323" i="215"/>
  <c r="O342" i="215"/>
  <c r="H359" i="215"/>
  <c r="H363" i="215"/>
  <c r="H371" i="215"/>
  <c r="H390" i="215"/>
  <c r="O394" i="215"/>
  <c r="H395" i="215"/>
  <c r="I401" i="215"/>
  <c r="H401" i="215"/>
  <c r="F435" i="215"/>
  <c r="N440" i="215"/>
  <c r="N444" i="215"/>
  <c r="N448" i="215"/>
  <c r="J450" i="215"/>
  <c r="M467" i="215"/>
  <c r="K469" i="215"/>
  <c r="N470" i="215"/>
  <c r="I471" i="215"/>
  <c r="L472" i="215"/>
  <c r="M475" i="215"/>
  <c r="H476" i="215"/>
  <c r="P476" i="215"/>
  <c r="K477" i="215"/>
  <c r="N478" i="215"/>
  <c r="I479" i="215"/>
  <c r="L480" i="215"/>
  <c r="O480" i="215" s="1"/>
  <c r="J482" i="215"/>
  <c r="M483" i="215"/>
  <c r="H484" i="215"/>
  <c r="P484" i="215"/>
  <c r="K485" i="215"/>
  <c r="N486" i="215"/>
  <c r="I487" i="215"/>
  <c r="L488" i="215"/>
  <c r="O488" i="215" s="1"/>
  <c r="J501" i="215"/>
  <c r="O501" i="215" s="1"/>
  <c r="M502" i="215"/>
  <c r="H503" i="215"/>
  <c r="P503" i="215"/>
  <c r="K504" i="215"/>
  <c r="N505" i="215"/>
  <c r="I506" i="215"/>
  <c r="L507" i="215"/>
  <c r="O507" i="215" s="1"/>
  <c r="J509" i="215"/>
  <c r="M510" i="215"/>
  <c r="H511" i="215"/>
  <c r="P511" i="215"/>
  <c r="K512" i="215"/>
  <c r="N513" i="215"/>
  <c r="I514" i="215"/>
  <c r="L515" i="215"/>
  <c r="O515" i="215" s="1"/>
  <c r="J517" i="215"/>
  <c r="M518" i="215"/>
  <c r="H519" i="215"/>
  <c r="P519" i="215"/>
  <c r="K520" i="215"/>
  <c r="N521" i="215"/>
  <c r="I522" i="215"/>
  <c r="C558" i="215"/>
  <c r="C543" i="215"/>
  <c r="K558" i="215"/>
  <c r="K543" i="215"/>
  <c r="E534" i="215"/>
  <c r="E537" i="215"/>
  <c r="D539" i="215"/>
  <c r="D558" i="215" s="1"/>
  <c r="D565" i="215" s="1"/>
  <c r="C730" i="215"/>
  <c r="N723" i="215"/>
  <c r="N425" i="215"/>
  <c r="H426" i="215"/>
  <c r="I428" i="215"/>
  <c r="P428" i="215" s="1"/>
  <c r="E430" i="215"/>
  <c r="E434" i="215"/>
  <c r="G435" i="215"/>
  <c r="O444" i="215"/>
  <c r="O448" i="215"/>
  <c r="C450" i="215"/>
  <c r="K450" i="215"/>
  <c r="L469" i="215"/>
  <c r="L477" i="215"/>
  <c r="L485" i="215"/>
  <c r="L504" i="215"/>
  <c r="L512" i="215"/>
  <c r="L520" i="215"/>
  <c r="I549" i="215"/>
  <c r="P549" i="215"/>
  <c r="H549" i="215"/>
  <c r="E549" i="215"/>
  <c r="D549" i="215"/>
  <c r="I579" i="215"/>
  <c r="H579" i="215"/>
  <c r="I648" i="215"/>
  <c r="H648" i="215"/>
  <c r="O425" i="215"/>
  <c r="H427" i="215"/>
  <c r="D429" i="215"/>
  <c r="H431" i="215"/>
  <c r="D433" i="215"/>
  <c r="D438" i="215"/>
  <c r="H440" i="215"/>
  <c r="D442" i="215"/>
  <c r="N443" i="215"/>
  <c r="H444" i="215"/>
  <c r="P444" i="215"/>
  <c r="D446" i="215"/>
  <c r="N447" i="215"/>
  <c r="H448" i="215"/>
  <c r="P448" i="215"/>
  <c r="L450" i="215"/>
  <c r="N452" i="215"/>
  <c r="E454" i="215"/>
  <c r="L466" i="215"/>
  <c r="M469" i="215"/>
  <c r="H470" i="215"/>
  <c r="P470" i="215"/>
  <c r="K471" i="215"/>
  <c r="O471" i="215" s="1"/>
  <c r="N472" i="215"/>
  <c r="I473" i="215"/>
  <c r="L474" i="215"/>
  <c r="O474" i="215" s="1"/>
  <c r="J476" i="215"/>
  <c r="O476" i="215" s="1"/>
  <c r="M477" i="215"/>
  <c r="H478" i="215"/>
  <c r="P478" i="215"/>
  <c r="K479" i="215"/>
  <c r="O479" i="215" s="1"/>
  <c r="N480" i="215"/>
  <c r="I481" i="215"/>
  <c r="L482" i="215"/>
  <c r="J484" i="215"/>
  <c r="O484" i="215" s="1"/>
  <c r="M485" i="215"/>
  <c r="H486" i="215"/>
  <c r="P486" i="215"/>
  <c r="K487" i="215"/>
  <c r="N488" i="215"/>
  <c r="I490" i="215"/>
  <c r="I500" i="215"/>
  <c r="L501" i="215"/>
  <c r="J503" i="215"/>
  <c r="O503" i="215" s="1"/>
  <c r="M504" i="215"/>
  <c r="H505" i="215"/>
  <c r="P505" i="215"/>
  <c r="K506" i="215"/>
  <c r="N507" i="215"/>
  <c r="I508" i="215"/>
  <c r="L509" i="215"/>
  <c r="J511" i="215"/>
  <c r="O511" i="215" s="1"/>
  <c r="M512" i="215"/>
  <c r="O512" i="215" s="1"/>
  <c r="H513" i="215"/>
  <c r="P513" i="215"/>
  <c r="K514" i="215"/>
  <c r="N515" i="215"/>
  <c r="I516" i="215"/>
  <c r="L517" i="215"/>
  <c r="J519" i="215"/>
  <c r="O519" i="215" s="1"/>
  <c r="M520" i="215"/>
  <c r="H521" i="215"/>
  <c r="P521" i="215"/>
  <c r="K522" i="215"/>
  <c r="N524" i="215"/>
  <c r="M558" i="215"/>
  <c r="M565" i="215" s="1"/>
  <c r="I535" i="215"/>
  <c r="P537" i="215"/>
  <c r="L543" i="215"/>
  <c r="N547" i="215"/>
  <c r="L589" i="215"/>
  <c r="P587" i="215"/>
  <c r="F588" i="215"/>
  <c r="D588" i="215"/>
  <c r="H425" i="215"/>
  <c r="P425" i="215"/>
  <c r="O426" i="215"/>
  <c r="I427" i="215"/>
  <c r="I435" i="215" s="1"/>
  <c r="I450" i="215" s="1"/>
  <c r="E429" i="215"/>
  <c r="I431" i="215"/>
  <c r="E433" i="215"/>
  <c r="E438" i="215"/>
  <c r="I440" i="215"/>
  <c r="E442" i="215"/>
  <c r="E446" i="215"/>
  <c r="M450" i="215"/>
  <c r="M457" i="215" s="1"/>
  <c r="H467" i="215"/>
  <c r="P467" i="215"/>
  <c r="N469" i="215"/>
  <c r="L471" i="215"/>
  <c r="J473" i="215"/>
  <c r="O473" i="215" s="1"/>
  <c r="H475" i="215"/>
  <c r="P475" i="215"/>
  <c r="N477" i="215"/>
  <c r="L479" i="215"/>
  <c r="J481" i="215"/>
  <c r="O481" i="215" s="1"/>
  <c r="H483" i="215"/>
  <c r="P483" i="215"/>
  <c r="N485" i="215"/>
  <c r="L487" i="215"/>
  <c r="J500" i="215"/>
  <c r="N504" i="215"/>
  <c r="L506" i="215"/>
  <c r="J508" i="215"/>
  <c r="O508" i="215" s="1"/>
  <c r="N512" i="215"/>
  <c r="L514" i="215"/>
  <c r="J516" i="215"/>
  <c r="O516" i="215" s="1"/>
  <c r="N520" i="215"/>
  <c r="L522" i="215"/>
  <c r="F543" i="215"/>
  <c r="F558" i="215"/>
  <c r="N543" i="215"/>
  <c r="H534" i="215"/>
  <c r="P534" i="215"/>
  <c r="H537" i="215"/>
  <c r="O548" i="215"/>
  <c r="I553" i="215"/>
  <c r="P553" i="215"/>
  <c r="H553" i="215"/>
  <c r="E553" i="215"/>
  <c r="D553" i="215"/>
  <c r="I557" i="215"/>
  <c r="H557" i="215"/>
  <c r="M580" i="215"/>
  <c r="M589" i="215" s="1"/>
  <c r="F450" i="215"/>
  <c r="I467" i="215"/>
  <c r="O469" i="215"/>
  <c r="J470" i="215"/>
  <c r="O470" i="215" s="1"/>
  <c r="M471" i="215"/>
  <c r="H472" i="215"/>
  <c r="K473" i="215"/>
  <c r="I475" i="215"/>
  <c r="O477" i="215"/>
  <c r="J478" i="215"/>
  <c r="O478" i="215" s="1"/>
  <c r="M479" i="215"/>
  <c r="K481" i="215"/>
  <c r="I483" i="215"/>
  <c r="O485" i="215"/>
  <c r="J486" i="215"/>
  <c r="O486" i="215" s="1"/>
  <c r="M487" i="215"/>
  <c r="H488" i="215"/>
  <c r="K500" i="215"/>
  <c r="I502" i="215"/>
  <c r="O504" i="215"/>
  <c r="J505" i="215"/>
  <c r="O505" i="215" s="1"/>
  <c r="M506" i="215"/>
  <c r="H507" i="215"/>
  <c r="K508" i="215"/>
  <c r="I510" i="215"/>
  <c r="J513" i="215"/>
  <c r="O513" i="215" s="1"/>
  <c r="M514" i="215"/>
  <c r="H515" i="215"/>
  <c r="K516" i="215"/>
  <c r="I518" i="215"/>
  <c r="O520" i="215"/>
  <c r="J521" i="215"/>
  <c r="O521" i="215" s="1"/>
  <c r="M522" i="215"/>
  <c r="H524" i="215"/>
  <c r="G543" i="215"/>
  <c r="G558" i="215"/>
  <c r="G565" i="215" s="1"/>
  <c r="O533" i="215"/>
  <c r="I534" i="215"/>
  <c r="I536" i="215"/>
  <c r="E536" i="215"/>
  <c r="I537" i="215"/>
  <c r="N545" i="215"/>
  <c r="E547" i="215"/>
  <c r="D547" i="215"/>
  <c r="I547" i="215"/>
  <c r="P547" i="215"/>
  <c r="H547" i="215"/>
  <c r="C580" i="215"/>
  <c r="O601" i="215"/>
  <c r="H628" i="215"/>
  <c r="I668" i="215"/>
  <c r="N411" i="215"/>
  <c r="H469" i="215"/>
  <c r="P469" i="215"/>
  <c r="L473" i="215"/>
  <c r="H477" i="215"/>
  <c r="P477" i="215"/>
  <c r="L481" i="215"/>
  <c r="H485" i="215"/>
  <c r="P485" i="215"/>
  <c r="L500" i="215"/>
  <c r="L524" i="215" s="1"/>
  <c r="H504" i="215"/>
  <c r="P504" i="215"/>
  <c r="L508" i="215"/>
  <c r="H512" i="215"/>
  <c r="P512" i="215"/>
  <c r="L516" i="215"/>
  <c r="H520" i="215"/>
  <c r="P520" i="215"/>
  <c r="E538" i="215"/>
  <c r="I538" i="215"/>
  <c r="I540" i="215"/>
  <c r="E540" i="215"/>
  <c r="D540" i="215"/>
  <c r="D543" i="215" s="1"/>
  <c r="C609" i="215"/>
  <c r="N603" i="215"/>
  <c r="O600" i="215"/>
  <c r="O603" i="215"/>
  <c r="G628" i="215"/>
  <c r="H623" i="215"/>
  <c r="D427" i="215"/>
  <c r="D435" i="215" s="1"/>
  <c r="H429" i="215"/>
  <c r="D431" i="215"/>
  <c r="N432" i="215"/>
  <c r="H433" i="215"/>
  <c r="P433" i="215"/>
  <c r="N437" i="215"/>
  <c r="H438" i="215"/>
  <c r="P438" i="215"/>
  <c r="D440" i="215"/>
  <c r="N441" i="215"/>
  <c r="H442" i="215"/>
  <c r="P442" i="215"/>
  <c r="N445" i="215"/>
  <c r="H446" i="215"/>
  <c r="P446" i="215"/>
  <c r="N449" i="215"/>
  <c r="K467" i="215"/>
  <c r="K490" i="215" s="1"/>
  <c r="I469" i="215"/>
  <c r="M473" i="215"/>
  <c r="K475" i="215"/>
  <c r="O475" i="215" s="1"/>
  <c r="I477" i="215"/>
  <c r="M481" i="215"/>
  <c r="K483" i="215"/>
  <c r="O483" i="215" s="1"/>
  <c r="I485" i="215"/>
  <c r="O487" i="215"/>
  <c r="M500" i="215"/>
  <c r="M524" i="215" s="1"/>
  <c r="K502" i="215"/>
  <c r="O502" i="215" s="1"/>
  <c r="I504" i="215"/>
  <c r="O506" i="215"/>
  <c r="M508" i="215"/>
  <c r="K510" i="215"/>
  <c r="O510" i="215" s="1"/>
  <c r="I512" i="215"/>
  <c r="O514" i="215"/>
  <c r="M516" i="215"/>
  <c r="K518" i="215"/>
  <c r="O518" i="215" s="1"/>
  <c r="I520" i="215"/>
  <c r="O522" i="215"/>
  <c r="I533" i="215"/>
  <c r="O537" i="215"/>
  <c r="P538" i="215"/>
  <c r="P540" i="215"/>
  <c r="E542" i="215"/>
  <c r="I542" i="215"/>
  <c r="P542" i="215"/>
  <c r="H542" i="215"/>
  <c r="I545" i="215"/>
  <c r="P545" i="215"/>
  <c r="H545" i="215"/>
  <c r="E545" i="215"/>
  <c r="D545" i="215"/>
  <c r="O546" i="215"/>
  <c r="N551" i="215"/>
  <c r="O551" i="215"/>
  <c r="O577" i="215"/>
  <c r="P577" i="215" s="1"/>
  <c r="N577" i="215"/>
  <c r="E577" i="215"/>
  <c r="O578" i="215"/>
  <c r="I582" i="215"/>
  <c r="P582" i="215"/>
  <c r="H582" i="215"/>
  <c r="E582" i="215"/>
  <c r="D582" i="215"/>
  <c r="G603" i="215"/>
  <c r="H603" i="215" s="1"/>
  <c r="H598" i="215"/>
  <c r="D642" i="215"/>
  <c r="H487" i="215"/>
  <c r="H506" i="215"/>
  <c r="H514" i="215"/>
  <c r="H522" i="215"/>
  <c r="J558" i="215"/>
  <c r="J543" i="215"/>
  <c r="H538" i="215"/>
  <c r="O539" i="215"/>
  <c r="H540" i="215"/>
  <c r="O541" i="215"/>
  <c r="I575" i="215"/>
  <c r="H575" i="215"/>
  <c r="G580" i="215"/>
  <c r="G589" i="215" s="1"/>
  <c r="I586" i="215"/>
  <c r="P586" i="215"/>
  <c r="H586" i="215"/>
  <c r="E586" i="215"/>
  <c r="D586" i="215"/>
  <c r="C648" i="215"/>
  <c r="O642" i="215"/>
  <c r="N642" i="215"/>
  <c r="O555" i="215"/>
  <c r="N576" i="215"/>
  <c r="H577" i="215"/>
  <c r="O584" i="215"/>
  <c r="O597" i="215"/>
  <c r="O621" i="215"/>
  <c r="O627" i="215"/>
  <c r="I636" i="215"/>
  <c r="O639" i="215"/>
  <c r="I640" i="215"/>
  <c r="O645" i="215"/>
  <c r="C683" i="215"/>
  <c r="K683" i="215"/>
  <c r="O663" i="215"/>
  <c r="C668" i="215"/>
  <c r="E668" i="215" s="1"/>
  <c r="P668" i="215"/>
  <c r="H673" i="215"/>
  <c r="N676" i="215"/>
  <c r="I681" i="215"/>
  <c r="P681" i="215"/>
  <c r="H681" i="215"/>
  <c r="E681" i="215"/>
  <c r="F723" i="215"/>
  <c r="H705" i="215"/>
  <c r="E705" i="215"/>
  <c r="D705" i="215"/>
  <c r="I705" i="215"/>
  <c r="L708" i="215"/>
  <c r="O712" i="215"/>
  <c r="O740" i="215"/>
  <c r="D744" i="215"/>
  <c r="D388" i="215" s="1"/>
  <c r="I744" i="215"/>
  <c r="H744" i="215"/>
  <c r="E744" i="215"/>
  <c r="F748" i="215"/>
  <c r="M788" i="215"/>
  <c r="O781" i="215"/>
  <c r="N783" i="215"/>
  <c r="O783" i="215"/>
  <c r="E783" i="215"/>
  <c r="H551" i="215"/>
  <c r="P551" i="215"/>
  <c r="H555" i="215"/>
  <c r="E557" i="215"/>
  <c r="E575" i="215"/>
  <c r="E580" i="215" s="1"/>
  <c r="E589" i="215" s="1"/>
  <c r="E579" i="215"/>
  <c r="N583" i="215"/>
  <c r="H584" i="215"/>
  <c r="N619" i="215"/>
  <c r="N625" i="215"/>
  <c r="D637" i="215"/>
  <c r="H639" i="215"/>
  <c r="P639" i="215"/>
  <c r="H645" i="215"/>
  <c r="P645" i="215"/>
  <c r="D647" i="215"/>
  <c r="D658" i="215"/>
  <c r="L683" i="215"/>
  <c r="L668" i="215"/>
  <c r="E660" i="215"/>
  <c r="H661" i="215"/>
  <c r="H663" i="215"/>
  <c r="I667" i="215"/>
  <c r="E672" i="215"/>
  <c r="N672" i="215"/>
  <c r="D676" i="215"/>
  <c r="P676" i="215"/>
  <c r="H676" i="215"/>
  <c r="I698" i="215"/>
  <c r="H698" i="215"/>
  <c r="G708" i="215"/>
  <c r="D712" i="215"/>
  <c r="I712" i="215"/>
  <c r="H712" i="215"/>
  <c r="E712" i="215"/>
  <c r="O713" i="215"/>
  <c r="D740" i="215"/>
  <c r="D384" i="215" s="1"/>
  <c r="I740" i="215"/>
  <c r="H740" i="215"/>
  <c r="E740" i="215"/>
  <c r="O741" i="215"/>
  <c r="O743" i="215"/>
  <c r="I802" i="215"/>
  <c r="H802" i="215"/>
  <c r="E802" i="215"/>
  <c r="D802" i="215"/>
  <c r="I551" i="215"/>
  <c r="I555" i="215"/>
  <c r="D556" i="215"/>
  <c r="N575" i="215"/>
  <c r="H576" i="215"/>
  <c r="P576" i="215"/>
  <c r="D578" i="215"/>
  <c r="D580" i="215" s="1"/>
  <c r="D589" i="215" s="1"/>
  <c r="I584" i="215"/>
  <c r="P584" i="215" s="1"/>
  <c r="E637" i="215"/>
  <c r="E642" i="215" s="1"/>
  <c r="E648" i="215" s="1"/>
  <c r="I639" i="215"/>
  <c r="I645" i="215"/>
  <c r="E647" i="215"/>
  <c r="E658" i="215"/>
  <c r="M683" i="215"/>
  <c r="M690" i="215" s="1"/>
  <c r="H659" i="215"/>
  <c r="D662" i="215"/>
  <c r="D386" i="215" s="1"/>
  <c r="I663" i="215"/>
  <c r="D672" i="215"/>
  <c r="H672" i="215"/>
  <c r="E674" i="215"/>
  <c r="O674" i="215"/>
  <c r="O679" i="215"/>
  <c r="I685" i="215"/>
  <c r="H685" i="215"/>
  <c r="J723" i="215"/>
  <c r="O723" i="215" s="1"/>
  <c r="F708" i="215"/>
  <c r="D699" i="215"/>
  <c r="D708" i="215" s="1"/>
  <c r="H699" i="215"/>
  <c r="O703" i="215"/>
  <c r="O711" i="215"/>
  <c r="O716" i="215"/>
  <c r="O717" i="215"/>
  <c r="I745" i="215"/>
  <c r="D745" i="215"/>
  <c r="H745" i="215"/>
  <c r="O785" i="215"/>
  <c r="O799" i="215"/>
  <c r="N799" i="215"/>
  <c r="E799" i="215"/>
  <c r="E403" i="215" s="1"/>
  <c r="N617" i="215"/>
  <c r="C623" i="215"/>
  <c r="F642" i="215"/>
  <c r="H668" i="215"/>
  <c r="F683" i="215"/>
  <c r="H701" i="215"/>
  <c r="E701" i="215"/>
  <c r="D701" i="215"/>
  <c r="I701" i="215"/>
  <c r="D703" i="215"/>
  <c r="I703" i="215"/>
  <c r="H703" i="215"/>
  <c r="E703" i="215"/>
  <c r="D716" i="215"/>
  <c r="I716" i="215"/>
  <c r="P716" i="215"/>
  <c r="H716" i="215"/>
  <c r="E716" i="215"/>
  <c r="E400" i="215" s="1"/>
  <c r="O739" i="215"/>
  <c r="C748" i="215"/>
  <c r="O750" i="215"/>
  <c r="E872" i="215"/>
  <c r="D872" i="215"/>
  <c r="I872" i="215"/>
  <c r="P872" i="215"/>
  <c r="H872" i="215"/>
  <c r="N620" i="215"/>
  <c r="N626" i="215"/>
  <c r="H660" i="215"/>
  <c r="P710" i="215"/>
  <c r="H710" i="215"/>
  <c r="E710" i="215"/>
  <c r="D710" i="215"/>
  <c r="I710" i="215"/>
  <c r="O761" i="215"/>
  <c r="N761" i="215"/>
  <c r="E761" i="215"/>
  <c r="E834" i="215"/>
  <c r="D834" i="215"/>
  <c r="I834" i="215"/>
  <c r="P834" i="215"/>
  <c r="H834" i="215"/>
  <c r="D551" i="215"/>
  <c r="D555" i="215"/>
  <c r="H637" i="215"/>
  <c r="P637" i="215"/>
  <c r="D645" i="215"/>
  <c r="H647" i="215"/>
  <c r="P647" i="215"/>
  <c r="H658" i="215"/>
  <c r="P658" i="215"/>
  <c r="K668" i="215"/>
  <c r="E673" i="215"/>
  <c r="E397" i="215" s="1"/>
  <c r="I674" i="215"/>
  <c r="O686" i="215"/>
  <c r="M723" i="215"/>
  <c r="M730" i="215" s="1"/>
  <c r="O707" i="215"/>
  <c r="O722" i="215"/>
  <c r="K723" i="215"/>
  <c r="H726" i="215"/>
  <c r="E726" i="215"/>
  <c r="D726" i="215"/>
  <c r="I726" i="215"/>
  <c r="O738" i="215"/>
  <c r="O748" i="215" s="1"/>
  <c r="E753" i="215"/>
  <c r="I753" i="215"/>
  <c r="H753" i="215"/>
  <c r="D753" i="215"/>
  <c r="D397" i="215" s="1"/>
  <c r="H556" i="215"/>
  <c r="P556" i="215"/>
  <c r="H578" i="215"/>
  <c r="P578" i="215"/>
  <c r="N606" i="215"/>
  <c r="H617" i="215"/>
  <c r="P628" i="215"/>
  <c r="I658" i="215"/>
  <c r="E661" i="215"/>
  <c r="E663" i="215"/>
  <c r="H664" i="215"/>
  <c r="N667" i="215"/>
  <c r="N668" i="215" s="1"/>
  <c r="M668" i="215"/>
  <c r="I670" i="215"/>
  <c r="O673" i="215"/>
  <c r="E675" i="215"/>
  <c r="E399" i="215" s="1"/>
  <c r="O675" i="215"/>
  <c r="H677" i="215"/>
  <c r="O678" i="215"/>
  <c r="N678" i="215"/>
  <c r="O681" i="215"/>
  <c r="N681" i="215"/>
  <c r="E698" i="215"/>
  <c r="C708" i="215"/>
  <c r="N698" i="215"/>
  <c r="N708" i="215" s="1"/>
  <c r="O698" i="215"/>
  <c r="O700" i="215"/>
  <c r="D707" i="215"/>
  <c r="I707" i="215"/>
  <c r="P707" i="215"/>
  <c r="H707" i="215"/>
  <c r="E707" i="215"/>
  <c r="P714" i="215"/>
  <c r="H714" i="215"/>
  <c r="E714" i="215"/>
  <c r="D714" i="215"/>
  <c r="D398" i="215" s="1"/>
  <c r="I714" i="215"/>
  <c r="O719" i="215"/>
  <c r="N721" i="215"/>
  <c r="E721" i="215"/>
  <c r="O721" i="215"/>
  <c r="K763" i="215"/>
  <c r="I739" i="215"/>
  <c r="H739" i="215"/>
  <c r="O747" i="215"/>
  <c r="O757" i="215"/>
  <c r="N757" i="215"/>
  <c r="K803" i="215"/>
  <c r="K788" i="215"/>
  <c r="H636" i="215"/>
  <c r="H640" i="215"/>
  <c r="J668" i="215"/>
  <c r="O661" i="215"/>
  <c r="O668" i="215" s="1"/>
  <c r="D667" i="215"/>
  <c r="P667" i="215"/>
  <c r="H667" i="215"/>
  <c r="H718" i="215"/>
  <c r="E718" i="215"/>
  <c r="D718" i="215"/>
  <c r="I718" i="215"/>
  <c r="C763" i="215"/>
  <c r="L763" i="215"/>
  <c r="L748" i="215"/>
  <c r="O744" i="215"/>
  <c r="O758" i="215"/>
  <c r="N758" i="215"/>
  <c r="E758" i="215"/>
  <c r="O725" i="215"/>
  <c r="E747" i="215"/>
  <c r="O762" i="215"/>
  <c r="M763" i="215"/>
  <c r="M770" i="215" s="1"/>
  <c r="J803" i="215"/>
  <c r="I787" i="215"/>
  <c r="H787" i="215"/>
  <c r="E792" i="215"/>
  <c r="O796" i="215"/>
  <c r="H798" i="215"/>
  <c r="L843" i="215"/>
  <c r="E821" i="215"/>
  <c r="D821" i="215"/>
  <c r="I821" i="215"/>
  <c r="H821" i="215"/>
  <c r="E838" i="215"/>
  <c r="D838" i="215"/>
  <c r="I838" i="215"/>
  <c r="H838" i="215"/>
  <c r="L883" i="215"/>
  <c r="L890" i="215" s="1"/>
  <c r="E876" i="215"/>
  <c r="D876" i="215"/>
  <c r="I876" i="215"/>
  <c r="P876" i="215"/>
  <c r="H876" i="215"/>
  <c r="O879" i="215"/>
  <c r="E888" i="215"/>
  <c r="P888" i="215"/>
  <c r="I888" i="215"/>
  <c r="H888" i="215"/>
  <c r="H666" i="215"/>
  <c r="H671" i="215"/>
  <c r="H675" i="215"/>
  <c r="D721" i="215"/>
  <c r="D405" i="215" s="1"/>
  <c r="H747" i="215"/>
  <c r="P747" i="215"/>
  <c r="K748" i="215"/>
  <c r="I750" i="215"/>
  <c r="I751" i="215"/>
  <c r="I755" i="215"/>
  <c r="H758" i="215"/>
  <c r="I762" i="215"/>
  <c r="I792" i="215"/>
  <c r="H792" i="215"/>
  <c r="O801" i="215"/>
  <c r="N828" i="215"/>
  <c r="E830" i="215"/>
  <c r="D830" i="215"/>
  <c r="I830" i="215"/>
  <c r="P830" i="215"/>
  <c r="H830" i="215"/>
  <c r="N843" i="215"/>
  <c r="C850" i="215"/>
  <c r="N883" i="215"/>
  <c r="C890" i="215"/>
  <c r="E867" i="215"/>
  <c r="D867" i="215"/>
  <c r="I867" i="215"/>
  <c r="P867" i="215"/>
  <c r="H867" i="215"/>
  <c r="F763" i="215"/>
  <c r="O754" i="215"/>
  <c r="E757" i="215"/>
  <c r="E401" i="215" s="1"/>
  <c r="C803" i="215"/>
  <c r="C788" i="215"/>
  <c r="N778" i="215"/>
  <c r="M803" i="215"/>
  <c r="M810" i="215" s="1"/>
  <c r="I796" i="215"/>
  <c r="H796" i="215"/>
  <c r="E825" i="215"/>
  <c r="D825" i="215"/>
  <c r="I825" i="215"/>
  <c r="H825" i="215"/>
  <c r="F883" i="215"/>
  <c r="O871" i="215"/>
  <c r="F725" i="215"/>
  <c r="G748" i="215"/>
  <c r="I759" i="215"/>
  <c r="P761" i="215"/>
  <c r="H761" i="215"/>
  <c r="G763" i="215"/>
  <c r="E778" i="215"/>
  <c r="O778" i="215"/>
  <c r="O786" i="215"/>
  <c r="N786" i="215"/>
  <c r="N790" i="215"/>
  <c r="E790" i="215"/>
  <c r="O859" i="215"/>
  <c r="O868" i="215" s="1"/>
  <c r="N859" i="215"/>
  <c r="E863" i="215"/>
  <c r="D863" i="215"/>
  <c r="I863" i="215"/>
  <c r="P863" i="215"/>
  <c r="H863" i="215"/>
  <c r="F803" i="215"/>
  <c r="O787" i="215"/>
  <c r="N794" i="215"/>
  <c r="E794" i="215"/>
  <c r="H752" i="215"/>
  <c r="P754" i="215"/>
  <c r="I757" i="215"/>
  <c r="D758" i="215"/>
  <c r="H759" i="215"/>
  <c r="I761" i="215"/>
  <c r="E762" i="215"/>
  <c r="H778" i="215"/>
  <c r="G803" i="215"/>
  <c r="E780" i="215"/>
  <c r="O780" i="215"/>
  <c r="E784" i="215"/>
  <c r="O784" i="215"/>
  <c r="E787" i="215"/>
  <c r="O791" i="215"/>
  <c r="N791" i="215"/>
  <c r="I793" i="215"/>
  <c r="O794" i="215"/>
  <c r="N798" i="215"/>
  <c r="E798" i="215"/>
  <c r="J843" i="215"/>
  <c r="O843" i="215" s="1"/>
  <c r="J828" i="215"/>
  <c r="O818" i="215"/>
  <c r="O828" i="215" s="1"/>
  <c r="J883" i="215"/>
  <c r="J890" i="215" s="1"/>
  <c r="O883" i="215"/>
  <c r="J763" i="215"/>
  <c r="D747" i="215"/>
  <c r="I752" i="215"/>
  <c r="O753" i="215"/>
  <c r="O766" i="215"/>
  <c r="D779" i="215"/>
  <c r="I779" i="215"/>
  <c r="O792" i="215"/>
  <c r="O795" i="215"/>
  <c r="N795" i="215"/>
  <c r="I797" i="215"/>
  <c r="O798" i="215"/>
  <c r="I841" i="215"/>
  <c r="E860" i="215"/>
  <c r="D860" i="215"/>
  <c r="I860" i="215"/>
  <c r="P860" i="215"/>
  <c r="H860" i="215"/>
  <c r="D778" i="215"/>
  <c r="F788" i="215"/>
  <c r="H790" i="215"/>
  <c r="H794" i="215"/>
  <c r="I801" i="215"/>
  <c r="I806" i="215"/>
  <c r="I826" i="215"/>
  <c r="M828" i="215"/>
  <c r="I831" i="215"/>
  <c r="I835" i="215"/>
  <c r="I839" i="215"/>
  <c r="H841" i="215"/>
  <c r="P841" i="215"/>
  <c r="I861" i="215"/>
  <c r="I864" i="215"/>
  <c r="E866" i="215"/>
  <c r="E871" i="215"/>
  <c r="I873" i="215"/>
  <c r="E875" i="215"/>
  <c r="I877" i="215"/>
  <c r="E879" i="215"/>
  <c r="E882" i="215"/>
  <c r="D818" i="215"/>
  <c r="D823" i="215"/>
  <c r="D827" i="215"/>
  <c r="F828" i="215"/>
  <c r="D832" i="215"/>
  <c r="N866" i="215"/>
  <c r="N868" i="215" s="1"/>
  <c r="J868" i="215"/>
  <c r="D766" i="215"/>
  <c r="D786" i="215"/>
  <c r="D390" i="215" s="1"/>
  <c r="D791" i="215"/>
  <c r="D395" i="215" s="1"/>
  <c r="D795" i="215"/>
  <c r="D399" i="215" s="1"/>
  <c r="D799" i="215"/>
  <c r="E818" i="215"/>
  <c r="E823" i="215"/>
  <c r="E827" i="215"/>
  <c r="G828" i="215"/>
  <c r="E832" i="215"/>
  <c r="D842" i="215"/>
  <c r="F843" i="215"/>
  <c r="D858" i="215"/>
  <c r="C868" i="215"/>
  <c r="K868" i="215"/>
  <c r="D826" i="215"/>
  <c r="D831" i="215"/>
  <c r="D835" i="215"/>
  <c r="D839" i="215"/>
  <c r="E842" i="215"/>
  <c r="E858" i="215"/>
  <c r="D861" i="215"/>
  <c r="D864" i="215"/>
  <c r="H866" i="215"/>
  <c r="L868" i="215"/>
  <c r="D873" i="215"/>
  <c r="D877" i="215"/>
  <c r="J788" i="215"/>
  <c r="F868" i="215"/>
  <c r="H786" i="215"/>
  <c r="H791" i="215"/>
  <c r="H795" i="215"/>
  <c r="H858" i="215"/>
  <c r="P858" i="215"/>
  <c r="H165" i="215" l="1"/>
  <c r="I165" i="215"/>
  <c r="D391" i="215"/>
  <c r="D387" i="215"/>
  <c r="I642" i="215"/>
  <c r="P642" i="215"/>
  <c r="H642" i="215"/>
  <c r="I708" i="215"/>
  <c r="H708" i="215"/>
  <c r="E708" i="215"/>
  <c r="P708" i="215"/>
  <c r="D396" i="215"/>
  <c r="E396" i="215"/>
  <c r="D668" i="215"/>
  <c r="D683" i="215" s="1"/>
  <c r="D690" i="215" s="1"/>
  <c r="D382" i="215"/>
  <c r="E388" i="215"/>
  <c r="C690" i="215"/>
  <c r="N683" i="215"/>
  <c r="O683" i="215"/>
  <c r="P450" i="215"/>
  <c r="H450" i="215"/>
  <c r="E450" i="215"/>
  <c r="E457" i="215" s="1"/>
  <c r="E543" i="215"/>
  <c r="P543" i="215"/>
  <c r="I543" i="215"/>
  <c r="H543" i="215"/>
  <c r="O467" i="215"/>
  <c r="O517" i="215"/>
  <c r="J490" i="215"/>
  <c r="O490" i="215" s="1"/>
  <c r="D309" i="215"/>
  <c r="D324" i="215"/>
  <c r="D331" i="215" s="1"/>
  <c r="O269" i="215"/>
  <c r="P269" i="215" s="1"/>
  <c r="E143" i="215"/>
  <c r="I143" i="215"/>
  <c r="P143" i="215" s="1"/>
  <c r="H143" i="215"/>
  <c r="D75" i="215"/>
  <c r="D82" i="215" s="1"/>
  <c r="D60" i="215"/>
  <c r="I158" i="215"/>
  <c r="P158" i="215" s="1"/>
  <c r="I284" i="215"/>
  <c r="P284" i="215" s="1"/>
  <c r="K118" i="215"/>
  <c r="D103" i="215"/>
  <c r="E868" i="215"/>
  <c r="I868" i="215"/>
  <c r="P868" i="215"/>
  <c r="H868" i="215"/>
  <c r="D883" i="215"/>
  <c r="D890" i="215" s="1"/>
  <c r="D868" i="215"/>
  <c r="D403" i="215"/>
  <c r="I828" i="215"/>
  <c r="P828" i="215"/>
  <c r="H828" i="215"/>
  <c r="E828" i="215"/>
  <c r="P788" i="215"/>
  <c r="H788" i="215"/>
  <c r="E788" i="215"/>
  <c r="I788" i="215"/>
  <c r="I803" i="215"/>
  <c r="F810" i="215"/>
  <c r="E803" i="215"/>
  <c r="P803" i="215"/>
  <c r="H803" i="215"/>
  <c r="O803" i="215"/>
  <c r="N803" i="215"/>
  <c r="C810" i="215"/>
  <c r="C770" i="215"/>
  <c r="N763" i="215"/>
  <c r="O763" i="215"/>
  <c r="D394" i="215"/>
  <c r="O623" i="215"/>
  <c r="N623" i="215"/>
  <c r="C628" i="215"/>
  <c r="G392" i="215"/>
  <c r="J524" i="215"/>
  <c r="L490" i="215"/>
  <c r="C565" i="215"/>
  <c r="O558" i="215"/>
  <c r="N558" i="215"/>
  <c r="O509" i="215"/>
  <c r="O352" i="215"/>
  <c r="P352" i="215" s="1"/>
  <c r="O309" i="215"/>
  <c r="O186" i="215"/>
  <c r="P103" i="215"/>
  <c r="H103" i="215"/>
  <c r="E103" i="215"/>
  <c r="I103" i="215"/>
  <c r="J201" i="215"/>
  <c r="J208" i="215" s="1"/>
  <c r="I60" i="215"/>
  <c r="P60" i="215"/>
  <c r="H60" i="215"/>
  <c r="H291" i="215"/>
  <c r="I291" i="215"/>
  <c r="E20" i="215"/>
  <c r="E35" i="215"/>
  <c r="E42" i="215" s="1"/>
  <c r="J186" i="215"/>
  <c r="D788" i="215"/>
  <c r="D803" i="215"/>
  <c r="E394" i="215"/>
  <c r="D385" i="215"/>
  <c r="D406" i="215"/>
  <c r="D389" i="215"/>
  <c r="O543" i="215"/>
  <c r="O730" i="215"/>
  <c r="N730" i="215"/>
  <c r="N352" i="215"/>
  <c r="P342" i="215"/>
  <c r="I324" i="215"/>
  <c r="P324" i="215"/>
  <c r="H324" i="215"/>
  <c r="E324" i="215"/>
  <c r="E331" i="215" s="1"/>
  <c r="O331" i="215"/>
  <c r="P331" i="215" s="1"/>
  <c r="N331" i="215"/>
  <c r="O219" i="215"/>
  <c r="P219" i="215" s="1"/>
  <c r="O220" i="215"/>
  <c r="P179" i="215"/>
  <c r="I186" i="215"/>
  <c r="H186" i="215"/>
  <c r="E186" i="215"/>
  <c r="P186" i="215"/>
  <c r="D201" i="215"/>
  <c r="D208" i="215" s="1"/>
  <c r="O890" i="215"/>
  <c r="N890" i="215"/>
  <c r="D402" i="215"/>
  <c r="E389" i="215"/>
  <c r="O609" i="215"/>
  <c r="N609" i="215"/>
  <c r="I565" i="215"/>
  <c r="H565" i="215"/>
  <c r="O435" i="215"/>
  <c r="O500" i="215"/>
  <c r="I352" i="215"/>
  <c r="H352" i="215"/>
  <c r="E352" i="215"/>
  <c r="I392" i="215"/>
  <c r="P392" i="215"/>
  <c r="H392" i="215"/>
  <c r="N324" i="215"/>
  <c r="I374" i="215"/>
  <c r="H374" i="215"/>
  <c r="D269" i="215"/>
  <c r="D284" i="215"/>
  <c r="D291" i="215" s="1"/>
  <c r="C208" i="215"/>
  <c r="N201" i="215"/>
  <c r="J226" i="215"/>
  <c r="H20" i="215"/>
  <c r="I20" i="215"/>
  <c r="P20" i="215"/>
  <c r="D158" i="215"/>
  <c r="D165" i="215" s="1"/>
  <c r="D143" i="215"/>
  <c r="I226" i="215"/>
  <c r="P226" i="215" s="1"/>
  <c r="H226" i="215"/>
  <c r="E226" i="215"/>
  <c r="I725" i="215"/>
  <c r="H725" i="215"/>
  <c r="P763" i="215"/>
  <c r="I763" i="215"/>
  <c r="H763" i="215"/>
  <c r="E763" i="215"/>
  <c r="E770" i="215" s="1"/>
  <c r="F770" i="215"/>
  <c r="E402" i="215"/>
  <c r="O708" i="215"/>
  <c r="E387" i="215"/>
  <c r="D410" i="215"/>
  <c r="O482" i="215"/>
  <c r="D450" i="215"/>
  <c r="D457" i="215" s="1"/>
  <c r="O367" i="215"/>
  <c r="P367" i="215" s="1"/>
  <c r="N367" i="215"/>
  <c r="C374" i="215"/>
  <c r="O392" i="215"/>
  <c r="E309" i="215"/>
  <c r="I309" i="215"/>
  <c r="P309" i="215" s="1"/>
  <c r="H309" i="215"/>
  <c r="O324" i="215"/>
  <c r="I248" i="215"/>
  <c r="H248" i="215"/>
  <c r="E414" i="215"/>
  <c r="P259" i="215"/>
  <c r="J241" i="215"/>
  <c r="C165" i="215"/>
  <c r="O158" i="215"/>
  <c r="N158" i="215"/>
  <c r="D241" i="215"/>
  <c r="D248" i="215" s="1"/>
  <c r="D226" i="215"/>
  <c r="D35" i="215"/>
  <c r="D42" i="215" s="1"/>
  <c r="E158" i="215"/>
  <c r="E165" i="215" s="1"/>
  <c r="O788" i="215"/>
  <c r="O850" i="215"/>
  <c r="N850" i="215"/>
  <c r="E385" i="215"/>
  <c r="F690" i="215"/>
  <c r="P683" i="215"/>
  <c r="E683" i="215"/>
  <c r="E690" i="215" s="1"/>
  <c r="I683" i="215"/>
  <c r="H683" i="215"/>
  <c r="E382" i="215"/>
  <c r="E384" i="215"/>
  <c r="D748" i="215"/>
  <c r="E723" i="215"/>
  <c r="E730" i="215" s="1"/>
  <c r="I723" i="215"/>
  <c r="F730" i="215"/>
  <c r="P723" i="215"/>
  <c r="H723" i="215"/>
  <c r="I588" i="215"/>
  <c r="F589" i="215"/>
  <c r="D352" i="215"/>
  <c r="O226" i="215"/>
  <c r="I118" i="215"/>
  <c r="H118" i="215"/>
  <c r="E118" i="215"/>
  <c r="E125" i="215" s="1"/>
  <c r="H42" i="215"/>
  <c r="N125" i="215"/>
  <c r="D843" i="215"/>
  <c r="D828" i="215"/>
  <c r="E391" i="215"/>
  <c r="E398" i="215"/>
  <c r="D400" i="215"/>
  <c r="D763" i="215"/>
  <c r="D770" i="215" s="1"/>
  <c r="E405" i="215"/>
  <c r="O648" i="215"/>
  <c r="N648" i="215"/>
  <c r="H580" i="215"/>
  <c r="K524" i="215"/>
  <c r="O414" i="215"/>
  <c r="N414" i="215"/>
  <c r="O466" i="215"/>
  <c r="O284" i="215"/>
  <c r="C291" i="215"/>
  <c r="N284" i="215"/>
  <c r="N248" i="215"/>
  <c r="H284" i="215"/>
  <c r="I35" i="215"/>
  <c r="P35" i="215"/>
  <c r="H35" i="215"/>
  <c r="E241" i="215"/>
  <c r="E248" i="215" s="1"/>
  <c r="I241" i="215"/>
  <c r="H241" i="215"/>
  <c r="O82" i="215"/>
  <c r="P82" i="215" s="1"/>
  <c r="I82" i="215"/>
  <c r="H82" i="215"/>
  <c r="N42" i="215"/>
  <c r="O42" i="215"/>
  <c r="I843" i="215"/>
  <c r="P843" i="215"/>
  <c r="H843" i="215"/>
  <c r="F850" i="215"/>
  <c r="E843" i="215"/>
  <c r="E850" i="215" s="1"/>
  <c r="E406" i="215"/>
  <c r="G407" i="215"/>
  <c r="E883" i="215"/>
  <c r="E890" i="215" s="1"/>
  <c r="F890" i="215"/>
  <c r="I883" i="215"/>
  <c r="I890" i="215" s="1"/>
  <c r="P883" i="215"/>
  <c r="H883" i="215"/>
  <c r="N788" i="215"/>
  <c r="D723" i="215"/>
  <c r="D730" i="215" s="1"/>
  <c r="D383" i="215"/>
  <c r="H748" i="215"/>
  <c r="P748" i="215"/>
  <c r="I748" i="215"/>
  <c r="E748" i="215"/>
  <c r="P575" i="215"/>
  <c r="I580" i="215"/>
  <c r="C589" i="215"/>
  <c r="O580" i="215"/>
  <c r="N580" i="215"/>
  <c r="E558" i="215"/>
  <c r="E565" i="215" s="1"/>
  <c r="P558" i="215"/>
  <c r="H558" i="215"/>
  <c r="I558" i="215"/>
  <c r="O450" i="215"/>
  <c r="N450" i="215"/>
  <c r="C457" i="215"/>
  <c r="E435" i="215"/>
  <c r="P435" i="215"/>
  <c r="H435" i="215"/>
  <c r="O407" i="215"/>
  <c r="D163" i="215"/>
  <c r="I163" i="215"/>
  <c r="P163" i="215"/>
  <c r="E75" i="215"/>
  <c r="E82" i="215" s="1"/>
  <c r="E60" i="215"/>
  <c r="F208" i="215"/>
  <c r="I201" i="215"/>
  <c r="H201" i="215"/>
  <c r="E201" i="215"/>
  <c r="E208" i="215" s="1"/>
  <c r="D407" i="215" l="1"/>
  <c r="D414" i="215" s="1"/>
  <c r="D392" i="215"/>
  <c r="P890" i="215"/>
  <c r="H890" i="215"/>
  <c r="I690" i="215"/>
  <c r="H690" i="215"/>
  <c r="O374" i="215"/>
  <c r="P374" i="215" s="1"/>
  <c r="N374" i="215"/>
  <c r="O457" i="215"/>
  <c r="N457" i="215"/>
  <c r="G414" i="215"/>
  <c r="H407" i="215"/>
  <c r="I407" i="215"/>
  <c r="N291" i="215"/>
  <c r="O291" i="215"/>
  <c r="P291" i="215" s="1"/>
  <c r="I770" i="215"/>
  <c r="H770" i="215"/>
  <c r="N589" i="215"/>
  <c r="O589" i="215"/>
  <c r="I589" i="215"/>
  <c r="P589" i="215"/>
  <c r="H589" i="215"/>
  <c r="I810" i="215"/>
  <c r="H810" i="215"/>
  <c r="E810" i="215"/>
  <c r="D810" i="215"/>
  <c r="E392" i="215"/>
  <c r="O165" i="215"/>
  <c r="P165" i="215" s="1"/>
  <c r="N165" i="215"/>
  <c r="O201" i="215"/>
  <c r="P201" i="215" s="1"/>
  <c r="O524" i="215"/>
  <c r="O770" i="215"/>
  <c r="N770" i="215"/>
  <c r="I850" i="215"/>
  <c r="H850" i="215"/>
  <c r="J248" i="215"/>
  <c r="O248" i="215" s="1"/>
  <c r="P248" i="215" s="1"/>
  <c r="O241" i="215"/>
  <c r="P241" i="215" s="1"/>
  <c r="N208" i="215"/>
  <c r="O208" i="215"/>
  <c r="O810" i="215"/>
  <c r="N810" i="215"/>
  <c r="K125" i="215"/>
  <c r="O125" i="215" s="1"/>
  <c r="P125" i="215" s="1"/>
  <c r="O118" i="215"/>
  <c r="P118" i="215" s="1"/>
  <c r="N690" i="215"/>
  <c r="O690" i="215"/>
  <c r="I208" i="215"/>
  <c r="P208" i="215"/>
  <c r="H208" i="215"/>
  <c r="O628" i="215"/>
  <c r="N628" i="215"/>
  <c r="H730" i="215"/>
  <c r="I730" i="215"/>
  <c r="I414" i="215" l="1"/>
  <c r="H414" i="215"/>
</calcChain>
</file>

<file path=xl/sharedStrings.xml><?xml version="1.0" encoding="utf-8"?>
<sst xmlns="http://schemas.openxmlformats.org/spreadsheetml/2006/main" count="2911" uniqueCount="191">
  <si>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</si>
  <si>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</si>
  <si>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</si>
  <si>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</si>
  <si>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</si>
  <si>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</si>
  <si>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</si>
  <si>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</si>
  <si>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</si>
  <si>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</si>
  <si>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</si>
  <si>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</si>
  <si>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</si>
  <si>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</si>
  <si>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</si>
  <si>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</si>
  <si>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</si>
  <si>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</si>
  <si>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</si>
  <si>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</si>
  <si>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</si>
  <si>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</si>
  <si>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</si>
  <si>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</si>
  <si>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</si>
  <si>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</si>
  <si>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</si>
  <si>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</si>
  <si>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</si>
  <si>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</si>
  <si>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</si>
  <si>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</si>
  <si>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</si>
  <si>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</si>
  <si>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</si>
  <si>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</si>
  <si>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</si>
  <si>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</si>
  <si>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</si>
  <si>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</si>
  <si>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</si>
  <si>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</si>
  <si>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</si>
  <si>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</si>
  <si>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</si>
  <si>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</si>
  <si>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</si>
  <si>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</si>
  <si>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</si>
  <si>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</si>
  <si>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</si>
  <si>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</si>
  <si>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</si>
  <si>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</si>
  <si>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</si>
  <si>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</si>
  <si>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</si>
  <si>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</si>
  <si>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</si>
  <si>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</si>
  <si>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</si>
  <si>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</si>
  <si>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</si>
  <si>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</si>
  <si>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</si>
  <si>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</si>
  <si>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</si>
  <si>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</si>
  <si>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</si>
  <si>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</si>
  <si>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</si>
  <si>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</si>
  <si>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</si>
  <si>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</si>
  <si>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</si>
  <si>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</si>
  <si>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</si>
  <si>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</si>
  <si>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</si>
  <si>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</si>
  <si>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</si>
  <si>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</si>
  <si>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</si>
  <si>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</si>
  <si>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</si>
  <si>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</si>
  <si>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</si>
  <si>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</si>
  <si>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</si>
  <si>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</si>
  <si>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</si>
  <si>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</si>
  <si>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</si>
  <si>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</si>
  <si>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</si>
  <si>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</si>
  <si>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</si>
  <si>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</si>
  <si>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</si>
  <si>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</si>
  <si>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</si>
  <si>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</si>
  <si>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</si>
  <si>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</si>
  <si>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</si>
  <si>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</si>
  <si>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</si>
  <si>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</si>
  <si>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</si>
  <si>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</si>
  <si>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</si>
  <si>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</si>
  <si>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</si>
  <si>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</si>
  <si>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</si>
  <si>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</si>
  <si>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</si>
  <si>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</si>
  <si>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</si>
  <si>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</si>
  <si>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</si>
  <si>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</si>
  <si>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</si>
  <si>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</si>
  <si>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</si>
  <si>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</si>
  <si>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</si>
  <si>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</si>
  <si>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</si>
  <si>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</si>
  <si>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</si>
  <si>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</si>
  <si>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</si>
  <si>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</si>
  <si>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</si>
  <si>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</si>
  <si>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</si>
  <si>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</si>
  <si>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</si>
  <si>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</si>
  <si>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</si>
  <si>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</si>
  <si>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</si>
  <si>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</si>
  <si>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</si>
  <si>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</si>
  <si>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</si>
  <si>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</si>
  <si>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</si>
  <si>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</si>
  <si>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</si>
  <si>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</si>
  <si>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</si>
  <si>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</si>
  <si>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</si>
  <si>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</si>
  <si>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</si>
  <si>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</si>
  <si>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</si>
  <si>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</si>
  <si>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</si>
  <si>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</si>
  <si>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</si>
  <si>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</si>
  <si>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</si>
  <si>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</si>
  <si>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</si>
  <si>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</si>
  <si>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</si>
  <si>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</si>
  <si>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</si>
  <si>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</si>
  <si>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</si>
  <si>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</si>
  <si>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</si>
  <si>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</si>
  <si>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</si>
  <si>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</si>
  <si>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</si>
  <si>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</si>
  <si>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</si>
  <si>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</si>
  <si>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</si>
  <si>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</si>
  <si>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</si>
  <si>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</si>
  <si>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</si>
  <si>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</si>
  <si>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JAX/*2A4AC</t>
  </si>
  <si>
    <t>Number of Weeks to end of year is 2</t>
  </si>
  <si>
    <t>This weeks report includes swap numbers 1160-1218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</si>
</sst>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4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lreps/Pelrep_20_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Alloc%202022/Combined%20EWSNI%20Allocat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Swap%202022/qswa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>
        <row r="3">
          <cell r="C3">
            <v>21</v>
          </cell>
          <cell r="D3">
            <v>23</v>
          </cell>
          <cell r="E3">
            <v>20</v>
          </cell>
          <cell r="F3">
            <v>88</v>
          </cell>
          <cell r="G3">
            <v>19</v>
          </cell>
          <cell r="H3">
            <v>90</v>
          </cell>
          <cell r="I3">
            <v>91</v>
          </cell>
          <cell r="J3">
            <v>911</v>
          </cell>
          <cell r="K3">
            <v>912</v>
          </cell>
          <cell r="L3">
            <v>913</v>
          </cell>
          <cell r="M3">
            <v>24</v>
          </cell>
          <cell r="N3">
            <v>71</v>
          </cell>
          <cell r="O3">
            <v>72</v>
          </cell>
          <cell r="P3">
            <v>69</v>
          </cell>
          <cell r="Q3">
            <v>103</v>
          </cell>
          <cell r="R3">
            <v>57</v>
          </cell>
          <cell r="S3">
            <v>73</v>
          </cell>
          <cell r="T3">
            <v>150</v>
          </cell>
          <cell r="U3">
            <v>990</v>
          </cell>
          <cell r="V3">
            <v>104</v>
          </cell>
          <cell r="W3">
            <v>53</v>
          </cell>
        </row>
        <row r="4">
          <cell r="C4" t="str">
            <v>North Sea Herring</v>
          </cell>
          <cell r="D4" t="str">
            <v>West Coast Herring</v>
          </cell>
          <cell r="E4" t="str">
            <v>West Coast Mackerel</v>
          </cell>
          <cell r="F4" t="str">
            <v>Shet. Box Mackerel</v>
          </cell>
          <cell r="G4" t="str">
            <v>North Sea Mackerel</v>
          </cell>
          <cell r="H4" t="str">
            <v>N.Sea Mackerel IIIa Ivbc</v>
          </cell>
          <cell r="I4" t="str">
            <v>Atlanto Scandian Herring</v>
          </cell>
          <cell r="J4" t="str">
            <v>AS Norway</v>
          </cell>
          <cell r="K4" t="str">
            <v>AS Norway EEZ</v>
          </cell>
          <cell r="L4" t="str">
            <v>AS Faroe</v>
          </cell>
          <cell r="M4" t="str">
            <v>Clyde Firth Herring</v>
          </cell>
          <cell r="N4" t="str">
            <v>North Sea Horse Mackerel</v>
          </cell>
          <cell r="O4" t="str">
            <v>West Coast Horse Mackerel</v>
          </cell>
          <cell r="P4" t="str">
            <v>North Sea Blue Whiting</v>
          </cell>
          <cell r="Q4" t="str">
            <v>North Sea Sand Eels</v>
          </cell>
          <cell r="R4" t="str">
            <v>Norwegian Sand Eels</v>
          </cell>
          <cell r="S4" t="str">
            <v>Norway Pout</v>
          </cell>
          <cell r="T4" t="str">
            <v>Blue Whiting I-VIII, XII, XIV</v>
          </cell>
          <cell r="U4" t="str">
            <v>Shetland Sandeels</v>
          </cell>
          <cell r="V4" t="str">
            <v>Blue Whiting VIII</v>
          </cell>
          <cell r="W4" t="str">
            <v>Far Blue Whiting</v>
          </cell>
          <cell r="X4" t="str">
            <v>NS Sandeels (Area1)</v>
          </cell>
          <cell r="Y4" t="str">
            <v>NS Sandeels (Area2)</v>
          </cell>
          <cell r="Z4" t="str">
            <v>NS Sandeels (Area3)</v>
          </cell>
          <cell r="AA4" t="str">
            <v>NS Sandeels (Area4)</v>
          </cell>
          <cell r="AB4" t="str">
            <v>NS Sandeels (Area5)</v>
          </cell>
          <cell r="AC4" t="str">
            <v>NS Sandeels (Area6)</v>
          </cell>
          <cell r="AD4" t="str">
            <v xml:space="preserve">WS Mac Of Which IIa Nor </v>
          </cell>
        </row>
        <row r="5">
          <cell r="B5" t="str">
            <v>SFO</v>
          </cell>
          <cell r="C5" t="str">
            <v>Open</v>
          </cell>
          <cell r="D5" t="str">
            <v>Open</v>
          </cell>
          <cell r="E5" t="str">
            <v>Open</v>
          </cell>
          <cell r="F5" t="str">
            <v>Open</v>
          </cell>
          <cell r="G5" t="str">
            <v>Open</v>
          </cell>
          <cell r="H5" t="str">
            <v>Open</v>
          </cell>
          <cell r="I5" t="str">
            <v>Open</v>
          </cell>
          <cell r="J5" t="str">
            <v>Open</v>
          </cell>
          <cell r="K5" t="str">
            <v>Open</v>
          </cell>
          <cell r="L5" t="str">
            <v>Open</v>
          </cell>
          <cell r="M5" t="str">
            <v>Open</v>
          </cell>
          <cell r="N5" t="str">
            <v>Open</v>
          </cell>
          <cell r="O5" t="str">
            <v>Open</v>
          </cell>
          <cell r="P5" t="str">
            <v>Open</v>
          </cell>
          <cell r="Q5" t="str">
            <v>Open</v>
          </cell>
          <cell r="R5">
            <v>40909</v>
          </cell>
          <cell r="S5">
            <v>40909</v>
          </cell>
          <cell r="T5" t="str">
            <v>Open</v>
          </cell>
          <cell r="U5" t="str">
            <v>Open</v>
          </cell>
          <cell r="V5" t="str">
            <v>Open</v>
          </cell>
          <cell r="W5" t="str">
            <v>Open</v>
          </cell>
          <cell r="X5" t="str">
            <v>Open</v>
          </cell>
          <cell r="Y5" t="str">
            <v>Open</v>
          </cell>
          <cell r="Z5" t="str">
            <v>Open</v>
          </cell>
          <cell r="AA5" t="str">
            <v>Open</v>
          </cell>
          <cell r="AB5" t="str">
            <v>Open</v>
          </cell>
          <cell r="AC5" t="str">
            <v>Open</v>
          </cell>
          <cell r="AD5" t="str">
            <v>Open</v>
          </cell>
        </row>
        <row r="6">
          <cell r="B6" t="str">
            <v>Aberdeen</v>
          </cell>
          <cell r="C6" t="str">
            <v>Open</v>
          </cell>
          <cell r="D6" t="str">
            <v>Open</v>
          </cell>
          <cell r="E6">
            <v>40909</v>
          </cell>
          <cell r="F6">
            <v>40909</v>
          </cell>
          <cell r="G6" t="str">
            <v>Open</v>
          </cell>
          <cell r="H6" t="str">
            <v>Open</v>
          </cell>
          <cell r="I6" t="str">
            <v>Open</v>
          </cell>
          <cell r="J6" t="str">
            <v>Open</v>
          </cell>
          <cell r="K6" t="str">
            <v>Open</v>
          </cell>
          <cell r="L6" t="str">
            <v>Open</v>
          </cell>
          <cell r="M6" t="str">
            <v>Open</v>
          </cell>
          <cell r="N6">
            <v>40909</v>
          </cell>
          <cell r="O6">
            <v>40909</v>
          </cell>
          <cell r="P6" t="str">
            <v>Open</v>
          </cell>
          <cell r="Q6">
            <v>40909</v>
          </cell>
          <cell r="R6">
            <v>40909</v>
          </cell>
          <cell r="S6">
            <v>40909</v>
          </cell>
          <cell r="T6">
            <v>40909</v>
          </cell>
          <cell r="U6" t="str">
            <v>Open</v>
          </cell>
          <cell r="V6" t="str">
            <v>Open</v>
          </cell>
          <cell r="W6" t="str">
            <v>Open</v>
          </cell>
          <cell r="X6" t="str">
            <v>Open</v>
          </cell>
          <cell r="Y6" t="str">
            <v>Open</v>
          </cell>
          <cell r="Z6" t="str">
            <v>Open</v>
          </cell>
          <cell r="AA6" t="str">
            <v>Open</v>
          </cell>
          <cell r="AB6" t="str">
            <v>Open</v>
          </cell>
          <cell r="AC6" t="str">
            <v>Open</v>
          </cell>
          <cell r="AD6" t="str">
            <v>Open</v>
          </cell>
        </row>
        <row r="7">
          <cell r="B7" t="str">
            <v>NESFO</v>
          </cell>
          <cell r="C7">
            <v>40909</v>
          </cell>
          <cell r="D7" t="str">
            <v>Open</v>
          </cell>
          <cell r="E7">
            <v>40909</v>
          </cell>
          <cell r="F7">
            <v>40909</v>
          </cell>
          <cell r="G7" t="str">
            <v>Open</v>
          </cell>
          <cell r="H7" t="str">
            <v>Open</v>
          </cell>
          <cell r="I7" t="str">
            <v>Open</v>
          </cell>
          <cell r="J7" t="str">
            <v>Open</v>
          </cell>
          <cell r="K7" t="str">
            <v>Open</v>
          </cell>
          <cell r="L7" t="str">
            <v>Open</v>
          </cell>
          <cell r="M7" t="str">
            <v>Open</v>
          </cell>
          <cell r="N7">
            <v>40909</v>
          </cell>
          <cell r="O7">
            <v>40909</v>
          </cell>
          <cell r="P7" t="str">
            <v>Open</v>
          </cell>
          <cell r="Q7">
            <v>40909</v>
          </cell>
          <cell r="R7">
            <v>40909</v>
          </cell>
          <cell r="S7">
            <v>40909</v>
          </cell>
          <cell r="T7">
            <v>40909</v>
          </cell>
          <cell r="U7" t="str">
            <v>Open</v>
          </cell>
          <cell r="V7" t="str">
            <v>Open</v>
          </cell>
          <cell r="W7" t="str">
            <v>Open</v>
          </cell>
          <cell r="X7" t="str">
            <v>Open</v>
          </cell>
          <cell r="Y7" t="str">
            <v>Open</v>
          </cell>
          <cell r="Z7" t="str">
            <v>Open</v>
          </cell>
          <cell r="AA7" t="str">
            <v>Open</v>
          </cell>
          <cell r="AB7" t="str">
            <v>Open</v>
          </cell>
          <cell r="AC7" t="str">
            <v>Open</v>
          </cell>
          <cell r="AD7" t="str">
            <v>Open</v>
          </cell>
        </row>
        <row r="8">
          <cell r="B8" t="str">
            <v>Shetland</v>
          </cell>
          <cell r="C8" t="str">
            <v>Open</v>
          </cell>
          <cell r="D8" t="str">
            <v>Open</v>
          </cell>
          <cell r="E8" t="str">
            <v>Open</v>
          </cell>
          <cell r="F8" t="str">
            <v>Open</v>
          </cell>
          <cell r="G8" t="str">
            <v>Open</v>
          </cell>
          <cell r="H8" t="str">
            <v>Open</v>
          </cell>
          <cell r="I8" t="str">
            <v>Open</v>
          </cell>
          <cell r="J8" t="str">
            <v>Open</v>
          </cell>
          <cell r="K8" t="str">
            <v>Open</v>
          </cell>
          <cell r="L8" t="str">
            <v>Open</v>
          </cell>
          <cell r="M8" t="str">
            <v>Open</v>
          </cell>
          <cell r="N8" t="str">
            <v>Open</v>
          </cell>
          <cell r="O8" t="str">
            <v>Open</v>
          </cell>
          <cell r="P8" t="str">
            <v>Open</v>
          </cell>
          <cell r="Q8">
            <v>40909</v>
          </cell>
          <cell r="R8">
            <v>40909</v>
          </cell>
          <cell r="S8">
            <v>40909</v>
          </cell>
          <cell r="T8" t="str">
            <v>Open</v>
          </cell>
          <cell r="U8" t="str">
            <v>Open</v>
          </cell>
          <cell r="V8" t="str">
            <v>Open</v>
          </cell>
          <cell r="W8" t="str">
            <v>Open</v>
          </cell>
          <cell r="X8" t="str">
            <v>Open</v>
          </cell>
          <cell r="Y8" t="str">
            <v>Open</v>
          </cell>
          <cell r="Z8" t="str">
            <v>Open</v>
          </cell>
          <cell r="AA8" t="str">
            <v>Open</v>
          </cell>
          <cell r="AB8" t="str">
            <v>Open</v>
          </cell>
          <cell r="AC8" t="str">
            <v>Open</v>
          </cell>
          <cell r="AD8" t="str">
            <v>Open</v>
          </cell>
        </row>
        <row r="9">
          <cell r="B9" t="str">
            <v>Fife</v>
          </cell>
          <cell r="C9">
            <v>40909</v>
          </cell>
          <cell r="D9" t="str">
            <v>Open</v>
          </cell>
          <cell r="E9" t="str">
            <v>Open</v>
          </cell>
          <cell r="F9">
            <v>40909</v>
          </cell>
          <cell r="G9">
            <v>40909</v>
          </cell>
          <cell r="H9">
            <v>40909</v>
          </cell>
          <cell r="I9" t="str">
            <v>Open</v>
          </cell>
          <cell r="J9" t="str">
            <v>Open</v>
          </cell>
          <cell r="K9" t="str">
            <v>Open</v>
          </cell>
          <cell r="L9" t="str">
            <v>Open</v>
          </cell>
          <cell r="M9" t="str">
            <v>Open</v>
          </cell>
          <cell r="N9">
            <v>40909</v>
          </cell>
          <cell r="O9" t="str">
            <v>Open</v>
          </cell>
          <cell r="P9" t="str">
            <v>Open</v>
          </cell>
          <cell r="Q9">
            <v>40909</v>
          </cell>
          <cell r="R9">
            <v>40909</v>
          </cell>
          <cell r="S9">
            <v>40909</v>
          </cell>
          <cell r="T9">
            <v>40909</v>
          </cell>
          <cell r="U9" t="str">
            <v>Open</v>
          </cell>
          <cell r="V9" t="str">
            <v>Open</v>
          </cell>
          <cell r="W9" t="str">
            <v>Open</v>
          </cell>
          <cell r="X9" t="str">
            <v>Open</v>
          </cell>
          <cell r="Y9" t="str">
            <v>Open</v>
          </cell>
          <cell r="Z9" t="str">
            <v>Open</v>
          </cell>
          <cell r="AA9" t="str">
            <v>Open</v>
          </cell>
          <cell r="AB9" t="str">
            <v>Open</v>
          </cell>
          <cell r="AC9" t="str">
            <v>Open</v>
          </cell>
          <cell r="AD9" t="str">
            <v>Open</v>
          </cell>
        </row>
        <row r="10">
          <cell r="B10" t="str">
            <v>West Scotland</v>
          </cell>
          <cell r="C10">
            <v>40909</v>
          </cell>
          <cell r="D10" t="str">
            <v>Open</v>
          </cell>
          <cell r="E10" t="str">
            <v>Open</v>
          </cell>
          <cell r="F10">
            <v>40909</v>
          </cell>
          <cell r="G10">
            <v>40909</v>
          </cell>
          <cell r="H10">
            <v>40909</v>
          </cell>
          <cell r="I10" t="str">
            <v>Open</v>
          </cell>
          <cell r="J10" t="str">
            <v>Open</v>
          </cell>
          <cell r="K10" t="str">
            <v>Open</v>
          </cell>
          <cell r="L10" t="str">
            <v>Open</v>
          </cell>
          <cell r="M10" t="str">
            <v>Open</v>
          </cell>
          <cell r="N10">
            <v>40909</v>
          </cell>
          <cell r="O10">
            <v>40909</v>
          </cell>
          <cell r="P10" t="str">
            <v>Open</v>
          </cell>
          <cell r="Q10">
            <v>40909</v>
          </cell>
          <cell r="R10">
            <v>40909</v>
          </cell>
          <cell r="S10">
            <v>40909</v>
          </cell>
          <cell r="T10">
            <v>40909</v>
          </cell>
          <cell r="U10" t="str">
            <v>Open</v>
          </cell>
          <cell r="V10" t="str">
            <v>Open</v>
          </cell>
          <cell r="W10" t="str">
            <v>Open</v>
          </cell>
          <cell r="X10" t="str">
            <v>Open</v>
          </cell>
          <cell r="Y10" t="str">
            <v>Open</v>
          </cell>
          <cell r="Z10" t="str">
            <v>Open</v>
          </cell>
          <cell r="AA10" t="str">
            <v>Open</v>
          </cell>
          <cell r="AB10" t="str">
            <v>Open</v>
          </cell>
          <cell r="AC10" t="str">
            <v>Open</v>
          </cell>
          <cell r="AD10" t="str">
            <v>Open</v>
          </cell>
        </row>
        <row r="11">
          <cell r="B11" t="str">
            <v>Orkney</v>
          </cell>
          <cell r="C11">
            <v>40909</v>
          </cell>
          <cell r="D11">
            <v>40909</v>
          </cell>
          <cell r="E11">
            <v>40909</v>
          </cell>
          <cell r="F11">
            <v>40909</v>
          </cell>
          <cell r="G11">
            <v>40909</v>
          </cell>
          <cell r="H11">
            <v>40909</v>
          </cell>
          <cell r="I11" t="str">
            <v>Open</v>
          </cell>
          <cell r="J11" t="str">
            <v>Open</v>
          </cell>
          <cell r="K11" t="str">
            <v>Open</v>
          </cell>
          <cell r="L11" t="str">
            <v>Open</v>
          </cell>
          <cell r="M11" t="str">
            <v>Open</v>
          </cell>
          <cell r="N11">
            <v>40909</v>
          </cell>
          <cell r="O11">
            <v>40909</v>
          </cell>
          <cell r="P11" t="str">
            <v>Open</v>
          </cell>
          <cell r="Q11">
            <v>40909</v>
          </cell>
          <cell r="R11">
            <v>40909</v>
          </cell>
          <cell r="S11">
            <v>40909</v>
          </cell>
          <cell r="T11">
            <v>40909</v>
          </cell>
          <cell r="U11" t="str">
            <v>Open</v>
          </cell>
          <cell r="V11" t="str">
            <v>Open</v>
          </cell>
          <cell r="W11" t="str">
            <v>Open</v>
          </cell>
          <cell r="X11" t="str">
            <v>Open</v>
          </cell>
          <cell r="Y11" t="str">
            <v>Open</v>
          </cell>
          <cell r="Z11" t="str">
            <v>Open</v>
          </cell>
          <cell r="AA11" t="str">
            <v>Open</v>
          </cell>
          <cell r="AB11" t="str">
            <v>Open</v>
          </cell>
          <cell r="AC11" t="str">
            <v>Open</v>
          </cell>
          <cell r="AD11" t="str">
            <v>Open</v>
          </cell>
        </row>
        <row r="12">
          <cell r="B12" t="str">
            <v>Northern</v>
          </cell>
          <cell r="C12">
            <v>40909</v>
          </cell>
          <cell r="D12">
            <v>40909</v>
          </cell>
          <cell r="E12" t="str">
            <v>Open</v>
          </cell>
          <cell r="F12">
            <v>40909</v>
          </cell>
          <cell r="G12">
            <v>40909</v>
          </cell>
          <cell r="H12">
            <v>40909</v>
          </cell>
          <cell r="I12" t="str">
            <v>Open</v>
          </cell>
          <cell r="J12" t="str">
            <v>Open</v>
          </cell>
          <cell r="K12" t="str">
            <v>Open</v>
          </cell>
          <cell r="L12" t="str">
            <v>Open</v>
          </cell>
          <cell r="M12" t="str">
            <v>Open</v>
          </cell>
          <cell r="N12">
            <v>40909</v>
          </cell>
          <cell r="O12">
            <v>40909</v>
          </cell>
          <cell r="P12" t="str">
            <v>Open</v>
          </cell>
          <cell r="Q12">
            <v>40909</v>
          </cell>
          <cell r="R12">
            <v>40909</v>
          </cell>
          <cell r="S12">
            <v>40909</v>
          </cell>
          <cell r="T12">
            <v>40909</v>
          </cell>
          <cell r="U12" t="str">
            <v>Open</v>
          </cell>
          <cell r="V12" t="str">
            <v>Open</v>
          </cell>
          <cell r="W12" t="str">
            <v>Open</v>
          </cell>
          <cell r="X12" t="str">
            <v>Open</v>
          </cell>
          <cell r="Y12" t="str">
            <v>Open</v>
          </cell>
          <cell r="Z12" t="str">
            <v>Open</v>
          </cell>
          <cell r="AA12" t="str">
            <v>Open</v>
          </cell>
          <cell r="AB12" t="str">
            <v>Open</v>
          </cell>
          <cell r="AC12" t="str">
            <v>Open</v>
          </cell>
          <cell r="AD12" t="str">
            <v>Open</v>
          </cell>
        </row>
        <row r="13">
          <cell r="B13" t="str">
            <v>Klondyke</v>
          </cell>
          <cell r="C13" t="str">
            <v>Open</v>
          </cell>
          <cell r="D13" t="str">
            <v>Open</v>
          </cell>
          <cell r="E13" t="str">
            <v>Open</v>
          </cell>
          <cell r="F13" t="str">
            <v>Open</v>
          </cell>
          <cell r="G13" t="str">
            <v>Open</v>
          </cell>
          <cell r="H13" t="str">
            <v>Open</v>
          </cell>
          <cell r="I13" t="str">
            <v>Open</v>
          </cell>
          <cell r="J13" t="str">
            <v>Open</v>
          </cell>
          <cell r="K13" t="str">
            <v>Open</v>
          </cell>
          <cell r="L13" t="str">
            <v>Open</v>
          </cell>
          <cell r="M13" t="str">
            <v>Open</v>
          </cell>
          <cell r="N13" t="str">
            <v>Open</v>
          </cell>
          <cell r="O13" t="str">
            <v>Open</v>
          </cell>
          <cell r="P13" t="str">
            <v>Open</v>
          </cell>
          <cell r="Q13" t="str">
            <v>Open</v>
          </cell>
          <cell r="R13">
            <v>40909</v>
          </cell>
          <cell r="S13">
            <v>40909</v>
          </cell>
          <cell r="T13" t="str">
            <v>Open</v>
          </cell>
          <cell r="U13" t="str">
            <v>Open</v>
          </cell>
          <cell r="V13" t="str">
            <v>Open</v>
          </cell>
          <cell r="W13" t="str">
            <v>Open</v>
          </cell>
          <cell r="X13" t="str">
            <v>Open</v>
          </cell>
          <cell r="Y13" t="str">
            <v>Open</v>
          </cell>
          <cell r="Z13" t="str">
            <v>Open</v>
          </cell>
          <cell r="AA13" t="str">
            <v>Open</v>
          </cell>
          <cell r="AB13" t="str">
            <v>Open</v>
          </cell>
          <cell r="AC13" t="str">
            <v>Open</v>
          </cell>
          <cell r="AD13" t="str">
            <v>Open</v>
          </cell>
        </row>
        <row r="14">
          <cell r="B14" t="str">
            <v>Lunar</v>
          </cell>
          <cell r="C14" t="str">
            <v>Open</v>
          </cell>
          <cell r="D14" t="str">
            <v>Open</v>
          </cell>
          <cell r="E14" t="str">
            <v>Open</v>
          </cell>
          <cell r="F14" t="str">
            <v>Open</v>
          </cell>
          <cell r="G14" t="str">
            <v>Open</v>
          </cell>
          <cell r="H14" t="str">
            <v>Open</v>
          </cell>
          <cell r="I14" t="str">
            <v>Open</v>
          </cell>
          <cell r="J14" t="str">
            <v>Open</v>
          </cell>
          <cell r="K14" t="str">
            <v>Open</v>
          </cell>
          <cell r="L14" t="str">
            <v>Open</v>
          </cell>
          <cell r="M14" t="str">
            <v>Open</v>
          </cell>
          <cell r="N14" t="str">
            <v>Open</v>
          </cell>
          <cell r="O14" t="str">
            <v>Open</v>
          </cell>
          <cell r="P14" t="str">
            <v>Open</v>
          </cell>
          <cell r="Q14" t="str">
            <v>Open</v>
          </cell>
          <cell r="R14">
            <v>40909</v>
          </cell>
          <cell r="S14">
            <v>40909</v>
          </cell>
          <cell r="T14" t="str">
            <v>Open</v>
          </cell>
          <cell r="U14" t="str">
            <v>Open</v>
          </cell>
          <cell r="V14" t="str">
            <v>Open</v>
          </cell>
          <cell r="W14" t="str">
            <v>Open</v>
          </cell>
          <cell r="X14" t="str">
            <v>Open</v>
          </cell>
          <cell r="Y14" t="str">
            <v>Open</v>
          </cell>
          <cell r="Z14" t="str">
            <v>Open</v>
          </cell>
          <cell r="AA14" t="str">
            <v>Open</v>
          </cell>
          <cell r="AB14" t="str">
            <v>Open</v>
          </cell>
          <cell r="AC14" t="str">
            <v>Open</v>
          </cell>
          <cell r="AD14" t="str">
            <v>Open</v>
          </cell>
        </row>
        <row r="15">
          <cell r="B15" t="str">
            <v>Anglo Scot.</v>
          </cell>
          <cell r="C15" t="str">
            <v>Open</v>
          </cell>
          <cell r="D15">
            <v>40909</v>
          </cell>
          <cell r="E15" t="str">
            <v>Open</v>
          </cell>
          <cell r="F15">
            <v>40909</v>
          </cell>
          <cell r="G15" t="str">
            <v>Open</v>
          </cell>
          <cell r="H15" t="str">
            <v>Open</v>
          </cell>
          <cell r="I15" t="str">
            <v>Open</v>
          </cell>
          <cell r="J15" t="str">
            <v>Open</v>
          </cell>
          <cell r="K15" t="str">
            <v>Open</v>
          </cell>
          <cell r="L15" t="str">
            <v>Open</v>
          </cell>
          <cell r="M15" t="str">
            <v>Open</v>
          </cell>
          <cell r="N15" t="str">
            <v>Open</v>
          </cell>
          <cell r="O15" t="str">
            <v>Open</v>
          </cell>
          <cell r="P15" t="str">
            <v>Open</v>
          </cell>
          <cell r="Q15" t="str">
            <v>Open</v>
          </cell>
          <cell r="R15">
            <v>40909</v>
          </cell>
          <cell r="S15">
            <v>40909</v>
          </cell>
          <cell r="T15">
            <v>40909</v>
          </cell>
          <cell r="U15" t="str">
            <v>Open</v>
          </cell>
          <cell r="V15" t="str">
            <v>Open</v>
          </cell>
          <cell r="W15" t="str">
            <v>Open</v>
          </cell>
          <cell r="X15" t="str">
            <v>Open</v>
          </cell>
          <cell r="Y15" t="str">
            <v>Open</v>
          </cell>
          <cell r="Z15" t="str">
            <v>Open</v>
          </cell>
          <cell r="AA15" t="str">
            <v>Open</v>
          </cell>
          <cell r="AB15" t="str">
            <v>Open</v>
          </cell>
          <cell r="AC15" t="str">
            <v>Open</v>
          </cell>
          <cell r="AD15" t="str">
            <v>Open</v>
          </cell>
        </row>
        <row r="16">
          <cell r="B16" t="str">
            <v>EEFPO</v>
          </cell>
          <cell r="C16" t="str">
            <v>Open</v>
          </cell>
          <cell r="D16" t="str">
            <v>Open</v>
          </cell>
          <cell r="E16" t="str">
            <v>Open</v>
          </cell>
          <cell r="F16" t="str">
            <v>Open</v>
          </cell>
          <cell r="G16" t="str">
            <v>Open</v>
          </cell>
          <cell r="H16" t="str">
            <v>Open</v>
          </cell>
          <cell r="I16" t="str">
            <v>Open</v>
          </cell>
          <cell r="J16" t="str">
            <v>Open</v>
          </cell>
          <cell r="K16" t="str">
            <v>Open</v>
          </cell>
          <cell r="L16" t="str">
            <v>Open</v>
          </cell>
          <cell r="M16" t="str">
            <v>Open</v>
          </cell>
          <cell r="N16" t="str">
            <v>Open</v>
          </cell>
          <cell r="O16" t="str">
            <v>Open</v>
          </cell>
          <cell r="P16" t="str">
            <v>Open</v>
          </cell>
          <cell r="Q16" t="str">
            <v>Open</v>
          </cell>
          <cell r="R16">
            <v>40909</v>
          </cell>
          <cell r="S16">
            <v>40909</v>
          </cell>
          <cell r="T16" t="str">
            <v>Open</v>
          </cell>
          <cell r="U16" t="str">
            <v>Open</v>
          </cell>
          <cell r="V16" t="str">
            <v>Open</v>
          </cell>
          <cell r="W16" t="str">
            <v>Open</v>
          </cell>
          <cell r="X16" t="str">
            <v>Open</v>
          </cell>
          <cell r="Y16" t="str">
            <v>Open</v>
          </cell>
          <cell r="Z16" t="str">
            <v>Open</v>
          </cell>
          <cell r="AA16" t="str">
            <v>Open</v>
          </cell>
          <cell r="AB16" t="str">
            <v>Open</v>
          </cell>
          <cell r="AC16" t="str">
            <v>Open</v>
          </cell>
          <cell r="AD16" t="str">
            <v>Open</v>
          </cell>
        </row>
        <row r="17">
          <cell r="B17" t="str">
            <v>Western PO</v>
          </cell>
          <cell r="C17" t="str">
            <v>Open</v>
          </cell>
          <cell r="D17">
            <v>40909</v>
          </cell>
          <cell r="E17" t="str">
            <v>Open</v>
          </cell>
          <cell r="F17" t="str">
            <v>Open</v>
          </cell>
          <cell r="G17" t="str">
            <v>Open</v>
          </cell>
          <cell r="H17" t="str">
            <v>Open</v>
          </cell>
          <cell r="I17" t="str">
            <v>Open</v>
          </cell>
          <cell r="J17" t="str">
            <v>Open</v>
          </cell>
          <cell r="K17" t="str">
            <v>Open</v>
          </cell>
          <cell r="L17" t="str">
            <v>Open</v>
          </cell>
          <cell r="M17" t="str">
            <v>Open</v>
          </cell>
          <cell r="N17">
            <v>40909</v>
          </cell>
          <cell r="O17" t="str">
            <v>Open</v>
          </cell>
          <cell r="P17" t="str">
            <v>Open</v>
          </cell>
          <cell r="Q17">
            <v>40909</v>
          </cell>
          <cell r="R17">
            <v>40909</v>
          </cell>
          <cell r="S17">
            <v>40909</v>
          </cell>
          <cell r="T17">
            <v>40909</v>
          </cell>
          <cell r="U17" t="str">
            <v>Open</v>
          </cell>
          <cell r="V17" t="str">
            <v>Open</v>
          </cell>
          <cell r="W17" t="str">
            <v>Open</v>
          </cell>
          <cell r="X17" t="str">
            <v>Open</v>
          </cell>
          <cell r="Y17" t="str">
            <v>Open</v>
          </cell>
          <cell r="Z17" t="str">
            <v>Open</v>
          </cell>
          <cell r="AA17" t="str">
            <v>Open</v>
          </cell>
          <cell r="AB17" t="str">
            <v>Open</v>
          </cell>
          <cell r="AC17" t="str">
            <v>Open</v>
          </cell>
          <cell r="AD17" t="str">
            <v>Open</v>
          </cell>
        </row>
        <row r="18">
          <cell r="B18" t="str">
            <v>FPO</v>
          </cell>
          <cell r="C18" t="str">
            <v>Open</v>
          </cell>
          <cell r="D18" t="str">
            <v>Open</v>
          </cell>
          <cell r="E18" t="str">
            <v>Open</v>
          </cell>
          <cell r="F18" t="str">
            <v>Open</v>
          </cell>
          <cell r="G18" t="str">
            <v>Open</v>
          </cell>
          <cell r="H18" t="str">
            <v>Open</v>
          </cell>
          <cell r="I18" t="str">
            <v>Open</v>
          </cell>
          <cell r="J18" t="str">
            <v>Open</v>
          </cell>
          <cell r="K18" t="str">
            <v>Open</v>
          </cell>
          <cell r="L18" t="str">
            <v>Open</v>
          </cell>
          <cell r="M18" t="str">
            <v>Open</v>
          </cell>
          <cell r="N18" t="str">
            <v>Open</v>
          </cell>
          <cell r="O18" t="str">
            <v>Open</v>
          </cell>
          <cell r="P18" t="str">
            <v>Open</v>
          </cell>
          <cell r="Q18">
            <v>40909</v>
          </cell>
          <cell r="R18">
            <v>40909</v>
          </cell>
          <cell r="S18">
            <v>40909</v>
          </cell>
          <cell r="T18">
            <v>40909</v>
          </cell>
          <cell r="U18" t="str">
            <v>Open</v>
          </cell>
          <cell r="V18" t="str">
            <v>Open</v>
          </cell>
          <cell r="W18" t="str">
            <v>Open</v>
          </cell>
          <cell r="X18" t="str">
            <v>Open</v>
          </cell>
          <cell r="Y18" t="str">
            <v>Open</v>
          </cell>
          <cell r="Z18" t="str">
            <v>Open</v>
          </cell>
          <cell r="AA18" t="str">
            <v>Open</v>
          </cell>
          <cell r="AB18" t="str">
            <v>Open</v>
          </cell>
          <cell r="AC18" t="str">
            <v>Open</v>
          </cell>
          <cell r="AD18" t="str">
            <v>Open</v>
          </cell>
        </row>
        <row r="19">
          <cell r="B19" t="str">
            <v>NIFPO</v>
          </cell>
          <cell r="C19" t="str">
            <v>Open</v>
          </cell>
          <cell r="D19" t="str">
            <v>Open</v>
          </cell>
          <cell r="E19" t="str">
            <v>Open</v>
          </cell>
          <cell r="F19" t="str">
            <v>Open</v>
          </cell>
          <cell r="G19" t="str">
            <v>Open</v>
          </cell>
          <cell r="H19" t="str">
            <v>Open</v>
          </cell>
          <cell r="I19" t="str">
            <v>Open</v>
          </cell>
          <cell r="J19" t="str">
            <v>Open</v>
          </cell>
          <cell r="K19" t="str">
            <v>Open</v>
          </cell>
          <cell r="L19" t="str">
            <v>Open</v>
          </cell>
          <cell r="M19" t="str">
            <v>Open</v>
          </cell>
          <cell r="N19" t="str">
            <v>Open</v>
          </cell>
          <cell r="O19" t="str">
            <v>Open</v>
          </cell>
          <cell r="P19" t="str">
            <v>Open</v>
          </cell>
          <cell r="Q19" t="str">
            <v>Open</v>
          </cell>
          <cell r="R19">
            <v>40909</v>
          </cell>
          <cell r="S19">
            <v>40909</v>
          </cell>
          <cell r="T19">
            <v>40909</v>
          </cell>
          <cell r="U19" t="str">
            <v>Open</v>
          </cell>
          <cell r="V19" t="str">
            <v>Open</v>
          </cell>
          <cell r="W19" t="str">
            <v>Open</v>
          </cell>
          <cell r="X19" t="str">
            <v>Open</v>
          </cell>
          <cell r="Y19" t="str">
            <v>Open</v>
          </cell>
          <cell r="Z19" t="str">
            <v>Open</v>
          </cell>
          <cell r="AA19" t="str">
            <v>Open</v>
          </cell>
          <cell r="AB19" t="str">
            <v>Open</v>
          </cell>
          <cell r="AC19" t="str">
            <v>Open</v>
          </cell>
          <cell r="AD19" t="str">
            <v>Open</v>
          </cell>
        </row>
        <row r="20">
          <cell r="B20" t="str">
            <v>ANIFPO</v>
          </cell>
          <cell r="C20" t="str">
            <v>Open</v>
          </cell>
          <cell r="D20" t="str">
            <v>Open</v>
          </cell>
          <cell r="E20" t="str">
            <v>Open</v>
          </cell>
          <cell r="F20" t="str">
            <v>Open</v>
          </cell>
          <cell r="G20" t="str">
            <v>Open</v>
          </cell>
          <cell r="H20" t="str">
            <v>Open</v>
          </cell>
          <cell r="I20" t="str">
            <v>Open</v>
          </cell>
          <cell r="J20" t="str">
            <v>Open</v>
          </cell>
          <cell r="K20" t="str">
            <v>Open</v>
          </cell>
          <cell r="L20" t="str">
            <v>Open</v>
          </cell>
          <cell r="M20" t="str">
            <v>Open</v>
          </cell>
          <cell r="N20" t="str">
            <v>Open</v>
          </cell>
          <cell r="O20" t="str">
            <v>Open</v>
          </cell>
          <cell r="P20" t="str">
            <v>Open</v>
          </cell>
          <cell r="Q20" t="str">
            <v>Open</v>
          </cell>
          <cell r="R20">
            <v>40909</v>
          </cell>
          <cell r="S20">
            <v>40909</v>
          </cell>
          <cell r="T20" t="str">
            <v>Open</v>
          </cell>
          <cell r="U20" t="str">
            <v>Open</v>
          </cell>
          <cell r="V20" t="str">
            <v>Open</v>
          </cell>
          <cell r="W20" t="str">
            <v>Open</v>
          </cell>
          <cell r="X20" t="str">
            <v>Open</v>
          </cell>
          <cell r="Y20" t="str">
            <v>Open</v>
          </cell>
          <cell r="Z20" t="str">
            <v>Open</v>
          </cell>
          <cell r="AA20" t="str">
            <v>Open</v>
          </cell>
          <cell r="AB20" t="str">
            <v>Open</v>
          </cell>
          <cell r="AC20" t="str">
            <v>Open</v>
          </cell>
          <cell r="AD20" t="str">
            <v>Open</v>
          </cell>
        </row>
        <row r="21">
          <cell r="B21" t="str">
            <v>Cornish</v>
          </cell>
          <cell r="C21" t="str">
            <v>Open</v>
          </cell>
          <cell r="D21" t="str">
            <v>Open</v>
          </cell>
          <cell r="E21" t="str">
            <v>Open</v>
          </cell>
          <cell r="F21" t="str">
            <v>Open</v>
          </cell>
          <cell r="G21" t="str">
            <v>Open</v>
          </cell>
          <cell r="H21" t="str">
            <v>Open</v>
          </cell>
          <cell r="I21" t="str">
            <v>Open</v>
          </cell>
          <cell r="J21" t="str">
            <v>Open</v>
          </cell>
          <cell r="K21" t="str">
            <v>Open</v>
          </cell>
          <cell r="L21" t="str">
            <v>Open</v>
          </cell>
          <cell r="M21" t="str">
            <v>Open</v>
          </cell>
          <cell r="N21" t="str">
            <v>Open</v>
          </cell>
          <cell r="O21" t="str">
            <v>Open</v>
          </cell>
          <cell r="P21" t="str">
            <v>Open</v>
          </cell>
          <cell r="Q21" t="str">
            <v>Open</v>
          </cell>
          <cell r="R21">
            <v>40909</v>
          </cell>
          <cell r="S21">
            <v>40909</v>
          </cell>
          <cell r="T21" t="str">
            <v>Open</v>
          </cell>
          <cell r="U21" t="str">
            <v>Open</v>
          </cell>
          <cell r="V21" t="str">
            <v>Open</v>
          </cell>
          <cell r="W21" t="str">
            <v>Open</v>
          </cell>
          <cell r="X21" t="str">
            <v>Open</v>
          </cell>
          <cell r="Y21" t="str">
            <v>Open</v>
          </cell>
          <cell r="Z21" t="str">
            <v>Open</v>
          </cell>
          <cell r="AA21" t="str">
            <v>Open</v>
          </cell>
          <cell r="AB21" t="str">
            <v>Open</v>
          </cell>
          <cell r="AC21" t="str">
            <v>Open</v>
          </cell>
          <cell r="AD21" t="str">
            <v>Open</v>
          </cell>
        </row>
        <row r="22">
          <cell r="B22" t="str">
            <v>South West</v>
          </cell>
          <cell r="C22" t="str">
            <v>Open</v>
          </cell>
          <cell r="D22" t="str">
            <v>Open</v>
          </cell>
          <cell r="E22" t="str">
            <v>Open</v>
          </cell>
          <cell r="F22" t="str">
            <v>Open</v>
          </cell>
          <cell r="G22" t="str">
            <v>Open</v>
          </cell>
          <cell r="H22" t="str">
            <v>Open</v>
          </cell>
          <cell r="I22" t="str">
            <v>Open</v>
          </cell>
          <cell r="J22" t="str">
            <v>Open</v>
          </cell>
          <cell r="K22" t="str">
            <v>Open</v>
          </cell>
          <cell r="L22" t="str">
            <v>Open</v>
          </cell>
          <cell r="M22" t="str">
            <v>Open</v>
          </cell>
          <cell r="N22" t="str">
            <v>Open</v>
          </cell>
          <cell r="O22" t="str">
            <v>Open</v>
          </cell>
          <cell r="P22" t="str">
            <v>Open</v>
          </cell>
          <cell r="Q22">
            <v>40909</v>
          </cell>
          <cell r="R22">
            <v>40909</v>
          </cell>
          <cell r="S22">
            <v>40909</v>
          </cell>
          <cell r="T22" t="str">
            <v>Open</v>
          </cell>
          <cell r="U22" t="str">
            <v>Open</v>
          </cell>
          <cell r="V22" t="str">
            <v>Open</v>
          </cell>
          <cell r="W22" t="str">
            <v>Open</v>
          </cell>
          <cell r="X22" t="str">
            <v>Open</v>
          </cell>
          <cell r="Y22" t="str">
            <v>Open</v>
          </cell>
          <cell r="Z22" t="str">
            <v>Open</v>
          </cell>
          <cell r="AA22" t="str">
            <v>Open</v>
          </cell>
          <cell r="AB22" t="str">
            <v>Open</v>
          </cell>
          <cell r="AC22" t="str">
            <v>Open</v>
          </cell>
          <cell r="AD22" t="str">
            <v>Open</v>
          </cell>
        </row>
        <row r="23">
          <cell r="B23" t="str">
            <v>North Sea</v>
          </cell>
          <cell r="C23" t="str">
            <v>Open</v>
          </cell>
          <cell r="D23" t="str">
            <v>Open</v>
          </cell>
          <cell r="E23" t="str">
            <v>Open</v>
          </cell>
          <cell r="F23" t="str">
            <v>Open</v>
          </cell>
          <cell r="G23" t="str">
            <v>Open</v>
          </cell>
          <cell r="H23" t="str">
            <v>Open</v>
          </cell>
          <cell r="I23" t="str">
            <v>Open</v>
          </cell>
          <cell r="J23" t="str">
            <v>Open</v>
          </cell>
          <cell r="K23" t="str">
            <v>Open</v>
          </cell>
          <cell r="L23" t="str">
            <v>Open</v>
          </cell>
          <cell r="M23" t="str">
            <v>Open</v>
          </cell>
          <cell r="N23" t="str">
            <v>Open</v>
          </cell>
          <cell r="O23" t="str">
            <v>Open</v>
          </cell>
          <cell r="P23" t="str">
            <v>Open</v>
          </cell>
          <cell r="Q23">
            <v>40909</v>
          </cell>
          <cell r="R23">
            <v>40909</v>
          </cell>
          <cell r="S23">
            <v>40909</v>
          </cell>
          <cell r="T23" t="str">
            <v>Open</v>
          </cell>
          <cell r="U23" t="str">
            <v>Open</v>
          </cell>
          <cell r="V23" t="str">
            <v>Open</v>
          </cell>
          <cell r="W23" t="str">
            <v>Open</v>
          </cell>
          <cell r="X23" t="str">
            <v>Open</v>
          </cell>
          <cell r="Y23" t="str">
            <v>Open</v>
          </cell>
          <cell r="Z23" t="str">
            <v>Open</v>
          </cell>
          <cell r="AA23" t="str">
            <v>Open</v>
          </cell>
          <cell r="AB23" t="str">
            <v>Open</v>
          </cell>
          <cell r="AC23" t="str">
            <v>Open</v>
          </cell>
          <cell r="AD23" t="str">
            <v>Open</v>
          </cell>
        </row>
        <row r="24">
          <cell r="B24" t="str">
            <v>Lowestoft</v>
          </cell>
          <cell r="C24" t="str">
            <v>Open</v>
          </cell>
          <cell r="D24" t="str">
            <v>Open</v>
          </cell>
          <cell r="E24" t="str">
            <v>Open</v>
          </cell>
          <cell r="F24" t="str">
            <v>Open</v>
          </cell>
          <cell r="G24" t="str">
            <v>Open</v>
          </cell>
          <cell r="H24" t="str">
            <v>Open</v>
          </cell>
          <cell r="I24" t="str">
            <v>Open</v>
          </cell>
          <cell r="J24" t="str">
            <v>Open</v>
          </cell>
          <cell r="K24" t="str">
            <v>Open</v>
          </cell>
          <cell r="L24" t="str">
            <v>Open</v>
          </cell>
          <cell r="M24" t="str">
            <v>Open</v>
          </cell>
          <cell r="N24" t="str">
            <v>Open</v>
          </cell>
          <cell r="O24" t="str">
            <v>Open</v>
          </cell>
          <cell r="P24" t="str">
            <v>Open</v>
          </cell>
          <cell r="Q24">
            <v>40909</v>
          </cell>
          <cell r="R24">
            <v>40909</v>
          </cell>
          <cell r="S24">
            <v>40909</v>
          </cell>
          <cell r="T24" t="str">
            <v>Open</v>
          </cell>
          <cell r="U24" t="str">
            <v>Open</v>
          </cell>
          <cell r="V24" t="str">
            <v>Open</v>
          </cell>
          <cell r="W24" t="str">
            <v>Open</v>
          </cell>
          <cell r="X24" t="str">
            <v>Open</v>
          </cell>
          <cell r="Y24" t="str">
            <v>Open</v>
          </cell>
          <cell r="Z24" t="str">
            <v>Open</v>
          </cell>
          <cell r="AA24" t="str">
            <v>Open</v>
          </cell>
          <cell r="AB24" t="str">
            <v>Open</v>
          </cell>
          <cell r="AC24" t="str">
            <v>Open</v>
          </cell>
          <cell r="AD24" t="str">
            <v>Open</v>
          </cell>
        </row>
        <row r="25">
          <cell r="B25" t="str">
            <v>Wales WC</v>
          </cell>
          <cell r="C25">
            <v>40909</v>
          </cell>
          <cell r="D25">
            <v>40909</v>
          </cell>
          <cell r="E25" t="str">
            <v>Open</v>
          </cell>
          <cell r="F25">
            <v>40909</v>
          </cell>
          <cell r="G25">
            <v>40909</v>
          </cell>
          <cell r="H25">
            <v>40909</v>
          </cell>
          <cell r="I25" t="str">
            <v>Open</v>
          </cell>
          <cell r="J25" t="str">
            <v>Open</v>
          </cell>
          <cell r="K25" t="str">
            <v>Open</v>
          </cell>
          <cell r="L25" t="str">
            <v>Open</v>
          </cell>
          <cell r="M25" t="str">
            <v>Open</v>
          </cell>
          <cell r="N25">
            <v>40909</v>
          </cell>
          <cell r="O25" t="str">
            <v>Open</v>
          </cell>
          <cell r="P25" t="str">
            <v>Open</v>
          </cell>
          <cell r="Q25">
            <v>40909</v>
          </cell>
          <cell r="R25">
            <v>40909</v>
          </cell>
          <cell r="S25">
            <v>40909</v>
          </cell>
          <cell r="T25">
            <v>40909</v>
          </cell>
          <cell r="U25" t="str">
            <v>Open</v>
          </cell>
          <cell r="V25" t="str">
            <v>Open</v>
          </cell>
          <cell r="W25" t="str">
            <v>Open</v>
          </cell>
          <cell r="X25" t="str">
            <v>Open</v>
          </cell>
          <cell r="Y25" t="str">
            <v>Open</v>
          </cell>
          <cell r="Z25" t="str">
            <v>Open</v>
          </cell>
          <cell r="AA25" t="str">
            <v>Open</v>
          </cell>
          <cell r="AB25" t="str">
            <v>Open</v>
          </cell>
          <cell r="AC25" t="str">
            <v>Open</v>
          </cell>
          <cell r="AD25" t="str">
            <v>Open</v>
          </cell>
        </row>
        <row r="26">
          <cell r="B26" t="str">
            <v>Interfish</v>
          </cell>
          <cell r="C26" t="str">
            <v>Open</v>
          </cell>
          <cell r="D26" t="str">
            <v>Open</v>
          </cell>
          <cell r="E26" t="str">
            <v>Open</v>
          </cell>
          <cell r="F26" t="str">
            <v>Open</v>
          </cell>
          <cell r="G26" t="str">
            <v>Open</v>
          </cell>
          <cell r="H26" t="str">
            <v>Open</v>
          </cell>
          <cell r="I26" t="str">
            <v>Open</v>
          </cell>
          <cell r="J26" t="str">
            <v>Open</v>
          </cell>
          <cell r="K26" t="str">
            <v>Open</v>
          </cell>
          <cell r="L26" t="str">
            <v>Open</v>
          </cell>
          <cell r="M26" t="str">
            <v>Open</v>
          </cell>
          <cell r="N26" t="str">
            <v>Open</v>
          </cell>
          <cell r="O26" t="str">
            <v>Open</v>
          </cell>
          <cell r="P26" t="str">
            <v>Open</v>
          </cell>
          <cell r="Q26" t="str">
            <v>Open</v>
          </cell>
          <cell r="R26">
            <v>40909</v>
          </cell>
          <cell r="S26">
            <v>40909</v>
          </cell>
          <cell r="T26" t="str">
            <v>Open</v>
          </cell>
          <cell r="U26" t="str">
            <v>Open</v>
          </cell>
          <cell r="V26" t="str">
            <v>Open</v>
          </cell>
          <cell r="W26" t="str">
            <v>Open</v>
          </cell>
          <cell r="X26" t="str">
            <v>Open</v>
          </cell>
          <cell r="Y26" t="str">
            <v>Open</v>
          </cell>
          <cell r="Z26" t="str">
            <v>Open</v>
          </cell>
          <cell r="AA26" t="str">
            <v>Open</v>
          </cell>
          <cell r="AB26" t="str">
            <v>Open</v>
          </cell>
          <cell r="AC26" t="str">
            <v>Open</v>
          </cell>
          <cell r="AD26" t="str">
            <v>Open</v>
          </cell>
        </row>
        <row r="27">
          <cell r="B27" t="str">
            <v>North Atlantic FPO</v>
          </cell>
          <cell r="C27" t="str">
            <v>Open</v>
          </cell>
          <cell r="D27" t="str">
            <v>Open</v>
          </cell>
          <cell r="E27" t="str">
            <v>Open</v>
          </cell>
          <cell r="F27" t="str">
            <v>Open</v>
          </cell>
          <cell r="G27" t="str">
            <v>Open</v>
          </cell>
          <cell r="H27" t="str">
            <v>Open</v>
          </cell>
          <cell r="I27" t="str">
            <v>Open</v>
          </cell>
          <cell r="J27" t="str">
            <v>Open</v>
          </cell>
          <cell r="K27" t="str">
            <v>Open</v>
          </cell>
          <cell r="L27" t="str">
            <v>Open</v>
          </cell>
          <cell r="M27" t="str">
            <v>Open</v>
          </cell>
          <cell r="N27" t="str">
            <v>Open</v>
          </cell>
          <cell r="O27" t="str">
            <v>Open</v>
          </cell>
          <cell r="P27" t="str">
            <v>Open</v>
          </cell>
          <cell r="Q27">
            <v>40909</v>
          </cell>
          <cell r="R27">
            <v>40909</v>
          </cell>
          <cell r="S27">
            <v>40909</v>
          </cell>
          <cell r="T27">
            <v>40909</v>
          </cell>
          <cell r="U27" t="str">
            <v>Open</v>
          </cell>
          <cell r="V27" t="str">
            <v>Open</v>
          </cell>
          <cell r="W27" t="str">
            <v>Open</v>
          </cell>
          <cell r="X27" t="str">
            <v>Open</v>
          </cell>
          <cell r="Y27" t="str">
            <v>Open</v>
          </cell>
          <cell r="Z27" t="str">
            <v>Open</v>
          </cell>
          <cell r="AA27" t="str">
            <v>Open</v>
          </cell>
          <cell r="AB27" t="str">
            <v>Open</v>
          </cell>
          <cell r="AC27" t="str">
            <v>Open</v>
          </cell>
          <cell r="AD27" t="str">
            <v>Open</v>
          </cell>
        </row>
        <row r="28">
          <cell r="B28" t="str">
            <v>Non Sector</v>
          </cell>
          <cell r="C28">
            <v>40909</v>
          </cell>
          <cell r="D28" t="str">
            <v>Open</v>
          </cell>
          <cell r="E28" t="str">
            <v>Open</v>
          </cell>
          <cell r="F28">
            <v>40909</v>
          </cell>
          <cell r="G28">
            <v>40909</v>
          </cell>
          <cell r="H28">
            <v>40909</v>
          </cell>
          <cell r="I28" t="str">
            <v>Open</v>
          </cell>
          <cell r="J28" t="str">
            <v>Open</v>
          </cell>
          <cell r="K28" t="str">
            <v>Open</v>
          </cell>
          <cell r="L28" t="str">
            <v>Open</v>
          </cell>
          <cell r="M28" t="str">
            <v>Open</v>
          </cell>
          <cell r="N28">
            <v>40909</v>
          </cell>
          <cell r="O28" t="str">
            <v>Open</v>
          </cell>
          <cell r="P28" t="str">
            <v>Open</v>
          </cell>
          <cell r="Q28">
            <v>40909</v>
          </cell>
          <cell r="R28">
            <v>40909</v>
          </cell>
          <cell r="S28">
            <v>40909</v>
          </cell>
          <cell r="T28">
            <v>40909</v>
          </cell>
          <cell r="U28" t="str">
            <v>Open</v>
          </cell>
          <cell r="V28" t="str">
            <v>Open</v>
          </cell>
          <cell r="W28" t="str">
            <v>Open</v>
          </cell>
          <cell r="X28" t="str">
            <v>Open</v>
          </cell>
          <cell r="Y28" t="str">
            <v>Open</v>
          </cell>
          <cell r="Z28" t="str">
            <v>Open</v>
          </cell>
          <cell r="AA28" t="str">
            <v>Open</v>
          </cell>
          <cell r="AB28" t="str">
            <v>Open</v>
          </cell>
          <cell r="AC28" t="str">
            <v>Open</v>
          </cell>
          <cell r="AD28" t="str">
            <v>Open</v>
          </cell>
        </row>
        <row r="29">
          <cell r="B29" t="str">
            <v>Non Sector - England</v>
          </cell>
          <cell r="C29">
            <v>40909</v>
          </cell>
          <cell r="D29" t="str">
            <v>Open</v>
          </cell>
          <cell r="E29" t="str">
            <v>Open</v>
          </cell>
          <cell r="F29">
            <v>40909</v>
          </cell>
          <cell r="G29">
            <v>40909</v>
          </cell>
          <cell r="H29">
            <v>40909</v>
          </cell>
          <cell r="I29" t="str">
            <v>Open</v>
          </cell>
          <cell r="J29" t="str">
            <v>Open</v>
          </cell>
          <cell r="K29" t="str">
            <v>Open</v>
          </cell>
          <cell r="L29" t="str">
            <v>Open</v>
          </cell>
          <cell r="M29" t="str">
            <v>Open</v>
          </cell>
          <cell r="N29">
            <v>40909</v>
          </cell>
          <cell r="O29" t="str">
            <v>Open</v>
          </cell>
          <cell r="P29" t="str">
            <v>Open</v>
          </cell>
          <cell r="Q29">
            <v>40909</v>
          </cell>
          <cell r="R29">
            <v>40909</v>
          </cell>
          <cell r="S29">
            <v>40909</v>
          </cell>
          <cell r="T29">
            <v>40909</v>
          </cell>
          <cell r="U29" t="str">
            <v>Open</v>
          </cell>
          <cell r="V29" t="str">
            <v>Open</v>
          </cell>
          <cell r="W29" t="str">
            <v>Open</v>
          </cell>
          <cell r="X29" t="str">
            <v>Open</v>
          </cell>
          <cell r="Y29" t="str">
            <v>Open</v>
          </cell>
          <cell r="Z29" t="str">
            <v>Open</v>
          </cell>
          <cell r="AA29" t="str">
            <v>Open</v>
          </cell>
          <cell r="AB29" t="str">
            <v>Open</v>
          </cell>
          <cell r="AC29" t="str">
            <v>Open</v>
          </cell>
          <cell r="AD29" t="str">
            <v>Open</v>
          </cell>
        </row>
        <row r="30">
          <cell r="B30" t="str">
            <v>Non Sector - Wales</v>
          </cell>
          <cell r="C30">
            <v>40909</v>
          </cell>
          <cell r="D30" t="str">
            <v>Open</v>
          </cell>
          <cell r="E30" t="str">
            <v>Open</v>
          </cell>
          <cell r="F30">
            <v>40909</v>
          </cell>
          <cell r="G30">
            <v>40909</v>
          </cell>
          <cell r="H30">
            <v>40909</v>
          </cell>
          <cell r="I30" t="str">
            <v>Open</v>
          </cell>
          <cell r="J30" t="str">
            <v>Open</v>
          </cell>
          <cell r="K30" t="str">
            <v>Open</v>
          </cell>
          <cell r="L30" t="str">
            <v>Open</v>
          </cell>
          <cell r="M30" t="str">
            <v>Open</v>
          </cell>
          <cell r="N30">
            <v>40909</v>
          </cell>
          <cell r="O30" t="str">
            <v>Open</v>
          </cell>
          <cell r="P30" t="str">
            <v>Open</v>
          </cell>
          <cell r="Q30">
            <v>40909</v>
          </cell>
          <cell r="R30">
            <v>40909</v>
          </cell>
          <cell r="S30">
            <v>40909</v>
          </cell>
          <cell r="T30">
            <v>40909</v>
          </cell>
          <cell r="U30" t="str">
            <v>Open</v>
          </cell>
          <cell r="V30" t="str">
            <v>Open</v>
          </cell>
          <cell r="W30" t="str">
            <v>Open</v>
          </cell>
          <cell r="X30" t="str">
            <v>Open</v>
          </cell>
          <cell r="Y30" t="str">
            <v>Open</v>
          </cell>
          <cell r="Z30" t="str">
            <v>Open</v>
          </cell>
          <cell r="AA30" t="str">
            <v>Open</v>
          </cell>
          <cell r="AB30" t="str">
            <v>Open</v>
          </cell>
          <cell r="AC30" t="str">
            <v>Open</v>
          </cell>
          <cell r="AD30" t="str">
            <v>Open</v>
          </cell>
        </row>
        <row r="31">
          <cell r="B31" t="str">
            <v>Non Sector - Scotland</v>
          </cell>
          <cell r="C31">
            <v>40909</v>
          </cell>
          <cell r="D31" t="str">
            <v>Open</v>
          </cell>
          <cell r="E31">
            <v>41275</v>
          </cell>
          <cell r="F31">
            <v>40909</v>
          </cell>
          <cell r="G31">
            <v>40909</v>
          </cell>
          <cell r="H31">
            <v>40909</v>
          </cell>
          <cell r="I31" t="str">
            <v>Open</v>
          </cell>
          <cell r="J31" t="str">
            <v>Open</v>
          </cell>
          <cell r="K31" t="str">
            <v>Open</v>
          </cell>
          <cell r="L31" t="str">
            <v>Open</v>
          </cell>
          <cell r="M31" t="str">
            <v>Open</v>
          </cell>
          <cell r="N31">
            <v>40909</v>
          </cell>
          <cell r="O31" t="str">
            <v>Open</v>
          </cell>
          <cell r="P31" t="str">
            <v>Open</v>
          </cell>
          <cell r="Q31">
            <v>40909</v>
          </cell>
          <cell r="R31">
            <v>40909</v>
          </cell>
          <cell r="S31">
            <v>40909</v>
          </cell>
          <cell r="T31">
            <v>40909</v>
          </cell>
          <cell r="U31" t="str">
            <v>Open</v>
          </cell>
          <cell r="V31" t="str">
            <v>Open</v>
          </cell>
          <cell r="W31" t="str">
            <v>Open</v>
          </cell>
          <cell r="X31" t="str">
            <v>Open</v>
          </cell>
          <cell r="Y31" t="str">
            <v>Open</v>
          </cell>
          <cell r="Z31" t="str">
            <v>Open</v>
          </cell>
          <cell r="AA31" t="str">
            <v>Open</v>
          </cell>
          <cell r="AB31" t="str">
            <v>Open</v>
          </cell>
          <cell r="AC31" t="str">
            <v>Open</v>
          </cell>
          <cell r="AD31" t="str">
            <v>Open</v>
          </cell>
        </row>
        <row r="32">
          <cell r="B32" t="str">
            <v>Non Sector - N.Ireland</v>
          </cell>
          <cell r="C32">
            <v>40909</v>
          </cell>
          <cell r="D32" t="str">
            <v>Open</v>
          </cell>
          <cell r="E32" t="str">
            <v>Open</v>
          </cell>
          <cell r="F32">
            <v>40909</v>
          </cell>
          <cell r="G32">
            <v>40909</v>
          </cell>
          <cell r="H32">
            <v>40909</v>
          </cell>
          <cell r="I32" t="str">
            <v>Open</v>
          </cell>
          <cell r="J32" t="str">
            <v>Open</v>
          </cell>
          <cell r="K32" t="str">
            <v>Open</v>
          </cell>
          <cell r="L32" t="str">
            <v>Open</v>
          </cell>
          <cell r="M32" t="str">
            <v>Open</v>
          </cell>
          <cell r="N32">
            <v>40909</v>
          </cell>
          <cell r="O32" t="str">
            <v>Open</v>
          </cell>
          <cell r="P32" t="str">
            <v>Open</v>
          </cell>
          <cell r="Q32">
            <v>40909</v>
          </cell>
          <cell r="R32">
            <v>40909</v>
          </cell>
          <cell r="S32">
            <v>40909</v>
          </cell>
          <cell r="T32">
            <v>40909</v>
          </cell>
          <cell r="U32" t="str">
            <v>Open</v>
          </cell>
          <cell r="V32" t="str">
            <v>Open</v>
          </cell>
          <cell r="W32" t="str">
            <v>Open</v>
          </cell>
          <cell r="X32" t="str">
            <v>Open</v>
          </cell>
          <cell r="Y32" t="str">
            <v>Open</v>
          </cell>
          <cell r="Z32" t="str">
            <v>Open</v>
          </cell>
          <cell r="AA32" t="str">
            <v>Open</v>
          </cell>
          <cell r="AB32" t="str">
            <v>Open</v>
          </cell>
          <cell r="AC32" t="str">
            <v>Open</v>
          </cell>
          <cell r="AD32" t="str">
            <v>Open</v>
          </cell>
        </row>
        <row r="33">
          <cell r="B33" t="str">
            <v>Isle of Man</v>
          </cell>
          <cell r="C33">
            <v>40909</v>
          </cell>
          <cell r="D33">
            <v>40909</v>
          </cell>
          <cell r="E33" t="str">
            <v>Open</v>
          </cell>
          <cell r="F33">
            <v>40909</v>
          </cell>
          <cell r="G33">
            <v>40909</v>
          </cell>
          <cell r="H33">
            <v>40909</v>
          </cell>
          <cell r="I33" t="str">
            <v>Open</v>
          </cell>
          <cell r="J33" t="str">
            <v>Open</v>
          </cell>
          <cell r="K33" t="str">
            <v>Open</v>
          </cell>
          <cell r="L33" t="str">
            <v>Open</v>
          </cell>
          <cell r="M33" t="str">
            <v>Open</v>
          </cell>
          <cell r="N33">
            <v>40909</v>
          </cell>
          <cell r="O33" t="str">
            <v>Open</v>
          </cell>
          <cell r="P33" t="str">
            <v>Open</v>
          </cell>
          <cell r="Q33">
            <v>40909</v>
          </cell>
          <cell r="R33">
            <v>40909</v>
          </cell>
          <cell r="S33">
            <v>40909</v>
          </cell>
          <cell r="T33">
            <v>40909</v>
          </cell>
          <cell r="U33" t="str">
            <v>Open</v>
          </cell>
          <cell r="V33" t="str">
            <v>Open</v>
          </cell>
          <cell r="W33" t="str">
            <v>Open</v>
          </cell>
          <cell r="X33" t="str">
            <v>Open</v>
          </cell>
          <cell r="Y33" t="str">
            <v>Open</v>
          </cell>
          <cell r="Z33" t="str">
            <v>Open</v>
          </cell>
          <cell r="AA33" t="str">
            <v>Open</v>
          </cell>
          <cell r="AB33" t="str">
            <v>Open</v>
          </cell>
          <cell r="AC33" t="str">
            <v>Open</v>
          </cell>
          <cell r="AD33" t="str">
            <v>Open</v>
          </cell>
        </row>
        <row r="34">
          <cell r="B34" t="str">
            <v>Under 10m</v>
          </cell>
          <cell r="C34">
            <v>40909</v>
          </cell>
          <cell r="D34">
            <v>40909</v>
          </cell>
          <cell r="E34" t="str">
            <v>Open</v>
          </cell>
          <cell r="F34" t="str">
            <v>Open</v>
          </cell>
          <cell r="G34" t="str">
            <v>Open</v>
          </cell>
          <cell r="H34" t="str">
            <v>Open</v>
          </cell>
          <cell r="I34" t="str">
            <v>Open</v>
          </cell>
          <cell r="J34" t="str">
            <v>Open</v>
          </cell>
          <cell r="K34" t="str">
            <v>Open</v>
          </cell>
          <cell r="L34" t="str">
            <v>Open</v>
          </cell>
          <cell r="M34" t="str">
            <v>Open</v>
          </cell>
          <cell r="N34">
            <v>40909</v>
          </cell>
          <cell r="O34" t="str">
            <v>Open</v>
          </cell>
          <cell r="P34" t="str">
            <v>Open</v>
          </cell>
          <cell r="Q34">
            <v>40909</v>
          </cell>
          <cell r="R34">
            <v>40909</v>
          </cell>
          <cell r="S34">
            <v>40909</v>
          </cell>
          <cell r="T34">
            <v>40909</v>
          </cell>
          <cell r="U34" t="str">
            <v>Open</v>
          </cell>
          <cell r="V34" t="str">
            <v>Open</v>
          </cell>
          <cell r="W34" t="str">
            <v>Open</v>
          </cell>
          <cell r="X34" t="str">
            <v>Open</v>
          </cell>
          <cell r="Y34" t="str">
            <v>Open</v>
          </cell>
          <cell r="Z34" t="str">
            <v>Open</v>
          </cell>
          <cell r="AA34" t="str">
            <v>Open</v>
          </cell>
          <cell r="AB34" t="str">
            <v>Open</v>
          </cell>
          <cell r="AC34" t="str">
            <v>Open</v>
          </cell>
          <cell r="AD34" t="str">
            <v>Open</v>
          </cell>
        </row>
        <row r="35">
          <cell r="B35" t="str">
            <v>Under 10m - England</v>
          </cell>
          <cell r="C35">
            <v>40909</v>
          </cell>
          <cell r="D35">
            <v>40909</v>
          </cell>
          <cell r="E35" t="str">
            <v>Open</v>
          </cell>
          <cell r="F35" t="str">
            <v>Open</v>
          </cell>
          <cell r="G35" t="str">
            <v>Open</v>
          </cell>
          <cell r="H35" t="str">
            <v>Open</v>
          </cell>
          <cell r="I35" t="str">
            <v>Open</v>
          </cell>
          <cell r="J35" t="str">
            <v>Open</v>
          </cell>
          <cell r="K35" t="str">
            <v>Open</v>
          </cell>
          <cell r="L35" t="str">
            <v>Open</v>
          </cell>
          <cell r="M35" t="str">
            <v>Open</v>
          </cell>
          <cell r="N35">
            <v>40909</v>
          </cell>
          <cell r="O35" t="str">
            <v>Open</v>
          </cell>
          <cell r="P35" t="str">
            <v>Open</v>
          </cell>
          <cell r="Q35">
            <v>40909</v>
          </cell>
          <cell r="R35">
            <v>40909</v>
          </cell>
          <cell r="S35">
            <v>40909</v>
          </cell>
          <cell r="T35">
            <v>40909</v>
          </cell>
          <cell r="U35" t="str">
            <v>Open</v>
          </cell>
          <cell r="V35" t="str">
            <v>Open</v>
          </cell>
          <cell r="W35" t="str">
            <v>Open</v>
          </cell>
          <cell r="X35" t="str">
            <v>Open</v>
          </cell>
          <cell r="Y35" t="str">
            <v>Open</v>
          </cell>
          <cell r="Z35" t="str">
            <v>Open</v>
          </cell>
          <cell r="AA35" t="str">
            <v>Open</v>
          </cell>
          <cell r="AB35" t="str">
            <v>Open</v>
          </cell>
          <cell r="AC35" t="str">
            <v>Open</v>
          </cell>
          <cell r="AD35" t="str">
            <v>Open</v>
          </cell>
        </row>
        <row r="36">
          <cell r="B36" t="str">
            <v>Under 10m - Wales</v>
          </cell>
          <cell r="C36">
            <v>40909</v>
          </cell>
          <cell r="D36">
            <v>40909</v>
          </cell>
          <cell r="E36" t="str">
            <v>Open</v>
          </cell>
          <cell r="F36" t="str">
            <v>Open</v>
          </cell>
          <cell r="G36" t="str">
            <v>Open</v>
          </cell>
          <cell r="H36" t="str">
            <v>Open</v>
          </cell>
          <cell r="I36" t="str">
            <v>Open</v>
          </cell>
          <cell r="J36" t="str">
            <v>Open</v>
          </cell>
          <cell r="K36" t="str">
            <v>Open</v>
          </cell>
          <cell r="L36" t="str">
            <v>Open</v>
          </cell>
          <cell r="M36" t="str">
            <v>Open</v>
          </cell>
          <cell r="N36">
            <v>40909</v>
          </cell>
          <cell r="O36" t="str">
            <v>Open</v>
          </cell>
          <cell r="P36" t="str">
            <v>Open</v>
          </cell>
          <cell r="Q36">
            <v>40909</v>
          </cell>
          <cell r="R36">
            <v>40909</v>
          </cell>
          <cell r="S36">
            <v>40909</v>
          </cell>
          <cell r="T36">
            <v>40909</v>
          </cell>
          <cell r="U36" t="str">
            <v>Open</v>
          </cell>
          <cell r="V36" t="str">
            <v>Open</v>
          </cell>
          <cell r="W36" t="str">
            <v>Open</v>
          </cell>
          <cell r="X36" t="str">
            <v>Open</v>
          </cell>
          <cell r="Y36" t="str">
            <v>Open</v>
          </cell>
          <cell r="Z36" t="str">
            <v>Open</v>
          </cell>
          <cell r="AA36" t="str">
            <v>Open</v>
          </cell>
          <cell r="AB36" t="str">
            <v>Open</v>
          </cell>
          <cell r="AC36" t="str">
            <v>Open</v>
          </cell>
          <cell r="AD36" t="str">
            <v>Open</v>
          </cell>
        </row>
        <row r="37">
          <cell r="B37" t="str">
            <v>Under 10m - Scotland</v>
          </cell>
          <cell r="C37">
            <v>40909</v>
          </cell>
          <cell r="D37">
            <v>40909</v>
          </cell>
          <cell r="E37" t="str">
            <v>Open</v>
          </cell>
          <cell r="F37" t="str">
            <v>Open</v>
          </cell>
          <cell r="G37" t="str">
            <v>Open</v>
          </cell>
          <cell r="H37" t="str">
            <v>Open</v>
          </cell>
          <cell r="I37" t="str">
            <v>Open</v>
          </cell>
          <cell r="J37" t="str">
            <v>Open</v>
          </cell>
          <cell r="K37" t="str">
            <v>Open</v>
          </cell>
          <cell r="L37" t="str">
            <v>Open</v>
          </cell>
          <cell r="M37" t="str">
            <v>Open</v>
          </cell>
          <cell r="N37">
            <v>40909</v>
          </cell>
          <cell r="O37" t="str">
            <v>Open</v>
          </cell>
          <cell r="P37" t="str">
            <v>Open</v>
          </cell>
          <cell r="Q37">
            <v>40909</v>
          </cell>
          <cell r="R37">
            <v>40909</v>
          </cell>
          <cell r="S37">
            <v>40909</v>
          </cell>
          <cell r="T37">
            <v>40909</v>
          </cell>
          <cell r="U37" t="str">
            <v>Open</v>
          </cell>
          <cell r="V37" t="str">
            <v>Open</v>
          </cell>
          <cell r="W37" t="str">
            <v>Open</v>
          </cell>
          <cell r="X37" t="str">
            <v>Open</v>
          </cell>
          <cell r="Y37" t="str">
            <v>Open</v>
          </cell>
          <cell r="Z37" t="str">
            <v>Open</v>
          </cell>
          <cell r="AA37" t="str">
            <v>Open</v>
          </cell>
          <cell r="AB37" t="str">
            <v>Open</v>
          </cell>
          <cell r="AC37" t="str">
            <v>Open</v>
          </cell>
          <cell r="AD37" t="str">
            <v>Open</v>
          </cell>
        </row>
        <row r="38">
          <cell r="B38" t="str">
            <v>Under 10m - N.Ireland</v>
          </cell>
          <cell r="C38">
            <v>40909</v>
          </cell>
          <cell r="D38">
            <v>40909</v>
          </cell>
          <cell r="E38" t="str">
            <v>Open</v>
          </cell>
          <cell r="F38" t="str">
            <v>Open</v>
          </cell>
          <cell r="G38" t="str">
            <v>Open</v>
          </cell>
          <cell r="H38" t="str">
            <v>Open</v>
          </cell>
          <cell r="I38" t="str">
            <v>Open</v>
          </cell>
          <cell r="J38" t="str">
            <v>Open</v>
          </cell>
          <cell r="K38" t="str">
            <v>Open</v>
          </cell>
          <cell r="L38" t="str">
            <v>Open</v>
          </cell>
          <cell r="M38" t="str">
            <v>Open</v>
          </cell>
          <cell r="N38">
            <v>40909</v>
          </cell>
          <cell r="O38" t="str">
            <v>Open</v>
          </cell>
          <cell r="P38" t="str">
            <v>Open</v>
          </cell>
          <cell r="Q38">
            <v>40909</v>
          </cell>
          <cell r="R38">
            <v>40909</v>
          </cell>
          <cell r="S38">
            <v>40909</v>
          </cell>
          <cell r="T38">
            <v>40909</v>
          </cell>
          <cell r="U38" t="str">
            <v>Open</v>
          </cell>
          <cell r="V38" t="str">
            <v>Open</v>
          </cell>
          <cell r="W38" t="str">
            <v>Open</v>
          </cell>
          <cell r="X38" t="str">
            <v>Open</v>
          </cell>
          <cell r="Y38" t="str">
            <v>Open</v>
          </cell>
          <cell r="Z38" t="str">
            <v>Open</v>
          </cell>
          <cell r="AA38" t="str">
            <v>Open</v>
          </cell>
          <cell r="AB38" t="str">
            <v>Open</v>
          </cell>
          <cell r="AC38" t="str">
            <v>Open</v>
          </cell>
          <cell r="AD38" t="str">
            <v>Open</v>
          </cell>
        </row>
        <row r="39">
          <cell r="B39" t="str">
            <v>Handliners(VIIe-h)</v>
          </cell>
          <cell r="C39">
            <v>40909</v>
          </cell>
          <cell r="D39" t="str">
            <v>Open</v>
          </cell>
          <cell r="E39" t="str">
            <v>Open</v>
          </cell>
          <cell r="F39">
            <v>40909</v>
          </cell>
          <cell r="G39" t="str">
            <v>Open</v>
          </cell>
          <cell r="H39" t="str">
            <v>Open</v>
          </cell>
          <cell r="I39" t="str">
            <v>Open</v>
          </cell>
          <cell r="J39" t="str">
            <v>Open</v>
          </cell>
          <cell r="K39" t="str">
            <v>Open</v>
          </cell>
          <cell r="L39" t="str">
            <v>Open</v>
          </cell>
          <cell r="M39" t="str">
            <v>Open</v>
          </cell>
          <cell r="N39">
            <v>40909</v>
          </cell>
          <cell r="O39">
            <v>40909</v>
          </cell>
          <cell r="P39" t="str">
            <v>Open</v>
          </cell>
          <cell r="Q39">
            <v>40909</v>
          </cell>
          <cell r="R39">
            <v>40909</v>
          </cell>
          <cell r="S39">
            <v>40909</v>
          </cell>
          <cell r="T39">
            <v>40909</v>
          </cell>
          <cell r="U39" t="str">
            <v>Open</v>
          </cell>
          <cell r="V39" t="str">
            <v>Open</v>
          </cell>
          <cell r="W39" t="str">
            <v>Open</v>
          </cell>
          <cell r="X39" t="str">
            <v>Open</v>
          </cell>
          <cell r="Y39" t="str">
            <v>Open</v>
          </cell>
          <cell r="Z39" t="str">
            <v>Open</v>
          </cell>
          <cell r="AA39" t="str">
            <v>Open</v>
          </cell>
          <cell r="AB39" t="str">
            <v>Open</v>
          </cell>
          <cell r="AC39" t="str">
            <v>Open</v>
          </cell>
          <cell r="AD39" t="str">
            <v>Open</v>
          </cell>
        </row>
        <row r="41">
          <cell r="B41" t="str">
            <v>TOTAL</v>
          </cell>
          <cell r="C41" t="str">
            <v>Open</v>
          </cell>
          <cell r="D41" t="str">
            <v>Open</v>
          </cell>
          <cell r="E41" t="str">
            <v>Open</v>
          </cell>
          <cell r="F41" t="str">
            <v>Open</v>
          </cell>
          <cell r="G41" t="str">
            <v>Open</v>
          </cell>
          <cell r="H41" t="str">
            <v>Open</v>
          </cell>
          <cell r="I41" t="str">
            <v>Open</v>
          </cell>
          <cell r="J41" t="str">
            <v>Open</v>
          </cell>
          <cell r="K41" t="str">
            <v>Open</v>
          </cell>
          <cell r="L41" t="str">
            <v>Open</v>
          </cell>
          <cell r="M41" t="str">
            <v>Open</v>
          </cell>
          <cell r="N41" t="str">
            <v>Open</v>
          </cell>
          <cell r="O41" t="str">
            <v>Open</v>
          </cell>
          <cell r="P41" t="str">
            <v>Open</v>
          </cell>
          <cell r="Q41">
            <v>40909</v>
          </cell>
          <cell r="R41">
            <v>40909</v>
          </cell>
          <cell r="S41">
            <v>40909</v>
          </cell>
          <cell r="T41" t="str">
            <v>Open</v>
          </cell>
          <cell r="U41" t="str">
            <v>Open</v>
          </cell>
          <cell r="V41" t="str">
            <v>Open</v>
          </cell>
          <cell r="W41" t="str">
            <v>Open</v>
          </cell>
          <cell r="X41" t="str">
            <v>Open</v>
          </cell>
          <cell r="Y41" t="str">
            <v>Open</v>
          </cell>
          <cell r="Z41" t="str">
            <v>Open</v>
          </cell>
          <cell r="AA41" t="str">
            <v>Open</v>
          </cell>
          <cell r="AB41" t="str">
            <v>Open</v>
          </cell>
          <cell r="AC41" t="str">
            <v>Open</v>
          </cell>
          <cell r="AD41" t="str">
            <v>Open</v>
          </cell>
        </row>
      </sheetData>
      <sheetData sheetId="3"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</row>
        <row r="4">
          <cell r="B4" t="str">
            <v>North Sea Herring</v>
          </cell>
          <cell r="C4" t="str">
            <v>West Coast Herring</v>
          </cell>
          <cell r="D4" t="str">
            <v>West Coast Mackerel</v>
          </cell>
          <cell r="E4" t="str">
            <v>West Coast Mackerel HL</v>
          </cell>
          <cell r="F4" t="str">
            <v>Shet. Box Mackerel</v>
          </cell>
          <cell r="G4" t="str">
            <v>North Sea Mackerel</v>
          </cell>
          <cell r="H4" t="str">
            <v>N.Sea Mackerel IIIa IVbc</v>
          </cell>
          <cell r="I4" t="str">
            <v>Atlanto Scandian Herring</v>
          </cell>
          <cell r="J4" t="str">
            <v xml:space="preserve">Norway  </v>
          </cell>
          <cell r="K4" t="str">
            <v>Nor EEZ</v>
          </cell>
          <cell r="L4" t="str">
            <v>Faroes</v>
          </cell>
          <cell r="M4" t="str">
            <v>Clyde Firth Herring</v>
          </cell>
          <cell r="N4" t="str">
            <v>North Sea Horse Mackerel</v>
          </cell>
          <cell r="O4" t="str">
            <v>West Coast Horse Mackerel</v>
          </cell>
          <cell r="P4" t="str">
            <v>North Sea Blue Whiting</v>
          </cell>
          <cell r="Q4" t="str">
            <v>North Sea Sand Eels</v>
          </cell>
          <cell r="R4" t="str">
            <v>Norwegian Sand Eels</v>
          </cell>
          <cell r="S4" t="str">
            <v>Norway Pout</v>
          </cell>
          <cell r="T4" t="str">
            <v>Blue Whiting I-VIII, XII, XIV</v>
          </cell>
          <cell r="U4" t="str">
            <v>Shetland Sandeels</v>
          </cell>
          <cell r="V4" t="str">
            <v>Blue Whiting VIII</v>
          </cell>
          <cell r="W4" t="str">
            <v>Greenland Capelin</v>
          </cell>
          <cell r="X4" t="str">
            <v>Bl Whi Vb Faroes</v>
          </cell>
          <cell r="Y4" t="str">
            <v>NS Sandeels (Area1)</v>
          </cell>
          <cell r="Z4" t="str">
            <v>NS Sandeels (Area2)</v>
          </cell>
          <cell r="AA4" t="str">
            <v>NS Sandeels (Area3)</v>
          </cell>
          <cell r="AB4" t="str">
            <v>NS Sandeels (Area4)</v>
          </cell>
          <cell r="AC4" t="str">
            <v>NS Sandeels (Area5)</v>
          </cell>
          <cell r="AD4" t="str">
            <v>NS Sandeels (Area6)</v>
          </cell>
          <cell r="AE4" t="str">
            <v xml:space="preserve">WS Mac Of Which IIa Nor </v>
          </cell>
        </row>
        <row r="5">
          <cell r="A5" t="str">
            <v>SFO</v>
          </cell>
          <cell r="B5">
            <v>21591.94</v>
          </cell>
          <cell r="C5">
            <v>1.78</v>
          </cell>
          <cell r="D5">
            <v>866.79</v>
          </cell>
          <cell r="E5">
            <v>0</v>
          </cell>
          <cell r="F5">
            <v>44068.49</v>
          </cell>
          <cell r="G5">
            <v>0</v>
          </cell>
          <cell r="H5">
            <v>1.9</v>
          </cell>
          <cell r="I5">
            <v>2586.1699999999996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33.06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5289.58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 t="str">
            <v>Aberdeen</v>
          </cell>
          <cell r="B6">
            <v>0</v>
          </cell>
          <cell r="C6">
            <v>0</v>
          </cell>
          <cell r="D6">
            <v>0.61</v>
          </cell>
          <cell r="E6">
            <v>0</v>
          </cell>
          <cell r="F6">
            <v>23.79</v>
          </cell>
          <cell r="G6">
            <v>0.02</v>
          </cell>
          <cell r="H6">
            <v>3.21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0.02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 t="str">
            <v>NESFO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2.1</v>
          </cell>
          <cell r="G7">
            <v>0</v>
          </cell>
          <cell r="H7">
            <v>1.1599999999999999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 t="str">
            <v>Shetland</v>
          </cell>
          <cell r="B8">
            <v>14893.9</v>
          </cell>
          <cell r="C8">
            <v>5.35</v>
          </cell>
          <cell r="D8">
            <v>1115.1300000000001</v>
          </cell>
          <cell r="E8">
            <v>0</v>
          </cell>
          <cell r="F8">
            <v>35101.460000000006</v>
          </cell>
          <cell r="G8">
            <v>0.09</v>
          </cell>
          <cell r="H8">
            <v>0</v>
          </cell>
          <cell r="I8">
            <v>4167.63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68.569999999999993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8768.7099999999991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 t="str">
            <v>Fife</v>
          </cell>
          <cell r="B9">
            <v>0</v>
          </cell>
          <cell r="C9">
            <v>0</v>
          </cell>
          <cell r="D9">
            <v>100.74800014114379</v>
          </cell>
          <cell r="E9">
            <v>0</v>
          </cell>
          <cell r="F9">
            <v>0</v>
          </cell>
          <cell r="G9">
            <v>0</v>
          </cell>
          <cell r="H9">
            <v>40.289999935150156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29.645999996185306</v>
          </cell>
          <cell r="O9">
            <v>0.04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 t="str">
            <v>West Scotland</v>
          </cell>
          <cell r="B10">
            <v>0.12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0.08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 t="str">
            <v>Orkney</v>
          </cell>
          <cell r="B11">
            <v>0.11</v>
          </cell>
          <cell r="C11">
            <v>0</v>
          </cell>
          <cell r="D11">
            <v>0.09</v>
          </cell>
          <cell r="E11">
            <v>0</v>
          </cell>
          <cell r="F11">
            <v>0.13</v>
          </cell>
          <cell r="G11">
            <v>0</v>
          </cell>
          <cell r="H11">
            <v>0.08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 t="str">
            <v>Northern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 t="str">
            <v>Klondyke</v>
          </cell>
          <cell r="B13">
            <v>8457.51</v>
          </cell>
          <cell r="C13">
            <v>0</v>
          </cell>
          <cell r="D13">
            <v>4818.91</v>
          </cell>
          <cell r="E13">
            <v>0</v>
          </cell>
          <cell r="F13">
            <v>18627.87</v>
          </cell>
          <cell r="G13">
            <v>0</v>
          </cell>
          <cell r="H13">
            <v>0</v>
          </cell>
          <cell r="I13">
            <v>2866.55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452.87000000000006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8340.8000000000011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>Lunar</v>
          </cell>
          <cell r="B14">
            <v>8141.9800000000005</v>
          </cell>
          <cell r="C14">
            <v>0</v>
          </cell>
          <cell r="D14">
            <v>4003.58</v>
          </cell>
          <cell r="E14">
            <v>0</v>
          </cell>
          <cell r="F14">
            <v>19867.939999999995</v>
          </cell>
          <cell r="G14">
            <v>0.39</v>
          </cell>
          <cell r="H14">
            <v>31.72000000000001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19921.170000000002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>Anglo Scot.</v>
          </cell>
          <cell r="B15">
            <v>4.3682500005364417</v>
          </cell>
          <cell r="C15">
            <v>0</v>
          </cell>
          <cell r="D15">
            <v>0</v>
          </cell>
          <cell r="E15">
            <v>0</v>
          </cell>
          <cell r="F15">
            <v>1.17</v>
          </cell>
          <cell r="G15">
            <v>0</v>
          </cell>
          <cell r="H15">
            <v>1.2547500002086158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0.13800110000371935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>EEFPO</v>
          </cell>
          <cell r="B16">
            <v>0.24299999999999999</v>
          </cell>
          <cell r="C16">
            <v>0</v>
          </cell>
          <cell r="D16">
            <v>0</v>
          </cell>
          <cell r="E16">
            <v>0</v>
          </cell>
          <cell r="F16">
            <v>0.25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>Western PO</v>
          </cell>
          <cell r="B17">
            <v>0</v>
          </cell>
          <cell r="C17">
            <v>0</v>
          </cell>
          <cell r="D17">
            <v>0.18240000161714859</v>
          </cell>
          <cell r="E17">
            <v>0</v>
          </cell>
          <cell r="F17">
            <v>0</v>
          </cell>
          <cell r="G17">
            <v>0.31</v>
          </cell>
          <cell r="H17">
            <v>0.8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0.61229999282211089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>FPO</v>
          </cell>
          <cell r="B18">
            <v>0</v>
          </cell>
          <cell r="C18">
            <v>0</v>
          </cell>
          <cell r="D18">
            <v>0.26671999966353183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9.787000004947187E-2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NIFPO</v>
          </cell>
          <cell r="B19">
            <v>10.329000000000001</v>
          </cell>
          <cell r="C19">
            <v>7.0000000000000007E-2</v>
          </cell>
          <cell r="D19">
            <v>1303.5669843873977</v>
          </cell>
          <cell r="E19">
            <v>0</v>
          </cell>
          <cell r="F19">
            <v>576.04200011742114</v>
          </cell>
          <cell r="G19">
            <v>7.8769999451637265</v>
          </cell>
          <cell r="H19">
            <v>2.5287500116825092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0.76500000000000001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ANIFPO</v>
          </cell>
          <cell r="B20">
            <v>5197.1490019531248</v>
          </cell>
          <cell r="C20">
            <v>0</v>
          </cell>
          <cell r="D20">
            <v>2983.7980000038892</v>
          </cell>
          <cell r="E20">
            <v>0</v>
          </cell>
          <cell r="F20">
            <v>11909.071007812501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811.18099218750001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Cornish</v>
          </cell>
          <cell r="B21">
            <v>0</v>
          </cell>
          <cell r="C21">
            <v>0</v>
          </cell>
          <cell r="D21">
            <v>32.082130413124858</v>
          </cell>
          <cell r="E21">
            <v>1.03</v>
          </cell>
          <cell r="F21">
            <v>5.1699999694824168</v>
          </cell>
          <cell r="G21">
            <v>11.657999953269956</v>
          </cell>
          <cell r="H21">
            <v>1.08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6.4468315601572401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>South West</v>
          </cell>
          <cell r="B22">
            <v>0</v>
          </cell>
          <cell r="C22">
            <v>0</v>
          </cell>
          <cell r="D22">
            <v>0.9145999976284801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0.34110000055283329</v>
          </cell>
          <cell r="O22">
            <v>0.22429999909538303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North Sea</v>
          </cell>
          <cell r="B23">
            <v>0</v>
          </cell>
          <cell r="C23">
            <v>0</v>
          </cell>
          <cell r="D23">
            <v>32.681999921083438</v>
          </cell>
          <cell r="E23">
            <v>0</v>
          </cell>
          <cell r="F23">
            <v>0</v>
          </cell>
          <cell r="G23">
            <v>0.34</v>
          </cell>
          <cell r="H23">
            <v>24.916999992370602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19.442000002861008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>Lowestoft</v>
          </cell>
          <cell r="B24">
            <v>0</v>
          </cell>
          <cell r="C24">
            <v>0</v>
          </cell>
          <cell r="D24">
            <v>66.151999795913724</v>
          </cell>
          <cell r="E24">
            <v>0</v>
          </cell>
          <cell r="F24">
            <v>0</v>
          </cell>
          <cell r="G24">
            <v>0</v>
          </cell>
          <cell r="H24">
            <v>188.71799996184561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147.71799973963948</v>
          </cell>
          <cell r="O24">
            <v>1.419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>Wales WC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Interfish</v>
          </cell>
          <cell r="B26">
            <v>9329.4299999999985</v>
          </cell>
          <cell r="C26">
            <v>0</v>
          </cell>
          <cell r="D26">
            <v>8.0208200007379045</v>
          </cell>
          <cell r="E26">
            <v>0</v>
          </cell>
          <cell r="F26">
            <v>27218.879999999997</v>
          </cell>
          <cell r="G26">
            <v>0</v>
          </cell>
          <cell r="H26">
            <v>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4.8337999990582459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3691.6499999999996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>North Atlantic FPO</v>
          </cell>
          <cell r="B27">
            <v>10427.798879521484</v>
          </cell>
          <cell r="C27">
            <v>0</v>
          </cell>
          <cell r="D27">
            <v>8547.9960821258665</v>
          </cell>
          <cell r="E27">
            <v>0</v>
          </cell>
          <cell r="F27">
            <v>13467.881182418823</v>
          </cell>
          <cell r="G27">
            <v>178.43456089782717</v>
          </cell>
          <cell r="H27">
            <v>58.866999887466434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3023.9108475418097</v>
          </cell>
          <cell r="O27">
            <v>1642.888757686854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7477.7809921875014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>Non Sector - England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>Non Sector - Wales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>Non Sector - Scotland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 t="str">
            <v>Non Sector - N.Ireland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Isle of Man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 t="str">
            <v>Under 10m - England</v>
          </cell>
          <cell r="B33">
            <v>0.33650000000000008</v>
          </cell>
          <cell r="C33">
            <v>0</v>
          </cell>
          <cell r="D33">
            <v>86.207523010040276</v>
          </cell>
          <cell r="E33">
            <v>320.24990804250371</v>
          </cell>
          <cell r="F33">
            <v>0</v>
          </cell>
          <cell r="G33">
            <v>0</v>
          </cell>
          <cell r="H33">
            <v>2.7307199973650205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1.6934499980211244</v>
          </cell>
          <cell r="O33">
            <v>2.7037700057700245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 t="str">
            <v>Under 10m - Wales</v>
          </cell>
          <cell r="B34">
            <v>0</v>
          </cell>
          <cell r="C34">
            <v>0</v>
          </cell>
          <cell r="D34">
            <v>0.18040000046044596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>Under 10m - Scotland</v>
          </cell>
          <cell r="B35">
            <v>0</v>
          </cell>
          <cell r="C35">
            <v>0</v>
          </cell>
          <cell r="D35">
            <v>2.4900000000000002</v>
          </cell>
          <cell r="E35">
            <v>0</v>
          </cell>
          <cell r="F35">
            <v>0</v>
          </cell>
          <cell r="G35">
            <v>915.40999999999872</v>
          </cell>
          <cell r="H35">
            <v>55.45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>Under 10m - N.Ireland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>Handliners(VIIe-h)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9">
          <cell r="A39" t="str">
            <v>Total</v>
          </cell>
          <cell r="B39">
            <v>78055.214631475159</v>
          </cell>
          <cell r="C39">
            <v>7.2</v>
          </cell>
          <cell r="D39">
            <v>23970.397659798567</v>
          </cell>
          <cell r="E39">
            <v>321.27990804250368</v>
          </cell>
          <cell r="F39">
            <v>170870.24419031822</v>
          </cell>
          <cell r="G39">
            <v>1114.5295607962596</v>
          </cell>
          <cell r="H39">
            <v>418.78621978608896</v>
          </cell>
          <cell r="I39">
            <v>9620.3499999999985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3224.4872683791227</v>
          </cell>
          <cell r="O39">
            <v>3025.614751431257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53489.710992187502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2">
          <cell r="A42">
            <v>44909</v>
          </cell>
        </row>
        <row r="44">
          <cell r="B44" t="str">
            <v>North Sea Herring</v>
          </cell>
          <cell r="C44" t="str">
            <v>West Coast Herring</v>
          </cell>
          <cell r="D44" t="str">
            <v>West Coast Mackerel</v>
          </cell>
          <cell r="E44" t="str">
            <v>West Coast Mackerel HL</v>
          </cell>
          <cell r="F44" t="str">
            <v>Shet. Box Mackerel</v>
          </cell>
          <cell r="G44" t="str">
            <v>North Sea Mackerel</v>
          </cell>
          <cell r="H44" t="str">
            <v>N.Sea Mackerel IIIa IVbc</v>
          </cell>
          <cell r="I44" t="str">
            <v>Atlanto Scandian Herring</v>
          </cell>
          <cell r="J44" t="str">
            <v xml:space="preserve">Norway  </v>
          </cell>
          <cell r="K44" t="str">
            <v>Nor EEZ</v>
          </cell>
          <cell r="L44" t="str">
            <v>Faroes</v>
          </cell>
          <cell r="M44" t="str">
            <v>Clyde Firth Herring</v>
          </cell>
          <cell r="N44" t="str">
            <v>North Sea Horse Mackerel</v>
          </cell>
          <cell r="O44" t="str">
            <v>West Coast Horse Mackerel</v>
          </cell>
          <cell r="P44" t="str">
            <v>North Sea Blue Whiting</v>
          </cell>
          <cell r="Q44" t="str">
            <v>North Sea Sand Eels</v>
          </cell>
          <cell r="R44" t="str">
            <v>Norwegian Sand Eels</v>
          </cell>
          <cell r="S44" t="str">
            <v>Norway Pout</v>
          </cell>
          <cell r="T44" t="str">
            <v>Blue Whiting I-VIII, XII, XIV</v>
          </cell>
          <cell r="U44" t="str">
            <v>Shetland Sandeels</v>
          </cell>
          <cell r="V44" t="str">
            <v>Blue Whiting VIII</v>
          </cell>
          <cell r="W44" t="str">
            <v>Greenland Capelin</v>
          </cell>
          <cell r="X44" t="str">
            <v>Bl Whi Vb Faroes</v>
          </cell>
          <cell r="Y44" t="str">
            <v>NS Sandeels (Area1)</v>
          </cell>
          <cell r="Z44" t="str">
            <v>NS Sandeels (Area2)</v>
          </cell>
          <cell r="AA44" t="str">
            <v>NS Sandeels (Area3)</v>
          </cell>
          <cell r="AB44" t="str">
            <v>NS Sandeels (Area4)</v>
          </cell>
          <cell r="AC44" t="str">
            <v>NS Sandeels (Area5)</v>
          </cell>
          <cell r="AD44" t="str">
            <v>NS Sandeels (Area6)</v>
          </cell>
          <cell r="AE44" t="str">
            <v xml:space="preserve">WS Mac Of Which IIa Nor </v>
          </cell>
        </row>
        <row r="45">
          <cell r="A45" t="str">
            <v>SFO</v>
          </cell>
          <cell r="B45">
            <v>21591.94</v>
          </cell>
          <cell r="C45">
            <v>1.78</v>
          </cell>
          <cell r="D45">
            <v>866.79</v>
          </cell>
          <cell r="E45">
            <v>0</v>
          </cell>
          <cell r="F45">
            <v>44068.49</v>
          </cell>
          <cell r="G45">
            <v>0</v>
          </cell>
          <cell r="H45">
            <v>1.9</v>
          </cell>
          <cell r="I45">
            <v>2586.1699999999996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31.06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5289.58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>Aberdeen</v>
          </cell>
          <cell r="B46">
            <v>0</v>
          </cell>
          <cell r="C46">
            <v>0</v>
          </cell>
          <cell r="D46">
            <v>0.61</v>
          </cell>
          <cell r="E46">
            <v>0</v>
          </cell>
          <cell r="F46">
            <v>23.79</v>
          </cell>
          <cell r="G46">
            <v>0.02</v>
          </cell>
          <cell r="H46">
            <v>3.21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0.02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>NESFO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2.1</v>
          </cell>
          <cell r="G47">
            <v>0</v>
          </cell>
          <cell r="H47">
            <v>1.1599999999999999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>Shetland</v>
          </cell>
          <cell r="B48">
            <v>14893.9</v>
          </cell>
          <cell r="C48">
            <v>5.35</v>
          </cell>
          <cell r="D48">
            <v>1115.1300000000001</v>
          </cell>
          <cell r="E48">
            <v>0</v>
          </cell>
          <cell r="F48">
            <v>35101.440000000002</v>
          </cell>
          <cell r="G48">
            <v>0.09</v>
          </cell>
          <cell r="H48">
            <v>0</v>
          </cell>
          <cell r="I48">
            <v>4167.63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68.569999999999993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8768.7099999999991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>Fife</v>
          </cell>
          <cell r="B49">
            <v>0</v>
          </cell>
          <cell r="C49">
            <v>0</v>
          </cell>
          <cell r="D49">
            <v>100.70800014114378</v>
          </cell>
          <cell r="E49">
            <v>0</v>
          </cell>
          <cell r="F49">
            <v>0</v>
          </cell>
          <cell r="G49">
            <v>0</v>
          </cell>
          <cell r="H49">
            <v>38.349999935150151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29.635999996185305</v>
          </cell>
          <cell r="O49">
            <v>0.04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50" t="str">
            <v>West Scotland</v>
          </cell>
          <cell r="B50">
            <v>0.12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0.08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51" t="str">
            <v>Orkney</v>
          </cell>
          <cell r="B51">
            <v>0.11</v>
          </cell>
          <cell r="C51">
            <v>0</v>
          </cell>
          <cell r="D51">
            <v>0.09</v>
          </cell>
          <cell r="E51">
            <v>0</v>
          </cell>
          <cell r="F51">
            <v>0.13</v>
          </cell>
          <cell r="G51">
            <v>0</v>
          </cell>
          <cell r="H51">
            <v>0.08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>Northern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>Klondyke</v>
          </cell>
          <cell r="B53">
            <v>8457.51</v>
          </cell>
          <cell r="C53">
            <v>0</v>
          </cell>
          <cell r="D53">
            <v>4818.91</v>
          </cell>
          <cell r="E53">
            <v>0</v>
          </cell>
          <cell r="F53">
            <v>18627.87</v>
          </cell>
          <cell r="G53">
            <v>0</v>
          </cell>
          <cell r="H53">
            <v>0</v>
          </cell>
          <cell r="I53">
            <v>2866.55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452.87000000000006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8340.8000000000011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>Lunar</v>
          </cell>
          <cell r="B54">
            <v>8141.9800000000005</v>
          </cell>
          <cell r="C54">
            <v>0</v>
          </cell>
          <cell r="D54">
            <v>4003.58</v>
          </cell>
          <cell r="E54">
            <v>0</v>
          </cell>
          <cell r="F54">
            <v>19867.939999999995</v>
          </cell>
          <cell r="G54">
            <v>0.39</v>
          </cell>
          <cell r="H54">
            <v>31.72000000000001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1.5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19921.170000000002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>Anglo Scot.</v>
          </cell>
          <cell r="B55">
            <v>4.3682500005364417</v>
          </cell>
          <cell r="C55">
            <v>0</v>
          </cell>
          <cell r="D55">
            <v>0</v>
          </cell>
          <cell r="E55">
            <v>0</v>
          </cell>
          <cell r="F55">
            <v>1.17</v>
          </cell>
          <cell r="G55">
            <v>0</v>
          </cell>
          <cell r="H55">
            <v>1.254750000208616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0.13800110000371935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EEFPO</v>
          </cell>
          <cell r="B56">
            <v>0.24299999999999999</v>
          </cell>
          <cell r="C56">
            <v>0</v>
          </cell>
          <cell r="D56">
            <v>0</v>
          </cell>
          <cell r="E56">
            <v>0</v>
          </cell>
          <cell r="F56">
            <v>0.25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Western PO</v>
          </cell>
          <cell r="B57">
            <v>0</v>
          </cell>
          <cell r="C57">
            <v>0</v>
          </cell>
          <cell r="D57">
            <v>0.18211174248158943</v>
          </cell>
          <cell r="E57">
            <v>0</v>
          </cell>
          <cell r="F57">
            <v>0</v>
          </cell>
          <cell r="G57">
            <v>0.31</v>
          </cell>
          <cell r="H57">
            <v>0.79999999999999993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0.60152458392083652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FPO</v>
          </cell>
          <cell r="B58">
            <v>0</v>
          </cell>
          <cell r="C58">
            <v>0</v>
          </cell>
          <cell r="D58">
            <v>0.2666199996620417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9.787000004947187E-2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NIFPO</v>
          </cell>
          <cell r="B59">
            <v>10.329000000000001</v>
          </cell>
          <cell r="C59">
            <v>7.0000000000000007E-2</v>
          </cell>
          <cell r="D59">
            <v>1303.5669843873977</v>
          </cell>
          <cell r="E59">
            <v>0</v>
          </cell>
          <cell r="F59">
            <v>576.04200011742114</v>
          </cell>
          <cell r="G59">
            <v>7.8769999451637265</v>
          </cell>
          <cell r="H59">
            <v>2.5287500116825092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0.76500000000000001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 t="str">
            <v>ANIFPO</v>
          </cell>
          <cell r="B60">
            <v>5197.1490019531248</v>
          </cell>
          <cell r="C60">
            <v>0</v>
          </cell>
          <cell r="D60">
            <v>2983.7980000038892</v>
          </cell>
          <cell r="E60">
            <v>0</v>
          </cell>
          <cell r="F60">
            <v>11909.071007812501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811.18099218750001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Cornish</v>
          </cell>
          <cell r="B61">
            <v>0</v>
          </cell>
          <cell r="C61">
            <v>0</v>
          </cell>
          <cell r="D61">
            <v>30.547399989083456</v>
          </cell>
          <cell r="E61">
            <v>1.03</v>
          </cell>
          <cell r="F61">
            <v>5.1699999694824168</v>
          </cell>
          <cell r="G61">
            <v>11.657999953269956</v>
          </cell>
          <cell r="H61">
            <v>1.08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6.3066459575369977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 t="str">
            <v>South West</v>
          </cell>
          <cell r="B62">
            <v>0</v>
          </cell>
          <cell r="C62">
            <v>0</v>
          </cell>
          <cell r="D62">
            <v>0.91165240376442669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0.3408000005483629</v>
          </cell>
          <cell r="O62">
            <v>0.22419999909400931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63" t="str">
            <v>North Sea</v>
          </cell>
          <cell r="B63">
            <v>0</v>
          </cell>
          <cell r="C63">
            <v>0</v>
          </cell>
          <cell r="D63">
            <v>32.681999921083438</v>
          </cell>
          <cell r="E63">
            <v>0</v>
          </cell>
          <cell r="F63">
            <v>0</v>
          </cell>
          <cell r="G63">
            <v>0.34</v>
          </cell>
          <cell r="H63">
            <v>24.1619999923706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19.442000002861008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64" t="str">
            <v>Lowestoft</v>
          </cell>
          <cell r="B64">
            <v>0</v>
          </cell>
          <cell r="C64">
            <v>0</v>
          </cell>
          <cell r="D64">
            <v>65.463999795913722</v>
          </cell>
          <cell r="E64">
            <v>0</v>
          </cell>
          <cell r="F64">
            <v>0</v>
          </cell>
          <cell r="G64">
            <v>0</v>
          </cell>
          <cell r="H64">
            <v>178.83993705983463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146.18387794595955</v>
          </cell>
          <cell r="O64">
            <v>1.419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65" t="str">
            <v>Wales WC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Interfish</v>
          </cell>
          <cell r="B66">
            <v>9329.4299999999985</v>
          </cell>
          <cell r="C66">
            <v>0</v>
          </cell>
          <cell r="D66">
            <v>7.8230000006854521</v>
          </cell>
          <cell r="E66">
            <v>0</v>
          </cell>
          <cell r="F66">
            <v>27218.879999999997</v>
          </cell>
          <cell r="G66">
            <v>0</v>
          </cell>
          <cell r="H66">
            <v>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4.8235999992489802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3691.6499999999996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North Atlantic FPO</v>
          </cell>
          <cell r="B67">
            <v>10427.798879521484</v>
          </cell>
          <cell r="C67">
            <v>0</v>
          </cell>
          <cell r="D67">
            <v>8546.6400773241512</v>
          </cell>
          <cell r="E67">
            <v>0</v>
          </cell>
          <cell r="F67">
            <v>13467.881182418823</v>
          </cell>
          <cell r="G67">
            <v>178.43456089782717</v>
          </cell>
          <cell r="H67">
            <v>58.833999887466433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2975.1718475418097</v>
          </cell>
          <cell r="O67">
            <v>1267.8757567102914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7477.7809921875014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Non Sector - England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>Non Sector - Wales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Non Sector - Scotland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Non Sector - N.Ireland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 t="str">
            <v>Isle of Man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73" t="str">
            <v>Under 10m - England</v>
          </cell>
          <cell r="B73">
            <v>0.33650000000000008</v>
          </cell>
          <cell r="C73">
            <v>0</v>
          </cell>
          <cell r="D73">
            <v>84.00858271942262</v>
          </cell>
          <cell r="E73">
            <v>310.39849303962865</v>
          </cell>
          <cell r="F73">
            <v>0</v>
          </cell>
          <cell r="G73">
            <v>0</v>
          </cell>
          <cell r="H73">
            <v>2.719369997352354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1.6921499980017527</v>
          </cell>
          <cell r="O73">
            <v>2.6391700057536331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74" t="str">
            <v>Under 10m - Wales</v>
          </cell>
          <cell r="B74">
            <v>0</v>
          </cell>
          <cell r="C74">
            <v>0</v>
          </cell>
          <cell r="D74">
            <v>0.17990000045299537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>Under 10m - Scotland</v>
          </cell>
          <cell r="B75">
            <v>0</v>
          </cell>
          <cell r="C75">
            <v>0</v>
          </cell>
          <cell r="D75">
            <v>2.4900000000000002</v>
          </cell>
          <cell r="E75">
            <v>0</v>
          </cell>
          <cell r="F75">
            <v>0</v>
          </cell>
          <cell r="G75">
            <v>913.05999999999869</v>
          </cell>
          <cell r="H75">
            <v>55.45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Under 10m - N.Ireland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Handliners(VIIe-h)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9">
          <cell r="A79" t="str">
            <v>Total</v>
          </cell>
          <cell r="B79">
            <v>78055.214631475159</v>
          </cell>
          <cell r="C79">
            <v>7.2</v>
          </cell>
          <cell r="D79">
            <v>23964.378328429135</v>
          </cell>
          <cell r="E79">
            <v>311.42849303962862</v>
          </cell>
          <cell r="F79">
            <v>170870.22419031823</v>
          </cell>
          <cell r="G79">
            <v>1112.1795607962595</v>
          </cell>
          <cell r="H79">
            <v>406.1688068840653</v>
          </cell>
          <cell r="I79">
            <v>9620.3499999999985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3174.202546585419</v>
          </cell>
          <cell r="O79">
            <v>2648.3758894433463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53489.710992187502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2">
          <cell r="A82">
            <v>44902</v>
          </cell>
        </row>
        <row r="85">
          <cell r="A85" t="str">
            <v>SFO</v>
          </cell>
          <cell r="B85">
            <v>21591.94</v>
          </cell>
          <cell r="C85">
            <v>1.78</v>
          </cell>
          <cell r="D85">
            <v>866.79</v>
          </cell>
          <cell r="E85">
            <v>0</v>
          </cell>
          <cell r="F85">
            <v>44057.13</v>
          </cell>
          <cell r="G85">
            <v>11.359999999999998</v>
          </cell>
          <cell r="H85">
            <v>1.9</v>
          </cell>
          <cell r="I85">
            <v>2586.1699999999996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31.06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5289.58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Aberdeen</v>
          </cell>
          <cell r="B86">
            <v>0</v>
          </cell>
          <cell r="C86">
            <v>0</v>
          </cell>
          <cell r="D86">
            <v>0.61</v>
          </cell>
          <cell r="E86">
            <v>0</v>
          </cell>
          <cell r="F86">
            <v>6.32</v>
          </cell>
          <cell r="G86">
            <v>17.490000000000002</v>
          </cell>
          <cell r="H86">
            <v>3.21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0.02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NESFO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7.0000000000000007E-2</v>
          </cell>
          <cell r="G87">
            <v>2.0299999999999998</v>
          </cell>
          <cell r="H87">
            <v>1.1599999999999999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 t="str">
            <v>Shetland</v>
          </cell>
          <cell r="B88">
            <v>14893.9</v>
          </cell>
          <cell r="C88">
            <v>5.35</v>
          </cell>
          <cell r="D88">
            <v>1115.1300000000001</v>
          </cell>
          <cell r="E88">
            <v>0</v>
          </cell>
          <cell r="F88">
            <v>35101.380000000005</v>
          </cell>
          <cell r="G88">
            <v>0.09</v>
          </cell>
          <cell r="H88">
            <v>0</v>
          </cell>
          <cell r="I88">
            <v>4167.63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68.569999999999993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8768.7099999999991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89" t="str">
            <v>Fife</v>
          </cell>
          <cell r="B89">
            <v>0</v>
          </cell>
          <cell r="C89">
            <v>0</v>
          </cell>
          <cell r="D89">
            <v>100.62800014114379</v>
          </cell>
          <cell r="E89">
            <v>0</v>
          </cell>
          <cell r="F89">
            <v>0</v>
          </cell>
          <cell r="G89">
            <v>0</v>
          </cell>
          <cell r="H89">
            <v>37.922999935150159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29.625999996185303</v>
          </cell>
          <cell r="O89">
            <v>0.04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A90" t="str">
            <v>West Scotland</v>
          </cell>
          <cell r="B90">
            <v>0.12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0.08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A91" t="str">
            <v>Orkney</v>
          </cell>
          <cell r="B91">
            <v>0.11</v>
          </cell>
          <cell r="C91">
            <v>0</v>
          </cell>
          <cell r="D91">
            <v>0.09</v>
          </cell>
          <cell r="E91">
            <v>0</v>
          </cell>
          <cell r="F91">
            <v>0.04</v>
          </cell>
          <cell r="G91">
            <v>0.09</v>
          </cell>
          <cell r="H91">
            <v>0.08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  <row r="92">
          <cell r="A92" t="str">
            <v>Northern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A93" t="str">
            <v>Klondyke</v>
          </cell>
          <cell r="B93">
            <v>8457.51</v>
          </cell>
          <cell r="C93">
            <v>0</v>
          </cell>
          <cell r="D93">
            <v>4818.91</v>
          </cell>
          <cell r="E93">
            <v>0</v>
          </cell>
          <cell r="F93">
            <v>18627.87</v>
          </cell>
          <cell r="G93">
            <v>0</v>
          </cell>
          <cell r="H93">
            <v>0</v>
          </cell>
          <cell r="I93">
            <v>2866.55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452.87000000000006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8340.8000000000011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94" t="str">
            <v>Lunar</v>
          </cell>
          <cell r="B94">
            <v>8141.9800000000005</v>
          </cell>
          <cell r="C94">
            <v>0</v>
          </cell>
          <cell r="D94">
            <v>4003.58</v>
          </cell>
          <cell r="E94">
            <v>0</v>
          </cell>
          <cell r="F94">
            <v>19858.869999999995</v>
          </cell>
          <cell r="G94">
            <v>9.4600000000000009</v>
          </cell>
          <cell r="H94">
            <v>31.72000000000001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1.5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19921.170000000002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95" t="str">
            <v>Anglo Scot.</v>
          </cell>
          <cell r="B95">
            <v>4.3682500005364417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1.17</v>
          </cell>
          <cell r="H95">
            <v>1.254750000208616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0.13800110000371935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96" t="str">
            <v>EEFPO</v>
          </cell>
          <cell r="B96">
            <v>0.24299999999999999</v>
          </cell>
          <cell r="C96">
            <v>0</v>
          </cell>
          <cell r="D96">
            <v>0</v>
          </cell>
          <cell r="E96">
            <v>0</v>
          </cell>
          <cell r="F96">
            <v>0.2</v>
          </cell>
          <cell r="G96">
            <v>0.05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97" t="str">
            <v>Western PO</v>
          </cell>
          <cell r="B97">
            <v>0</v>
          </cell>
          <cell r="C97">
            <v>0</v>
          </cell>
          <cell r="D97">
            <v>0.18211174248158943</v>
          </cell>
          <cell r="E97">
            <v>0</v>
          </cell>
          <cell r="F97">
            <v>0</v>
          </cell>
          <cell r="G97">
            <v>0.31</v>
          </cell>
          <cell r="H97">
            <v>0.79999999999999993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0.60152458392083652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A98" t="str">
            <v>FPO</v>
          </cell>
          <cell r="B98">
            <v>0</v>
          </cell>
          <cell r="C98">
            <v>0</v>
          </cell>
          <cell r="D98">
            <v>0.2666199996620417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9.787000004947187E-2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A99" t="str">
            <v>NIFPO</v>
          </cell>
          <cell r="B99">
            <v>10.329000000000001</v>
          </cell>
          <cell r="C99">
            <v>7.0000000000000007E-2</v>
          </cell>
          <cell r="D99">
            <v>1303.526984386921</v>
          </cell>
          <cell r="E99">
            <v>0</v>
          </cell>
          <cell r="F99">
            <v>576.04200011742114</v>
          </cell>
          <cell r="G99">
            <v>7.8769999451637265</v>
          </cell>
          <cell r="H99">
            <v>2.5287500116825092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0.76500000000000001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100" t="str">
            <v>ANIFPO</v>
          </cell>
          <cell r="B100">
            <v>5197.1490019531248</v>
          </cell>
          <cell r="C100">
            <v>0</v>
          </cell>
          <cell r="D100">
            <v>2983.7980000038892</v>
          </cell>
          <cell r="E100">
            <v>0</v>
          </cell>
          <cell r="F100">
            <v>11909.071007812501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811.18099218750001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 t="str">
            <v>Cornish</v>
          </cell>
          <cell r="B101">
            <v>0</v>
          </cell>
          <cell r="C101">
            <v>0</v>
          </cell>
          <cell r="D101">
            <v>28.686919502258341</v>
          </cell>
          <cell r="E101">
            <v>1.03</v>
          </cell>
          <cell r="F101">
            <v>5.1699999694824168</v>
          </cell>
          <cell r="G101">
            <v>11.657999953269956</v>
          </cell>
          <cell r="H101">
            <v>1.08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6.1374143846556564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 t="str">
            <v>South West</v>
          </cell>
          <cell r="B102">
            <v>0</v>
          </cell>
          <cell r="C102">
            <v>0</v>
          </cell>
          <cell r="D102">
            <v>0.89985240393131971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0.3408000005483629</v>
          </cell>
          <cell r="O102">
            <v>0.22419999909400931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103" t="str">
            <v>North Sea</v>
          </cell>
          <cell r="B103">
            <v>0</v>
          </cell>
          <cell r="C103">
            <v>0</v>
          </cell>
          <cell r="D103">
            <v>32.681999921083438</v>
          </cell>
          <cell r="E103">
            <v>0</v>
          </cell>
          <cell r="F103">
            <v>0</v>
          </cell>
          <cell r="G103">
            <v>0.34</v>
          </cell>
          <cell r="H103">
            <v>16.963999992370596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19.442000002861008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A104" t="str">
            <v>Lowestoft</v>
          </cell>
          <cell r="B104">
            <v>0</v>
          </cell>
          <cell r="C104">
            <v>0</v>
          </cell>
          <cell r="D104">
            <v>65.377999795913723</v>
          </cell>
          <cell r="E104">
            <v>0</v>
          </cell>
          <cell r="F104">
            <v>0</v>
          </cell>
          <cell r="G104">
            <v>0</v>
          </cell>
          <cell r="H104">
            <v>178.31693706364933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143.88287794595956</v>
          </cell>
          <cell r="O104">
            <v>1.419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105" t="str">
            <v>Wales WC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106" t="str">
            <v>Interfish</v>
          </cell>
          <cell r="B106">
            <v>9329.4299999999985</v>
          </cell>
          <cell r="C106">
            <v>0</v>
          </cell>
          <cell r="D106">
            <v>7.6121000007092938</v>
          </cell>
          <cell r="E106">
            <v>0</v>
          </cell>
          <cell r="F106">
            <v>27200.21</v>
          </cell>
          <cell r="G106">
            <v>18.670000000000002</v>
          </cell>
          <cell r="H106">
            <v>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4.8227999992370592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3691.6499999999996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107" t="str">
            <v>North Atlantic FPO</v>
          </cell>
          <cell r="B107">
            <v>11090.798884521482</v>
          </cell>
          <cell r="C107">
            <v>0</v>
          </cell>
          <cell r="D107">
            <v>8545.1390773546682</v>
          </cell>
          <cell r="E107">
            <v>0</v>
          </cell>
          <cell r="F107">
            <v>13467.881182418823</v>
          </cell>
          <cell r="G107">
            <v>178.43456089782717</v>
          </cell>
          <cell r="H107">
            <v>56.865999908447264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2879.1518475418097</v>
          </cell>
          <cell r="O107">
            <v>918.34375671029113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7477.7809921875014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 t="str">
            <v>Non Sector - England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109" t="str">
            <v>Non Sector - Wales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110" t="str">
            <v>Non Sector - Scotland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111" t="str">
            <v>Non Sector - N.Ireland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A112" t="str">
            <v>Isle of Man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A113" t="str">
            <v>Under 10m - England</v>
          </cell>
          <cell r="B113">
            <v>0.33650000000000008</v>
          </cell>
          <cell r="C113">
            <v>0</v>
          </cell>
          <cell r="D113">
            <v>81.091512713283024</v>
          </cell>
          <cell r="E113">
            <v>300.71636304785869</v>
          </cell>
          <cell r="F113">
            <v>0</v>
          </cell>
          <cell r="G113">
            <v>0</v>
          </cell>
          <cell r="H113">
            <v>2.719369997352354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1.6918499979898318</v>
          </cell>
          <cell r="O113">
            <v>2.5909700055867408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114" t="str">
            <v>Under 10m - Wales</v>
          </cell>
          <cell r="B114">
            <v>0</v>
          </cell>
          <cell r="C114">
            <v>0</v>
          </cell>
          <cell r="D114">
            <v>0.17990000045299537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A115" t="str">
            <v>Under 10m - Scotland</v>
          </cell>
          <cell r="B115">
            <v>0</v>
          </cell>
          <cell r="C115">
            <v>0</v>
          </cell>
          <cell r="D115">
            <v>2.4900000000000002</v>
          </cell>
          <cell r="E115">
            <v>0</v>
          </cell>
          <cell r="F115">
            <v>0</v>
          </cell>
          <cell r="G115">
            <v>910.37999999999874</v>
          </cell>
          <cell r="H115">
            <v>54.84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>Under 10m - N.Ireland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117" t="str">
            <v>Handliners(VIIe-h)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9">
          <cell r="A119" t="str">
            <v>Total</v>
          </cell>
          <cell r="B119">
            <v>78718.214636475153</v>
          </cell>
          <cell r="C119">
            <v>7.2</v>
          </cell>
          <cell r="D119">
            <v>23957.671077966403</v>
          </cell>
          <cell r="E119">
            <v>301.74636304785867</v>
          </cell>
          <cell r="F119">
            <v>170810.2541903182</v>
          </cell>
          <cell r="G119">
            <v>1169.4095607962595</v>
          </cell>
          <cell r="H119">
            <v>395.44280690886092</v>
          </cell>
          <cell r="I119">
            <v>9620.3499999999985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3075.8712465854069</v>
          </cell>
          <cell r="O119">
            <v>2298.6256578702855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53489.710992187502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2">
          <cell r="A122">
            <v>44895</v>
          </cell>
        </row>
        <row r="125">
          <cell r="A125" t="str">
            <v>SFO</v>
          </cell>
          <cell r="B125">
            <v>21585.62</v>
          </cell>
          <cell r="C125">
            <v>1.78</v>
          </cell>
          <cell r="D125">
            <v>866.79</v>
          </cell>
          <cell r="E125">
            <v>0</v>
          </cell>
          <cell r="F125">
            <v>44057.13</v>
          </cell>
          <cell r="G125">
            <v>11.359999999999998</v>
          </cell>
          <cell r="H125">
            <v>1.9</v>
          </cell>
          <cell r="I125">
            <v>2586.1699999999996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31.06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5289.58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A126" t="str">
            <v>Aberdeen</v>
          </cell>
          <cell r="B126">
            <v>0</v>
          </cell>
          <cell r="C126">
            <v>0</v>
          </cell>
          <cell r="D126">
            <v>0.61</v>
          </cell>
          <cell r="E126">
            <v>0</v>
          </cell>
          <cell r="F126">
            <v>6.32</v>
          </cell>
          <cell r="G126">
            <v>17.490000000000002</v>
          </cell>
          <cell r="H126">
            <v>3.21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0.02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</row>
        <row r="127">
          <cell r="A127" t="str">
            <v>NESFO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7.0000000000000007E-2</v>
          </cell>
          <cell r="G127">
            <v>2.0299999999999998</v>
          </cell>
          <cell r="H127">
            <v>1.1599999999999999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>Shetland</v>
          </cell>
          <cell r="B128">
            <v>14893.9</v>
          </cell>
          <cell r="C128">
            <v>5.35</v>
          </cell>
          <cell r="D128">
            <v>1115.1300000000001</v>
          </cell>
          <cell r="E128">
            <v>0</v>
          </cell>
          <cell r="F128">
            <v>35097.69</v>
          </cell>
          <cell r="G128">
            <v>0.09</v>
          </cell>
          <cell r="H128">
            <v>0</v>
          </cell>
          <cell r="I128">
            <v>4167.63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68.569999999999993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8768.7099999999991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A129" t="str">
            <v>Fife</v>
          </cell>
          <cell r="B129">
            <v>0</v>
          </cell>
          <cell r="C129">
            <v>0</v>
          </cell>
          <cell r="D129">
            <v>100.61500014114378</v>
          </cell>
          <cell r="E129">
            <v>0</v>
          </cell>
          <cell r="F129">
            <v>0</v>
          </cell>
          <cell r="G129">
            <v>0</v>
          </cell>
          <cell r="H129">
            <v>37.822999935150158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29.6059999961853</v>
          </cell>
          <cell r="O129">
            <v>0.04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A130" t="str">
            <v>West Scotland</v>
          </cell>
          <cell r="B130">
            <v>0.12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0.08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A131" t="str">
            <v>Orkney</v>
          </cell>
          <cell r="B131">
            <v>0.11</v>
          </cell>
          <cell r="C131">
            <v>0</v>
          </cell>
          <cell r="D131">
            <v>0.09</v>
          </cell>
          <cell r="E131">
            <v>0</v>
          </cell>
          <cell r="F131">
            <v>0.04</v>
          </cell>
          <cell r="G131">
            <v>0.09</v>
          </cell>
          <cell r="H131">
            <v>0.08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2">
          <cell r="A132" t="str">
            <v>Northern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A133" t="str">
            <v>Klondyke</v>
          </cell>
          <cell r="B133">
            <v>8457.51</v>
          </cell>
          <cell r="C133">
            <v>0</v>
          </cell>
          <cell r="D133">
            <v>4818.91</v>
          </cell>
          <cell r="E133">
            <v>0</v>
          </cell>
          <cell r="F133">
            <v>18627.87</v>
          </cell>
          <cell r="G133">
            <v>0</v>
          </cell>
          <cell r="H133">
            <v>0</v>
          </cell>
          <cell r="I133">
            <v>2866.55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452.87000000000006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8340.8000000000011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</row>
        <row r="134">
          <cell r="A134" t="str">
            <v>Lunar</v>
          </cell>
          <cell r="B134">
            <v>8142.4800000000005</v>
          </cell>
          <cell r="C134">
            <v>0</v>
          </cell>
          <cell r="D134">
            <v>4003.58</v>
          </cell>
          <cell r="E134">
            <v>0</v>
          </cell>
          <cell r="F134">
            <v>19858.869999999995</v>
          </cell>
          <cell r="G134">
            <v>9.4600000000000009</v>
          </cell>
          <cell r="H134">
            <v>31.72000000000001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1.5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19921.170000000002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A135" t="str">
            <v>Anglo Scot.</v>
          </cell>
          <cell r="B135">
            <v>4.3682500005364417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1.17</v>
          </cell>
          <cell r="H135">
            <v>1.2537500002086162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0.13800110000371935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A136" t="str">
            <v>EEFPO</v>
          </cell>
          <cell r="B136">
            <v>0.24299999999999999</v>
          </cell>
          <cell r="C136">
            <v>0</v>
          </cell>
          <cell r="D136">
            <v>0</v>
          </cell>
          <cell r="E136">
            <v>0</v>
          </cell>
          <cell r="F136">
            <v>0.2</v>
          </cell>
          <cell r="G136">
            <v>0.05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37">
          <cell r="A137" t="str">
            <v>Western PO</v>
          </cell>
          <cell r="B137">
            <v>0</v>
          </cell>
          <cell r="C137">
            <v>0</v>
          </cell>
          <cell r="D137">
            <v>0.18199888207018386</v>
          </cell>
          <cell r="E137">
            <v>0</v>
          </cell>
          <cell r="F137">
            <v>0</v>
          </cell>
          <cell r="G137">
            <v>0.31</v>
          </cell>
          <cell r="H137">
            <v>0.79999999999999993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0.60122458390891564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</row>
        <row r="138">
          <cell r="A138" t="str">
            <v>FPO</v>
          </cell>
          <cell r="B138">
            <v>0</v>
          </cell>
          <cell r="C138">
            <v>0</v>
          </cell>
          <cell r="D138">
            <v>0.2666199996620417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9.787000004947187E-2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</row>
        <row r="139">
          <cell r="A139" t="str">
            <v>NIFPO</v>
          </cell>
          <cell r="B139">
            <v>10.329000000000001</v>
          </cell>
          <cell r="C139">
            <v>7.0000000000000007E-2</v>
          </cell>
          <cell r="D139">
            <v>1303.526984386921</v>
          </cell>
          <cell r="E139">
            <v>0</v>
          </cell>
          <cell r="F139">
            <v>576.00200011837478</v>
          </cell>
          <cell r="G139">
            <v>7.8769999451637265</v>
          </cell>
          <cell r="H139">
            <v>2.5287500116825092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0.76500000000000001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A140" t="str">
            <v>ANIFPO</v>
          </cell>
          <cell r="B140">
            <v>5197.1490019531248</v>
          </cell>
          <cell r="C140">
            <v>0</v>
          </cell>
          <cell r="D140">
            <v>2983.7980000038892</v>
          </cell>
          <cell r="E140">
            <v>0</v>
          </cell>
          <cell r="F140">
            <v>11909.071007812501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811.18099218750001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</row>
        <row r="141">
          <cell r="A141" t="str">
            <v>Cornish</v>
          </cell>
          <cell r="B141">
            <v>0</v>
          </cell>
          <cell r="C141">
            <v>0</v>
          </cell>
          <cell r="D141">
            <v>24.184719505310103</v>
          </cell>
          <cell r="E141">
            <v>1.03</v>
          </cell>
          <cell r="F141">
            <v>5.1699999694824168</v>
          </cell>
          <cell r="G141">
            <v>11.657999953269956</v>
          </cell>
          <cell r="H141">
            <v>1.08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6.075814386181535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A142" t="str">
            <v>South West</v>
          </cell>
          <cell r="B142">
            <v>0</v>
          </cell>
          <cell r="C142">
            <v>0</v>
          </cell>
          <cell r="D142">
            <v>0.89485240416973832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0.3408000005483629</v>
          </cell>
          <cell r="O142">
            <v>0.22169999903440465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</row>
        <row r="143">
          <cell r="A143" t="str">
            <v>North Sea</v>
          </cell>
          <cell r="B143">
            <v>0</v>
          </cell>
          <cell r="C143">
            <v>0</v>
          </cell>
          <cell r="D143">
            <v>32.681999921083438</v>
          </cell>
          <cell r="E143">
            <v>0</v>
          </cell>
          <cell r="F143">
            <v>0</v>
          </cell>
          <cell r="G143">
            <v>0.34</v>
          </cell>
          <cell r="H143">
            <v>14.555999992370598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19.427000002861007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</row>
        <row r="144">
          <cell r="A144" t="str">
            <v>Lowestoft</v>
          </cell>
          <cell r="B144">
            <v>0</v>
          </cell>
          <cell r="C144">
            <v>0</v>
          </cell>
          <cell r="D144">
            <v>65.377999795913723</v>
          </cell>
          <cell r="E144">
            <v>0</v>
          </cell>
          <cell r="F144">
            <v>0</v>
          </cell>
          <cell r="G144">
            <v>0</v>
          </cell>
          <cell r="H144">
            <v>177.77593706364937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138.9318779535889</v>
          </cell>
          <cell r="O144">
            <v>1.419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A145" t="str">
            <v>Wales WC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A146" t="str">
            <v>Interfish</v>
          </cell>
          <cell r="B146">
            <v>9329.4299999999985</v>
          </cell>
          <cell r="C146">
            <v>0</v>
          </cell>
          <cell r="D146">
            <v>7.3764000007212145</v>
          </cell>
          <cell r="E146">
            <v>0</v>
          </cell>
          <cell r="F146">
            <v>27200.21</v>
          </cell>
          <cell r="G146">
            <v>18.670000000000002</v>
          </cell>
          <cell r="H146">
            <v>4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4.8227999992370592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3691.6499999999996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7">
          <cell r="A147" t="str">
            <v>North Atlantic FPO</v>
          </cell>
          <cell r="B147">
            <v>10819.455925170896</v>
          </cell>
          <cell r="C147">
            <v>0</v>
          </cell>
          <cell r="D147">
            <v>8544.5590773546683</v>
          </cell>
          <cell r="E147">
            <v>0</v>
          </cell>
          <cell r="F147">
            <v>9575.970993942261</v>
          </cell>
          <cell r="G147">
            <v>178.43456089782717</v>
          </cell>
          <cell r="H147">
            <v>49.847999862670903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2877.4728475418092</v>
          </cell>
          <cell r="O147">
            <v>918.34375671029113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7477.7809921875014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</row>
        <row r="148">
          <cell r="A148" t="str">
            <v>Non Sector - England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</row>
        <row r="149">
          <cell r="A149" t="str">
            <v>Non Sector - Wales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A150" t="str">
            <v>Non Sector - Scotland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</row>
        <row r="151">
          <cell r="A151" t="str">
            <v>Non Sector - N.Ireland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</row>
        <row r="152">
          <cell r="A152" t="str">
            <v>Isle of Man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</row>
        <row r="153">
          <cell r="A153" t="str">
            <v>Under 10m - England</v>
          </cell>
          <cell r="B153">
            <v>0.33650000000000008</v>
          </cell>
          <cell r="C153">
            <v>0</v>
          </cell>
          <cell r="D153">
            <v>80.726772714420818</v>
          </cell>
          <cell r="E153">
            <v>300.02808804737589</v>
          </cell>
          <cell r="F153">
            <v>0</v>
          </cell>
          <cell r="G153">
            <v>0</v>
          </cell>
          <cell r="H153">
            <v>2.7275676282644197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1.6905499979779111</v>
          </cell>
          <cell r="O153">
            <v>2.5711000059396008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A154" t="str">
            <v>Under 10m - Wales</v>
          </cell>
          <cell r="B154">
            <v>0</v>
          </cell>
          <cell r="C154">
            <v>0</v>
          </cell>
          <cell r="D154">
            <v>0.17990000045299537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A155" t="str">
            <v>Under 10m - Scotland</v>
          </cell>
          <cell r="B155">
            <v>0</v>
          </cell>
          <cell r="C155">
            <v>0</v>
          </cell>
          <cell r="D155">
            <v>2.4900000000000002</v>
          </cell>
          <cell r="E155">
            <v>0</v>
          </cell>
          <cell r="F155">
            <v>0</v>
          </cell>
          <cell r="G155">
            <v>906.74999999999875</v>
          </cell>
          <cell r="H155">
            <v>54.59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A156" t="str">
            <v>Under 10m - N.Ireland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</row>
        <row r="157">
          <cell r="A157" t="str">
            <v>Handliners(VIIe-h)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9">
          <cell r="A159" t="str">
            <v>Total</v>
          </cell>
          <cell r="B159">
            <v>78441.051677124575</v>
          </cell>
          <cell r="C159">
            <v>7.2</v>
          </cell>
          <cell r="D159">
            <v>23951.970325110433</v>
          </cell>
          <cell r="E159">
            <v>301.05808804737586</v>
          </cell>
          <cell r="F159">
            <v>166914.61400184259</v>
          </cell>
          <cell r="G159">
            <v>1165.7795607962596</v>
          </cell>
          <cell r="H159">
            <v>385.13300449399662</v>
          </cell>
          <cell r="I159">
            <v>9620.3499999999985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3069.204946593024</v>
          </cell>
          <cell r="O159">
            <v>2298.5413878720929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53489.710992187502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5">
          <cell r="A165" t="str">
            <v>SFO</v>
          </cell>
          <cell r="B165">
            <v>21232.720000000001</v>
          </cell>
          <cell r="C165">
            <v>1.78</v>
          </cell>
          <cell r="D165">
            <v>866.79</v>
          </cell>
          <cell r="E165">
            <v>0</v>
          </cell>
          <cell r="F165">
            <v>43618.74</v>
          </cell>
          <cell r="G165">
            <v>11.359999999999998</v>
          </cell>
          <cell r="H165">
            <v>1.9</v>
          </cell>
          <cell r="I165">
            <v>2586.1699999999996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31.06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5289.58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 t="str">
            <v>Aberdeen</v>
          </cell>
          <cell r="B166">
            <v>0</v>
          </cell>
          <cell r="C166">
            <v>0</v>
          </cell>
          <cell r="D166">
            <v>0.61</v>
          </cell>
          <cell r="E166">
            <v>0</v>
          </cell>
          <cell r="F166">
            <v>6.32</v>
          </cell>
          <cell r="G166">
            <v>17.490000000000002</v>
          </cell>
          <cell r="H166">
            <v>3.21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0.02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A167" t="str">
            <v>NESFO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7.0000000000000007E-2</v>
          </cell>
          <cell r="G167">
            <v>2.0299999999999998</v>
          </cell>
          <cell r="H167">
            <v>1.1599999999999999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A168" t="str">
            <v>Shetland</v>
          </cell>
          <cell r="B168">
            <v>14882.24</v>
          </cell>
          <cell r="C168">
            <v>5.35</v>
          </cell>
          <cell r="D168">
            <v>1115.1300000000001</v>
          </cell>
          <cell r="E168">
            <v>0</v>
          </cell>
          <cell r="F168">
            <v>34559.210000000006</v>
          </cell>
          <cell r="G168">
            <v>0.09</v>
          </cell>
          <cell r="H168">
            <v>0</v>
          </cell>
          <cell r="I168">
            <v>4167.63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68.569999999999993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8768.7099999999991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69">
          <cell r="A169" t="str">
            <v>Fife</v>
          </cell>
          <cell r="B169">
            <v>0</v>
          </cell>
          <cell r="C169">
            <v>0</v>
          </cell>
          <cell r="D169">
            <v>100.59500014114379</v>
          </cell>
          <cell r="E169">
            <v>0</v>
          </cell>
          <cell r="F169">
            <v>0</v>
          </cell>
          <cell r="G169">
            <v>0</v>
          </cell>
          <cell r="H169">
            <v>37.410999938964856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29.5739999961853</v>
          </cell>
          <cell r="O169">
            <v>0.04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A170" t="str">
            <v>West Scotland</v>
          </cell>
          <cell r="B170">
            <v>0.12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0.08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A171" t="str">
            <v>Orkney</v>
          </cell>
          <cell r="B171">
            <v>0.11</v>
          </cell>
          <cell r="C171">
            <v>0</v>
          </cell>
          <cell r="D171">
            <v>0.09</v>
          </cell>
          <cell r="E171">
            <v>0</v>
          </cell>
          <cell r="F171">
            <v>0.04</v>
          </cell>
          <cell r="G171">
            <v>0.09</v>
          </cell>
          <cell r="H171">
            <v>0.08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A172" t="str">
            <v>Northern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A173" t="str">
            <v>Klondyke</v>
          </cell>
          <cell r="B173">
            <v>8457.51</v>
          </cell>
          <cell r="C173">
            <v>0</v>
          </cell>
          <cell r="D173">
            <v>4818.91</v>
          </cell>
          <cell r="E173">
            <v>0</v>
          </cell>
          <cell r="F173">
            <v>18627.87</v>
          </cell>
          <cell r="G173">
            <v>0</v>
          </cell>
          <cell r="H173">
            <v>0</v>
          </cell>
          <cell r="I173">
            <v>2866.55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452.87000000000006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8340.8000000000011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A174" t="str">
            <v>Lunar</v>
          </cell>
          <cell r="B174">
            <v>8114.4800000000005</v>
          </cell>
          <cell r="C174">
            <v>0</v>
          </cell>
          <cell r="D174">
            <v>4003.58</v>
          </cell>
          <cell r="E174">
            <v>0</v>
          </cell>
          <cell r="F174">
            <v>18690.569999999996</v>
          </cell>
          <cell r="G174">
            <v>9.4600000000000009</v>
          </cell>
          <cell r="H174">
            <v>31.72000000000001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1.5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19921.170000000002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5">
          <cell r="A175" t="str">
            <v>Anglo Scot.</v>
          </cell>
          <cell r="B175">
            <v>4.3682500005364417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1.17</v>
          </cell>
          <cell r="H175">
            <v>1.2537500002086162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0.13800110000371935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</row>
        <row r="176">
          <cell r="A176" t="str">
            <v>EEFPO</v>
          </cell>
          <cell r="B176">
            <v>0.24299999999999999</v>
          </cell>
          <cell r="C176">
            <v>0</v>
          </cell>
          <cell r="D176">
            <v>0</v>
          </cell>
          <cell r="E176">
            <v>0</v>
          </cell>
          <cell r="F176">
            <v>0.2</v>
          </cell>
          <cell r="G176">
            <v>0.05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</row>
        <row r="177">
          <cell r="A177" t="str">
            <v>Western PO</v>
          </cell>
          <cell r="B177">
            <v>0</v>
          </cell>
          <cell r="C177">
            <v>0</v>
          </cell>
          <cell r="D177">
            <v>0.180898882046342</v>
          </cell>
          <cell r="E177">
            <v>0</v>
          </cell>
          <cell r="F177">
            <v>0</v>
          </cell>
          <cell r="G177">
            <v>0.31</v>
          </cell>
          <cell r="H177">
            <v>0.79999999999999993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0.5671245854347946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78">
          <cell r="A178" t="str">
            <v>FPO</v>
          </cell>
          <cell r="B178">
            <v>0</v>
          </cell>
          <cell r="C178">
            <v>0</v>
          </cell>
          <cell r="D178">
            <v>0.2666199996620417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9.787000004947187E-2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</row>
        <row r="179">
          <cell r="A179" t="str">
            <v>NIFPO</v>
          </cell>
          <cell r="B179">
            <v>10.329000000000001</v>
          </cell>
          <cell r="C179">
            <v>7.0000000000000007E-2</v>
          </cell>
          <cell r="D179">
            <v>1303.526984386921</v>
          </cell>
          <cell r="E179">
            <v>0</v>
          </cell>
          <cell r="F179">
            <v>576.00200011837478</v>
          </cell>
          <cell r="G179">
            <v>7.8769999451637265</v>
          </cell>
          <cell r="H179">
            <v>2.5287500116825092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0.76500000000000001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</row>
        <row r="180">
          <cell r="A180" t="str">
            <v>ANIFPO</v>
          </cell>
          <cell r="B180">
            <v>5197.1490019531248</v>
          </cell>
          <cell r="C180">
            <v>0</v>
          </cell>
          <cell r="D180">
            <v>2983.7980000038892</v>
          </cell>
          <cell r="E180">
            <v>0</v>
          </cell>
          <cell r="F180">
            <v>11909.071007812501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811.18099218750001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A181" t="str">
            <v>Cornish</v>
          </cell>
          <cell r="B181">
            <v>0</v>
          </cell>
          <cell r="C181">
            <v>0</v>
          </cell>
          <cell r="D181">
            <v>23.490819505274338</v>
          </cell>
          <cell r="E181">
            <v>1.03</v>
          </cell>
          <cell r="F181">
            <v>5.1699999694824168</v>
          </cell>
          <cell r="G181">
            <v>11.657999953269956</v>
          </cell>
          <cell r="H181">
            <v>1.08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6.0665143857523818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South West</v>
          </cell>
          <cell r="B182">
            <v>0</v>
          </cell>
          <cell r="C182">
            <v>0</v>
          </cell>
          <cell r="D182">
            <v>0.89485240416973832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0.3408000005483629</v>
          </cell>
          <cell r="O182">
            <v>0.22169999903440465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183" t="str">
            <v>North Sea</v>
          </cell>
          <cell r="B183">
            <v>0</v>
          </cell>
          <cell r="C183">
            <v>0</v>
          </cell>
          <cell r="D183">
            <v>32.681999921083438</v>
          </cell>
          <cell r="E183">
            <v>0</v>
          </cell>
          <cell r="F183">
            <v>0</v>
          </cell>
          <cell r="G183">
            <v>0.34</v>
          </cell>
          <cell r="H183">
            <v>13.685999992370602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19.294000002861008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A184" t="str">
            <v>Lowestoft</v>
          </cell>
          <cell r="B184">
            <v>0</v>
          </cell>
          <cell r="C184">
            <v>0</v>
          </cell>
          <cell r="D184">
            <v>65.116999795913713</v>
          </cell>
          <cell r="E184">
            <v>0</v>
          </cell>
          <cell r="F184">
            <v>0</v>
          </cell>
          <cell r="G184">
            <v>0</v>
          </cell>
          <cell r="H184">
            <v>168.50593705792727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136.80787797647707</v>
          </cell>
          <cell r="O184">
            <v>1.419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A185" t="str">
            <v>Wales WC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A186" t="str">
            <v>Interfish</v>
          </cell>
          <cell r="B186">
            <v>9329.4299999999985</v>
          </cell>
          <cell r="C186">
            <v>0</v>
          </cell>
          <cell r="D186">
            <v>6.7299000007212149</v>
          </cell>
          <cell r="E186">
            <v>0</v>
          </cell>
          <cell r="F186">
            <v>27200.21</v>
          </cell>
          <cell r="G186">
            <v>18.670000000000002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4.8227999992370592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3691.6499999999996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A187" t="str">
            <v>North Atlantic FPO</v>
          </cell>
          <cell r="B187">
            <v>10819.455925170896</v>
          </cell>
          <cell r="C187">
            <v>0</v>
          </cell>
          <cell r="D187">
            <v>8544.5590773546683</v>
          </cell>
          <cell r="E187">
            <v>0</v>
          </cell>
          <cell r="F187">
            <v>9338.4489939422619</v>
          </cell>
          <cell r="G187">
            <v>415.95700245666501</v>
          </cell>
          <cell r="H187">
            <v>49.664999862670903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2877.1478475437166</v>
          </cell>
          <cell r="O187">
            <v>918.34375671029113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7477.7809921875014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A188" t="str">
            <v>Non Sector - England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A189" t="str">
            <v>Non Sector - Wales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A190" t="str">
            <v>Non Sector - Scotland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A191" t="str">
            <v>Non Sector - N.Ireland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</row>
        <row r="192">
          <cell r="A192" t="str">
            <v>Isle of Man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3">
          <cell r="A193" t="str">
            <v>Under 10m - England</v>
          </cell>
          <cell r="B193">
            <v>0.33025000000000004</v>
          </cell>
          <cell r="C193">
            <v>0</v>
          </cell>
          <cell r="D193">
            <v>80.523812715932408</v>
          </cell>
          <cell r="E193">
            <v>299.63218804728064</v>
          </cell>
          <cell r="F193">
            <v>0</v>
          </cell>
          <cell r="G193">
            <v>0</v>
          </cell>
          <cell r="H193">
            <v>2.723727628290646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1.6905499979779111</v>
          </cell>
          <cell r="O193">
            <v>2.5569000059515217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</row>
        <row r="194">
          <cell r="A194" t="str">
            <v>Under 10m - Wales</v>
          </cell>
          <cell r="B194">
            <v>0</v>
          </cell>
          <cell r="C194">
            <v>0</v>
          </cell>
          <cell r="D194">
            <v>0.17990000045299537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A195" t="str">
            <v>Under 10m - Scotland</v>
          </cell>
          <cell r="B195">
            <v>0</v>
          </cell>
          <cell r="C195">
            <v>0</v>
          </cell>
          <cell r="D195">
            <v>2.4900000000000002</v>
          </cell>
          <cell r="E195">
            <v>0</v>
          </cell>
          <cell r="F195">
            <v>0</v>
          </cell>
          <cell r="G195">
            <v>900.61999999999875</v>
          </cell>
          <cell r="H195">
            <v>52.85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</row>
        <row r="196">
          <cell r="A196" t="str">
            <v>Under 10m - N.Ireland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A197" t="str">
            <v>Handliners(VIIe-h)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9">
          <cell r="A199" t="str">
            <v>Total</v>
          </cell>
          <cell r="B199">
            <v>78048.485427124571</v>
          </cell>
          <cell r="C199">
            <v>7.2</v>
          </cell>
          <cell r="D199">
            <v>23950.144865111881</v>
          </cell>
          <cell r="E199">
            <v>300.66218804728061</v>
          </cell>
          <cell r="F199">
            <v>164531.92200184258</v>
          </cell>
          <cell r="G199">
            <v>1397.1720023550974</v>
          </cell>
          <cell r="H199">
            <v>372.65416449211546</v>
          </cell>
          <cell r="I199">
            <v>9620.3499999999985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3066.5909466178196</v>
          </cell>
          <cell r="O199">
            <v>2298.4837878732014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53489.710992187502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</row>
      </sheetData>
      <sheetData sheetId="4">
        <row r="29">
          <cell r="AF29">
            <v>0</v>
          </cell>
        </row>
        <row r="31">
          <cell r="AF31">
            <v>0</v>
          </cell>
        </row>
        <row r="34">
          <cell r="AF34">
            <v>0</v>
          </cell>
        </row>
        <row r="35">
          <cell r="AF35">
            <v>0</v>
          </cell>
        </row>
        <row r="36">
          <cell r="AF36">
            <v>0</v>
          </cell>
        </row>
        <row r="37">
          <cell r="AF37">
            <v>0</v>
          </cell>
        </row>
        <row r="46">
          <cell r="B46" t="str">
            <v>SFO</v>
          </cell>
          <cell r="C46">
            <v>21097.4</v>
          </cell>
          <cell r="D46">
            <v>0</v>
          </cell>
          <cell r="E46">
            <v>48548.6</v>
          </cell>
          <cell r="F46">
            <v>46116.5</v>
          </cell>
          <cell r="G46">
            <v>49.319999999999993</v>
          </cell>
          <cell r="H46">
            <v>51.72</v>
          </cell>
          <cell r="I46">
            <v>2597.6</v>
          </cell>
          <cell r="J46">
            <v>0</v>
          </cell>
          <cell r="K46">
            <v>0</v>
          </cell>
          <cell r="L46">
            <v>0</v>
          </cell>
          <cell r="M46">
            <v>111</v>
          </cell>
          <cell r="N46">
            <v>1.5</v>
          </cell>
          <cell r="O46">
            <v>35.698000000000036</v>
          </cell>
          <cell r="Q46">
            <v>0</v>
          </cell>
          <cell r="R46">
            <v>0</v>
          </cell>
          <cell r="S46">
            <v>0</v>
          </cell>
          <cell r="T46">
            <v>5290.0060000000003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B47" t="str">
            <v>Aberdeen</v>
          </cell>
          <cell r="C47">
            <v>-1</v>
          </cell>
          <cell r="D47">
            <v>0</v>
          </cell>
          <cell r="E47">
            <v>27</v>
          </cell>
          <cell r="F47">
            <v>107</v>
          </cell>
          <cell r="G47">
            <v>21.338000000000001</v>
          </cell>
          <cell r="H47">
            <v>12.337999999999999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3.6</v>
          </cell>
          <cell r="N47">
            <v>0</v>
          </cell>
          <cell r="O47">
            <v>-0.3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B48" t="str">
            <v>NESFO</v>
          </cell>
          <cell r="C48">
            <v>0.247</v>
          </cell>
          <cell r="D48">
            <v>0</v>
          </cell>
          <cell r="E48">
            <v>2.7</v>
          </cell>
          <cell r="F48">
            <v>0.5</v>
          </cell>
          <cell r="G48">
            <v>3.3769999999999998</v>
          </cell>
          <cell r="H48">
            <v>4.1769999999999996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0.3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3.5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B49" t="str">
            <v>Shetland</v>
          </cell>
          <cell r="C49">
            <v>14035</v>
          </cell>
          <cell r="D49">
            <v>0</v>
          </cell>
          <cell r="E49">
            <v>41509</v>
          </cell>
          <cell r="F49">
            <v>41135</v>
          </cell>
          <cell r="G49">
            <v>20.774999999999999</v>
          </cell>
          <cell r="H49">
            <v>24.875</v>
          </cell>
          <cell r="I49">
            <v>4168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152.5</v>
          </cell>
          <cell r="O49">
            <v>128.767</v>
          </cell>
          <cell r="Q49">
            <v>0</v>
          </cell>
          <cell r="R49">
            <v>0</v>
          </cell>
          <cell r="S49">
            <v>0</v>
          </cell>
          <cell r="T49">
            <v>8755.5999999999985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B50" t="str">
            <v>Fife</v>
          </cell>
          <cell r="C50">
            <v>0.6</v>
          </cell>
          <cell r="D50">
            <v>0</v>
          </cell>
          <cell r="E50">
            <v>14.6</v>
          </cell>
          <cell r="F50">
            <v>1.7</v>
          </cell>
          <cell r="G50">
            <v>45.599999999999994</v>
          </cell>
          <cell r="H50">
            <v>0.3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28.896000000000001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B51" t="str">
            <v>West Scotland</v>
          </cell>
          <cell r="C51">
            <v>0.19999999999999996</v>
          </cell>
          <cell r="D51">
            <v>0</v>
          </cell>
          <cell r="E51">
            <v>2.5999999999999996</v>
          </cell>
          <cell r="F51">
            <v>16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20.6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B52" t="str">
            <v>Orkney</v>
          </cell>
          <cell r="C52">
            <v>0.1</v>
          </cell>
          <cell r="D52">
            <v>0</v>
          </cell>
          <cell r="E52">
            <v>0.4</v>
          </cell>
          <cell r="F52">
            <v>0.4</v>
          </cell>
          <cell r="G52">
            <v>5.0999999999999996</v>
          </cell>
          <cell r="H52">
            <v>1.9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0.1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B53" t="str">
            <v>Northern</v>
          </cell>
          <cell r="C53">
            <v>0.1</v>
          </cell>
          <cell r="D53">
            <v>0</v>
          </cell>
          <cell r="E53">
            <v>6.5</v>
          </cell>
          <cell r="F53">
            <v>6.5</v>
          </cell>
          <cell r="G53">
            <v>0.2</v>
          </cell>
          <cell r="H53">
            <v>0.1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3.2</v>
          </cell>
          <cell r="N53">
            <v>0.1</v>
          </cell>
          <cell r="O53">
            <v>0.8</v>
          </cell>
          <cell r="Q53">
            <v>0</v>
          </cell>
          <cell r="R53">
            <v>0</v>
          </cell>
          <cell r="S53">
            <v>0</v>
          </cell>
          <cell r="T53">
            <v>2.6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B54" t="str">
            <v>Klondyke</v>
          </cell>
          <cell r="C54">
            <v>7797.6</v>
          </cell>
          <cell r="D54">
            <v>0</v>
          </cell>
          <cell r="E54">
            <v>26665.7</v>
          </cell>
          <cell r="F54">
            <v>26604.9</v>
          </cell>
          <cell r="G54">
            <v>18.600000000000001</v>
          </cell>
          <cell r="H54">
            <v>46.1</v>
          </cell>
          <cell r="I54">
            <v>3424.2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0.29999999999999716</v>
          </cell>
          <cell r="O54">
            <v>417.09900000000005</v>
          </cell>
          <cell r="Q54">
            <v>0</v>
          </cell>
          <cell r="R54">
            <v>0</v>
          </cell>
          <cell r="S54">
            <v>0</v>
          </cell>
          <cell r="T54">
            <v>8063.6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 t="str">
            <v>Lunar</v>
          </cell>
          <cell r="C55">
            <v>7754.3</v>
          </cell>
          <cell r="D55">
            <v>0</v>
          </cell>
          <cell r="E55">
            <v>23614.399999999998</v>
          </cell>
          <cell r="F55">
            <v>23871.899999999998</v>
          </cell>
          <cell r="G55">
            <v>73.245999999999995</v>
          </cell>
          <cell r="H55">
            <v>27.545999999999999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-1.2000000000000455E-2</v>
          </cell>
          <cell r="Q55">
            <v>0</v>
          </cell>
          <cell r="R55">
            <v>0</v>
          </cell>
          <cell r="S55">
            <v>0</v>
          </cell>
          <cell r="T55">
            <v>18934.690999999999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B56" t="str">
            <v>Anglo Scot.</v>
          </cell>
          <cell r="C56">
            <v>5.2359999999999998</v>
          </cell>
          <cell r="D56">
            <v>0</v>
          </cell>
          <cell r="E56">
            <v>-2.200000000000002E-2</v>
          </cell>
          <cell r="F56">
            <v>0.878</v>
          </cell>
          <cell r="G56">
            <v>5.7159999999999993</v>
          </cell>
          <cell r="H56">
            <v>10.516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2.5579999999999998</v>
          </cell>
          <cell r="O56">
            <v>5.2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B57" t="str">
            <v>EEFPO</v>
          </cell>
          <cell r="C57">
            <v>3.1089999999999947</v>
          </cell>
          <cell r="D57">
            <v>0</v>
          </cell>
          <cell r="E57">
            <v>2.6559999999999491</v>
          </cell>
          <cell r="F57">
            <v>589.75599999999997</v>
          </cell>
          <cell r="G57">
            <v>0.82299999999999995</v>
          </cell>
          <cell r="H57">
            <v>3.6230000000000002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3.4260000000000002</v>
          </cell>
          <cell r="O57">
            <v>3.9999999999999991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B58" t="str">
            <v>Western PO</v>
          </cell>
          <cell r="C58">
            <v>0</v>
          </cell>
          <cell r="D58">
            <v>0</v>
          </cell>
          <cell r="E58">
            <v>4.6579999999999089</v>
          </cell>
          <cell r="F58">
            <v>4.5579999999999998</v>
          </cell>
          <cell r="G58">
            <v>1.2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9.9999999999999978E-2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B59" t="str">
            <v>FPO</v>
          </cell>
          <cell r="C59">
            <v>0.13600000000000001</v>
          </cell>
          <cell r="D59">
            <v>0</v>
          </cell>
          <cell r="E59">
            <v>17.338999999999999</v>
          </cell>
          <cell r="F59">
            <v>17.138999999999999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1.9710000000000001</v>
          </cell>
          <cell r="O59">
            <v>4.5</v>
          </cell>
          <cell r="Q59">
            <v>0</v>
          </cell>
          <cell r="R59">
            <v>0</v>
          </cell>
          <cell r="S59">
            <v>0</v>
          </cell>
          <cell r="T59">
            <v>1.24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B60" t="str">
            <v>NIFPO</v>
          </cell>
          <cell r="C60">
            <v>29.021000000000015</v>
          </cell>
          <cell r="D60">
            <v>0</v>
          </cell>
          <cell r="E60">
            <v>1879.569</v>
          </cell>
          <cell r="F60">
            <v>1116.4690000000001</v>
          </cell>
          <cell r="G60">
            <v>11.675999999999995</v>
          </cell>
          <cell r="H60">
            <v>47.875999999999998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90.995999999999995</v>
          </cell>
          <cell r="N60">
            <v>6.7999999999999616E-2</v>
          </cell>
          <cell r="O60">
            <v>3.6040000000000134</v>
          </cell>
          <cell r="Q60">
            <v>0</v>
          </cell>
          <cell r="R60">
            <v>0</v>
          </cell>
          <cell r="S60">
            <v>0</v>
          </cell>
          <cell r="T60">
            <v>0.23699999999999999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B61" t="str">
            <v>ANIFPO</v>
          </cell>
          <cell r="C61">
            <v>6844.5789999999997</v>
          </cell>
          <cell r="D61">
            <v>0</v>
          </cell>
          <cell r="E61">
            <v>14321.931</v>
          </cell>
          <cell r="F61">
            <v>14637.931</v>
          </cell>
          <cell r="G61">
            <v>9.9000000000000199E-2</v>
          </cell>
          <cell r="H61">
            <v>25.798999999999999</v>
          </cell>
          <cell r="I61">
            <v>0.5</v>
          </cell>
          <cell r="J61">
            <v>0</v>
          </cell>
          <cell r="K61">
            <v>0</v>
          </cell>
          <cell r="L61">
            <v>0</v>
          </cell>
          <cell r="M61">
            <v>174.50399999999999</v>
          </cell>
          <cell r="N61">
            <v>0.132000000000005</v>
          </cell>
          <cell r="O61">
            <v>1247.067</v>
          </cell>
          <cell r="Q61">
            <v>0</v>
          </cell>
          <cell r="R61">
            <v>0</v>
          </cell>
          <cell r="S61">
            <v>0</v>
          </cell>
          <cell r="T61">
            <v>0.86299999999982901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B62" t="str">
            <v>Cornish</v>
          </cell>
          <cell r="C62">
            <v>0</v>
          </cell>
          <cell r="D62">
            <v>0</v>
          </cell>
          <cell r="E62">
            <v>30.038</v>
          </cell>
          <cell r="F62">
            <v>17.038</v>
          </cell>
          <cell r="G62">
            <v>13.266</v>
          </cell>
          <cell r="H62">
            <v>0.26600000000000001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1.958</v>
          </cell>
          <cell r="O62">
            <v>7.1970000000000001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B63" t="str">
            <v>South West</v>
          </cell>
          <cell r="C63">
            <v>0</v>
          </cell>
          <cell r="D63">
            <v>0</v>
          </cell>
          <cell r="E63">
            <v>2.7850000000000001</v>
          </cell>
          <cell r="F63">
            <v>10.185</v>
          </cell>
          <cell r="G63">
            <v>0.41799999999999998</v>
          </cell>
          <cell r="H63">
            <v>0.41799999999999998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1.974</v>
          </cell>
          <cell r="O63">
            <v>4.5019999999999998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B64" t="str">
            <v>North Sea</v>
          </cell>
          <cell r="C64">
            <v>30.591999999999999</v>
          </cell>
          <cell r="D64">
            <v>0</v>
          </cell>
          <cell r="E64">
            <v>40.299999999999997</v>
          </cell>
          <cell r="F64">
            <v>0.3</v>
          </cell>
          <cell r="G64">
            <v>35.446000000000005</v>
          </cell>
          <cell r="H64">
            <v>0.746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19.936999999999998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B65" t="str">
            <v>Lowestoft</v>
          </cell>
          <cell r="C65">
            <v>0</v>
          </cell>
          <cell r="D65">
            <v>0</v>
          </cell>
          <cell r="E65">
            <v>314.00000000000006</v>
          </cell>
          <cell r="F65">
            <v>0.2</v>
          </cell>
          <cell r="G65">
            <v>207.60999999999999</v>
          </cell>
          <cell r="H65">
            <v>2.91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148.66299999999998</v>
          </cell>
          <cell r="O65">
            <v>3.5419999999999998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B66" t="str">
            <v>Wales WC</v>
          </cell>
          <cell r="C66">
            <v>0</v>
          </cell>
          <cell r="D66">
            <v>0</v>
          </cell>
          <cell r="E66">
            <v>0.98899999999999999</v>
          </cell>
          <cell r="F66">
            <v>0.98899999999999999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1.379</v>
          </cell>
          <cell r="O66">
            <v>3.3</v>
          </cell>
          <cell r="Q66">
            <v>0</v>
          </cell>
          <cell r="R66">
            <v>0</v>
          </cell>
          <cell r="S66">
            <v>0</v>
          </cell>
          <cell r="T66">
            <v>2.48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B67" t="str">
            <v>Interfish</v>
          </cell>
          <cell r="C67">
            <v>8359.2710000000006</v>
          </cell>
          <cell r="D67">
            <v>0</v>
          </cell>
          <cell r="E67">
            <v>24057.704000000002</v>
          </cell>
          <cell r="F67">
            <v>23838.804</v>
          </cell>
          <cell r="G67">
            <v>22.692000000000007</v>
          </cell>
          <cell r="H67">
            <v>95.792000000000002</v>
          </cell>
          <cell r="I67">
            <v>1.2000000000000455</v>
          </cell>
          <cell r="J67">
            <v>0</v>
          </cell>
          <cell r="K67">
            <v>0</v>
          </cell>
          <cell r="L67">
            <v>0</v>
          </cell>
          <cell r="M67">
            <v>30.844000000000001</v>
          </cell>
          <cell r="N67">
            <v>40.038000000000011</v>
          </cell>
          <cell r="O67">
            <v>40.015999999999963</v>
          </cell>
          <cell r="Q67">
            <v>0</v>
          </cell>
          <cell r="R67">
            <v>0</v>
          </cell>
          <cell r="S67">
            <v>0</v>
          </cell>
          <cell r="T67">
            <v>3692.2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B68" t="str">
            <v>North Atlantic FPO</v>
          </cell>
          <cell r="C68">
            <v>10788.984</v>
          </cell>
          <cell r="D68">
            <v>0</v>
          </cell>
          <cell r="E68">
            <v>22259.785</v>
          </cell>
          <cell r="F68">
            <v>22936.285</v>
          </cell>
          <cell r="G68">
            <v>264.678</v>
          </cell>
          <cell r="H68">
            <v>167.77799999999999</v>
          </cell>
          <cell r="I68">
            <v>0.1</v>
          </cell>
          <cell r="J68">
            <v>0</v>
          </cell>
          <cell r="K68">
            <v>0</v>
          </cell>
          <cell r="L68">
            <v>0</v>
          </cell>
          <cell r="M68">
            <v>30.763000000000002</v>
          </cell>
          <cell r="N68">
            <v>2894.3829999999998</v>
          </cell>
          <cell r="O68">
            <v>2975.7879999999996</v>
          </cell>
          <cell r="Q68">
            <v>0</v>
          </cell>
          <cell r="T68">
            <v>7488.353000000001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Non Sector - England</v>
          </cell>
          <cell r="C69">
            <v>0</v>
          </cell>
          <cell r="D69">
            <v>0</v>
          </cell>
          <cell r="E69">
            <v>4.0659999999999741</v>
          </cell>
          <cell r="F69">
            <v>383.06599999999997</v>
          </cell>
          <cell r="G69">
            <v>3.956</v>
          </cell>
          <cell r="H69">
            <v>3.956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44.519000000000005</v>
          </cell>
          <cell r="O69">
            <v>0.4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B70" t="str">
            <v>Non Sector - Wales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B71" t="str">
            <v>Non Sector - Scotland</v>
          </cell>
          <cell r="C71">
            <v>0</v>
          </cell>
          <cell r="D71">
            <v>0</v>
          </cell>
          <cell r="E71">
            <v>9.9000000000000057</v>
          </cell>
          <cell r="F71">
            <v>109.9</v>
          </cell>
          <cell r="G71">
            <v>0.24399999999999977</v>
          </cell>
          <cell r="H71">
            <v>100.244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B72" t="str">
            <v>Non Sector - N.Ireland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B73" t="str">
            <v>Isle of Man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B74" t="str">
            <v>Under 10m - England</v>
          </cell>
          <cell r="C74">
            <v>12.222000000000207</v>
          </cell>
          <cell r="D74">
            <v>0</v>
          </cell>
          <cell r="E74">
            <v>38.911000000000058</v>
          </cell>
          <cell r="F74">
            <v>1152.211</v>
          </cell>
          <cell r="G74">
            <v>31.728999999999999</v>
          </cell>
          <cell r="H74">
            <v>18.228999999999999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1.8910000000000764</v>
          </cell>
          <cell r="O74">
            <v>22.270000000000003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B75" t="str">
            <v>Under 10m - Wales</v>
          </cell>
          <cell r="C75">
            <v>0</v>
          </cell>
          <cell r="D75">
            <v>0</v>
          </cell>
          <cell r="E75">
            <v>4.6079999999999997</v>
          </cell>
          <cell r="F75">
            <v>4.6079999999999997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B76" t="str">
            <v>Under 10m - Scotland</v>
          </cell>
          <cell r="C76">
            <v>0</v>
          </cell>
          <cell r="D76">
            <v>0</v>
          </cell>
          <cell r="E76">
            <v>453.7</v>
          </cell>
          <cell r="F76">
            <v>453.7</v>
          </cell>
          <cell r="G76">
            <v>1099.164</v>
          </cell>
          <cell r="H76">
            <v>1129.164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5.0000000000000001E-3</v>
          </cell>
          <cell r="O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B77" t="str">
            <v>Under 10m - N.Ireland</v>
          </cell>
          <cell r="C77">
            <v>0</v>
          </cell>
          <cell r="D77">
            <v>0</v>
          </cell>
          <cell r="E77">
            <v>24.6</v>
          </cell>
          <cell r="F77">
            <v>24.6</v>
          </cell>
          <cell r="G77">
            <v>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B78" t="str">
            <v>Handliners (VIIe-h)</v>
          </cell>
          <cell r="C78">
            <v>0</v>
          </cell>
          <cell r="D78">
            <v>0</v>
          </cell>
          <cell r="E78">
            <v>1040</v>
          </cell>
          <cell r="F78">
            <v>1750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TOTAL</v>
          </cell>
          <cell r="C79">
            <v>76757.696999999971</v>
          </cell>
          <cell r="D79">
            <v>2250</v>
          </cell>
          <cell r="E79">
            <v>204899.01699999999</v>
          </cell>
          <cell r="F79">
            <v>204909.01700000002</v>
          </cell>
          <cell r="G79">
            <v>1953.2730000000001</v>
          </cell>
          <cell r="H79">
            <v>1776.373</v>
          </cell>
          <cell r="I79">
            <v>10191.6</v>
          </cell>
          <cell r="J79">
            <v>0</v>
          </cell>
          <cell r="K79">
            <v>0</v>
          </cell>
          <cell r="L79">
            <v>0</v>
          </cell>
          <cell r="M79">
            <v>465.98799999999994</v>
          </cell>
          <cell r="N79">
            <v>3346.1979999999999</v>
          </cell>
          <cell r="O79">
            <v>4904.0379999999996</v>
          </cell>
          <cell r="Q79">
            <v>0</v>
          </cell>
          <cell r="R79">
            <v>0</v>
          </cell>
          <cell r="S79">
            <v>0</v>
          </cell>
          <cell r="T79">
            <v>52235.37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4">
          <cell r="C84">
            <v>21</v>
          </cell>
          <cell r="D84">
            <v>23</v>
          </cell>
          <cell r="E84">
            <v>20</v>
          </cell>
          <cell r="F84">
            <v>88</v>
          </cell>
          <cell r="G84">
            <v>19</v>
          </cell>
          <cell r="H84">
            <v>90</v>
          </cell>
          <cell r="I84">
            <v>91</v>
          </cell>
          <cell r="J84">
            <v>911</v>
          </cell>
          <cell r="K84">
            <v>912</v>
          </cell>
          <cell r="L84">
            <v>913</v>
          </cell>
          <cell r="M84">
            <v>24</v>
          </cell>
          <cell r="N84">
            <v>71</v>
          </cell>
          <cell r="O84">
            <v>72</v>
          </cell>
          <cell r="P84">
            <v>69</v>
          </cell>
          <cell r="Q84">
            <v>103</v>
          </cell>
          <cell r="R84">
            <v>57</v>
          </cell>
          <cell r="S84">
            <v>73</v>
          </cell>
          <cell r="T84">
            <v>70</v>
          </cell>
          <cell r="U84">
            <v>990</v>
          </cell>
          <cell r="V84">
            <v>104</v>
          </cell>
          <cell r="W84">
            <v>53</v>
          </cell>
          <cell r="Y84">
            <v>24</v>
          </cell>
          <cell r="Z84">
            <v>25</v>
          </cell>
          <cell r="AA84">
            <v>26</v>
          </cell>
          <cell r="AB84">
            <v>27</v>
          </cell>
          <cell r="AC84">
            <v>28</v>
          </cell>
          <cell r="AD84">
            <v>29</v>
          </cell>
          <cell r="AE84">
            <v>30</v>
          </cell>
          <cell r="AF84">
            <v>31</v>
          </cell>
        </row>
        <row r="85">
          <cell r="C85" t="str">
            <v>North Sea Herring</v>
          </cell>
          <cell r="D85" t="str">
            <v>West Coast Herring</v>
          </cell>
          <cell r="E85" t="str">
            <v>West Coast Mackerel</v>
          </cell>
          <cell r="F85" t="str">
            <v>Shet. Box Mackerel</v>
          </cell>
          <cell r="G85" t="str">
            <v>North Sea Mackerel</v>
          </cell>
          <cell r="H85" t="str">
            <v>N.Sea Mackerel IIIa IVbc</v>
          </cell>
          <cell r="I85" t="str">
            <v>Atlanto Scandian Herring</v>
          </cell>
          <cell r="J85" t="str">
            <v>AS Norway</v>
          </cell>
          <cell r="K85" t="str">
            <v>AS Nor EEZ</v>
          </cell>
          <cell r="L85" t="str">
            <v>AS Faroe</v>
          </cell>
          <cell r="M85" t="str">
            <v>Clyde Firth Herring</v>
          </cell>
          <cell r="N85" t="str">
            <v>North Sea Horse Mackerel</v>
          </cell>
          <cell r="O85" t="str">
            <v>West Coast Horse Mackerel</v>
          </cell>
          <cell r="P85" t="str">
            <v>North Sea Blue Whiting</v>
          </cell>
          <cell r="Q85" t="str">
            <v>North Sea Sand Eels</v>
          </cell>
          <cell r="R85" t="str">
            <v>Norwegian Sand Eels</v>
          </cell>
          <cell r="S85" t="str">
            <v>Norway Pout</v>
          </cell>
          <cell r="T85" t="str">
            <v>Blue Whiting I-VIII, XII, XIV</v>
          </cell>
          <cell r="U85" t="str">
            <v>Shetland Sandeels</v>
          </cell>
          <cell r="V85" t="str">
            <v>Blue Whiting VIII</v>
          </cell>
          <cell r="W85" t="str">
            <v>Far Blue Whiting</v>
          </cell>
          <cell r="Y85" t="str">
            <v>NS Sandeels (Area1)</v>
          </cell>
          <cell r="Z85" t="str">
            <v>NS Sandeels (Area2)</v>
          </cell>
          <cell r="AA85" t="str">
            <v>NS Sandeels (Area3)</v>
          </cell>
          <cell r="AB85" t="str">
            <v>NS Sandeels (Area4)</v>
          </cell>
          <cell r="AC85" t="str">
            <v>NS Sandeels (Area5)</v>
          </cell>
          <cell r="AD85" t="str">
            <v>NS Sandeels (Area6)</v>
          </cell>
          <cell r="AE85" t="str">
            <v>NS Sandeels (Area7)</v>
          </cell>
          <cell r="AF85" t="str">
            <v xml:space="preserve">WS Mac Of Which IIa Nor </v>
          </cell>
        </row>
        <row r="86">
          <cell r="B86" t="str">
            <v>SFO</v>
          </cell>
          <cell r="C86">
            <v>21097.4</v>
          </cell>
          <cell r="D86">
            <v>0</v>
          </cell>
          <cell r="E86">
            <v>48341.599999999999</v>
          </cell>
          <cell r="F86">
            <v>46116.5</v>
          </cell>
          <cell r="G86">
            <v>49.319999999999993</v>
          </cell>
          <cell r="H86">
            <v>51.72</v>
          </cell>
          <cell r="I86">
            <v>2597.6</v>
          </cell>
          <cell r="J86">
            <v>0</v>
          </cell>
          <cell r="K86">
            <v>0</v>
          </cell>
          <cell r="L86">
            <v>0</v>
          </cell>
          <cell r="M86">
            <v>111</v>
          </cell>
          <cell r="N86">
            <v>1.5</v>
          </cell>
          <cell r="O86">
            <v>35.698000000000036</v>
          </cell>
          <cell r="Q86">
            <v>0</v>
          </cell>
          <cell r="R86">
            <v>0</v>
          </cell>
          <cell r="S86">
            <v>0</v>
          </cell>
          <cell r="T86">
            <v>5290.0060000000003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B87" t="str">
            <v>Aberdeen</v>
          </cell>
          <cell r="C87">
            <v>-1</v>
          </cell>
          <cell r="D87">
            <v>0</v>
          </cell>
          <cell r="E87">
            <v>27</v>
          </cell>
          <cell r="F87">
            <v>107</v>
          </cell>
          <cell r="G87">
            <v>21.338000000000001</v>
          </cell>
          <cell r="H87">
            <v>12.337999999999999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3.6</v>
          </cell>
          <cell r="N87">
            <v>0</v>
          </cell>
          <cell r="O87">
            <v>-0.3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B88" t="str">
            <v>NESFO</v>
          </cell>
          <cell r="C88">
            <v>0.247</v>
          </cell>
          <cell r="D88">
            <v>0</v>
          </cell>
          <cell r="E88">
            <v>2.7</v>
          </cell>
          <cell r="F88">
            <v>0.5</v>
          </cell>
          <cell r="G88">
            <v>3.3769999999999998</v>
          </cell>
          <cell r="H88">
            <v>4.1769999999999996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0.3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3.5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B89" t="str">
            <v>Shetland</v>
          </cell>
          <cell r="C89">
            <v>14035</v>
          </cell>
          <cell r="D89">
            <v>0</v>
          </cell>
          <cell r="E89">
            <v>41509</v>
          </cell>
          <cell r="F89">
            <v>41135</v>
          </cell>
          <cell r="G89">
            <v>20.774999999999999</v>
          </cell>
          <cell r="H89">
            <v>24.875</v>
          </cell>
          <cell r="I89">
            <v>4168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152.5</v>
          </cell>
          <cell r="O89">
            <v>128.767</v>
          </cell>
          <cell r="Q89">
            <v>0</v>
          </cell>
          <cell r="R89">
            <v>0</v>
          </cell>
          <cell r="S89">
            <v>0</v>
          </cell>
          <cell r="T89">
            <v>8755.5999999999985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B90" t="str">
            <v>Fife</v>
          </cell>
          <cell r="C90">
            <v>0.6</v>
          </cell>
          <cell r="D90">
            <v>0</v>
          </cell>
          <cell r="E90">
            <v>14.6</v>
          </cell>
          <cell r="F90">
            <v>1.7</v>
          </cell>
          <cell r="G90">
            <v>5.6</v>
          </cell>
          <cell r="H90">
            <v>0.3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28.896000000000001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B91" t="str">
            <v>West Scotland</v>
          </cell>
          <cell r="C91">
            <v>0.19999999999999996</v>
          </cell>
          <cell r="D91">
            <v>0</v>
          </cell>
          <cell r="E91">
            <v>2.5999999999999996</v>
          </cell>
          <cell r="F91">
            <v>16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20.6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B92" t="str">
            <v>Orkney</v>
          </cell>
          <cell r="C92">
            <v>0.1</v>
          </cell>
          <cell r="D92">
            <v>0</v>
          </cell>
          <cell r="E92">
            <v>0.4</v>
          </cell>
          <cell r="F92">
            <v>0.4</v>
          </cell>
          <cell r="G92">
            <v>5.0999999999999996</v>
          </cell>
          <cell r="H92">
            <v>1.9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0.1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B93" t="str">
            <v>Northern</v>
          </cell>
          <cell r="C93">
            <v>0.1</v>
          </cell>
          <cell r="D93">
            <v>0</v>
          </cell>
          <cell r="E93">
            <v>6.5</v>
          </cell>
          <cell r="F93">
            <v>6.5</v>
          </cell>
          <cell r="G93">
            <v>0.2</v>
          </cell>
          <cell r="H93">
            <v>0.1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3.2</v>
          </cell>
          <cell r="N93">
            <v>0.1</v>
          </cell>
          <cell r="O93">
            <v>0.8</v>
          </cell>
          <cell r="Q93">
            <v>0</v>
          </cell>
          <cell r="R93">
            <v>0</v>
          </cell>
          <cell r="S93">
            <v>0</v>
          </cell>
          <cell r="T93">
            <v>2.6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B94" t="str">
            <v>Klondyke</v>
          </cell>
          <cell r="C94">
            <v>7797.6</v>
          </cell>
          <cell r="D94">
            <v>0</v>
          </cell>
          <cell r="E94">
            <v>26665.7</v>
          </cell>
          <cell r="F94">
            <v>26604.9</v>
          </cell>
          <cell r="G94">
            <v>18.600000000000001</v>
          </cell>
          <cell r="H94">
            <v>46.1</v>
          </cell>
          <cell r="I94">
            <v>3424.2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0.29999999999999716</v>
          </cell>
          <cell r="O94">
            <v>417.09900000000005</v>
          </cell>
          <cell r="Q94">
            <v>0</v>
          </cell>
          <cell r="R94">
            <v>0</v>
          </cell>
          <cell r="S94">
            <v>0</v>
          </cell>
          <cell r="T94">
            <v>8063.6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B95" t="str">
            <v>Lunar</v>
          </cell>
          <cell r="C95">
            <v>7754.3</v>
          </cell>
          <cell r="D95">
            <v>0</v>
          </cell>
          <cell r="E95">
            <v>23614.399999999998</v>
          </cell>
          <cell r="F95">
            <v>23871.899999999998</v>
          </cell>
          <cell r="G95">
            <v>73.245999999999995</v>
          </cell>
          <cell r="H95">
            <v>27.545999999999999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-1.2000000000000455E-2</v>
          </cell>
          <cell r="Q95">
            <v>0</v>
          </cell>
          <cell r="R95">
            <v>0</v>
          </cell>
          <cell r="S95">
            <v>0</v>
          </cell>
          <cell r="T95">
            <v>18934.690999999999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 t="str">
            <v>Anglo Scot.</v>
          </cell>
          <cell r="C96">
            <v>5.2359999999999998</v>
          </cell>
          <cell r="D96">
            <v>0</v>
          </cell>
          <cell r="E96">
            <v>-2.200000000000002E-2</v>
          </cell>
          <cell r="F96">
            <v>0.878</v>
          </cell>
          <cell r="G96">
            <v>5.7159999999999993</v>
          </cell>
          <cell r="H96">
            <v>10.516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2.5579999999999998</v>
          </cell>
          <cell r="O96">
            <v>5.2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 t="str">
            <v>EEFPO</v>
          </cell>
          <cell r="C97">
            <v>3.1089999999999947</v>
          </cell>
          <cell r="D97">
            <v>0</v>
          </cell>
          <cell r="E97">
            <v>2.6559999999999491</v>
          </cell>
          <cell r="F97">
            <v>589.75599999999997</v>
          </cell>
          <cell r="G97">
            <v>0.82299999999999995</v>
          </cell>
          <cell r="H97">
            <v>3.6230000000000002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3.4260000000000002</v>
          </cell>
          <cell r="O97">
            <v>3.9999999999999991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B98" t="str">
            <v>Western PO</v>
          </cell>
          <cell r="C98">
            <v>0</v>
          </cell>
          <cell r="D98">
            <v>0</v>
          </cell>
          <cell r="E98">
            <v>4.6579999999999089</v>
          </cell>
          <cell r="F98">
            <v>4.5579999999999998</v>
          </cell>
          <cell r="G98">
            <v>1.2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9.9999999999999978E-2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B99" t="str">
            <v>FPO</v>
          </cell>
          <cell r="C99">
            <v>0.13600000000000001</v>
          </cell>
          <cell r="D99">
            <v>0</v>
          </cell>
          <cell r="E99">
            <v>17.338999999999999</v>
          </cell>
          <cell r="F99">
            <v>17.138999999999999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1.9710000000000001</v>
          </cell>
          <cell r="O99">
            <v>4.5</v>
          </cell>
          <cell r="Q99">
            <v>0</v>
          </cell>
          <cell r="R99">
            <v>0</v>
          </cell>
          <cell r="S99">
            <v>0</v>
          </cell>
          <cell r="T99">
            <v>1.24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B100" t="str">
            <v>NIFPO</v>
          </cell>
          <cell r="C100">
            <v>29.021000000000015</v>
          </cell>
          <cell r="D100">
            <v>0</v>
          </cell>
          <cell r="E100">
            <v>1879.569</v>
          </cell>
          <cell r="F100">
            <v>1116.4690000000001</v>
          </cell>
          <cell r="G100">
            <v>11.675999999999995</v>
          </cell>
          <cell r="H100">
            <v>47.875999999999998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90.995999999999995</v>
          </cell>
          <cell r="N100">
            <v>6.7999999999999616E-2</v>
          </cell>
          <cell r="O100">
            <v>3.6040000000000134</v>
          </cell>
          <cell r="Q100">
            <v>0</v>
          </cell>
          <cell r="R100">
            <v>0</v>
          </cell>
          <cell r="S100">
            <v>0</v>
          </cell>
          <cell r="T100">
            <v>0.23699999999999999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B101" t="str">
            <v>ANIFPO</v>
          </cell>
          <cell r="C101">
            <v>6844.5789999999997</v>
          </cell>
          <cell r="D101">
            <v>0</v>
          </cell>
          <cell r="E101">
            <v>14321.931</v>
          </cell>
          <cell r="F101">
            <v>14637.931</v>
          </cell>
          <cell r="G101">
            <v>9.9000000000000199E-2</v>
          </cell>
          <cell r="H101">
            <v>25.798999999999999</v>
          </cell>
          <cell r="I101">
            <v>0.5</v>
          </cell>
          <cell r="J101">
            <v>0</v>
          </cell>
          <cell r="K101">
            <v>0</v>
          </cell>
          <cell r="L101">
            <v>0</v>
          </cell>
          <cell r="M101">
            <v>174.50399999999999</v>
          </cell>
          <cell r="N101">
            <v>0.132000000000005</v>
          </cell>
          <cell r="O101">
            <v>1247.067</v>
          </cell>
          <cell r="Q101">
            <v>0</v>
          </cell>
          <cell r="R101">
            <v>0</v>
          </cell>
          <cell r="S101">
            <v>0</v>
          </cell>
          <cell r="T101">
            <v>0.86299999999982901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B102" t="str">
            <v>Cornish</v>
          </cell>
          <cell r="C102">
            <v>0</v>
          </cell>
          <cell r="D102">
            <v>0</v>
          </cell>
          <cell r="E102">
            <v>187.03800000000001</v>
          </cell>
          <cell r="F102">
            <v>17.038</v>
          </cell>
          <cell r="G102">
            <v>13.266</v>
          </cell>
          <cell r="H102">
            <v>0.26600000000000001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1.958</v>
          </cell>
          <cell r="O102">
            <v>7.1970000000000001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B103" t="str">
            <v>South West</v>
          </cell>
          <cell r="C103">
            <v>0</v>
          </cell>
          <cell r="D103">
            <v>0</v>
          </cell>
          <cell r="E103">
            <v>2.7850000000000001</v>
          </cell>
          <cell r="F103">
            <v>10.185</v>
          </cell>
          <cell r="G103">
            <v>0.41799999999999998</v>
          </cell>
          <cell r="H103">
            <v>0.41799999999999998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1.974</v>
          </cell>
          <cell r="O103">
            <v>4.5019999999999998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 t="str">
            <v>North Sea</v>
          </cell>
          <cell r="C104">
            <v>30.591999999999999</v>
          </cell>
          <cell r="D104">
            <v>0</v>
          </cell>
          <cell r="E104">
            <v>40.299999999999997</v>
          </cell>
          <cell r="F104">
            <v>0.3</v>
          </cell>
          <cell r="G104">
            <v>35.446000000000005</v>
          </cell>
          <cell r="H104">
            <v>0.746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19.936999999999998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5">
          <cell r="B105" t="str">
            <v>Lowestoft</v>
          </cell>
          <cell r="C105">
            <v>0</v>
          </cell>
          <cell r="D105">
            <v>0</v>
          </cell>
          <cell r="E105">
            <v>314.00000000000006</v>
          </cell>
          <cell r="F105">
            <v>0.2</v>
          </cell>
          <cell r="G105">
            <v>192.60999999999999</v>
          </cell>
          <cell r="H105">
            <v>2.91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148.66299999999998</v>
          </cell>
          <cell r="O105">
            <v>3.5419999999999998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B106" t="str">
            <v>Wales WC</v>
          </cell>
          <cell r="C106">
            <v>0</v>
          </cell>
          <cell r="D106">
            <v>0</v>
          </cell>
          <cell r="E106">
            <v>0.98899999999999999</v>
          </cell>
          <cell r="F106">
            <v>0.98899999999999999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1.379</v>
          </cell>
          <cell r="O106">
            <v>3.3</v>
          </cell>
          <cell r="Q106">
            <v>0</v>
          </cell>
          <cell r="R106">
            <v>0</v>
          </cell>
          <cell r="S106">
            <v>0</v>
          </cell>
          <cell r="T106">
            <v>2.48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B107" t="str">
            <v>Interfish</v>
          </cell>
          <cell r="C107">
            <v>8359.2710000000006</v>
          </cell>
          <cell r="D107">
            <v>0</v>
          </cell>
          <cell r="E107">
            <v>24057.704000000002</v>
          </cell>
          <cell r="F107">
            <v>23838.804</v>
          </cell>
          <cell r="G107">
            <v>22.692000000000007</v>
          </cell>
          <cell r="H107">
            <v>95.792000000000002</v>
          </cell>
          <cell r="I107">
            <v>1.2000000000000455</v>
          </cell>
          <cell r="J107">
            <v>0</v>
          </cell>
          <cell r="K107">
            <v>0</v>
          </cell>
          <cell r="L107">
            <v>0</v>
          </cell>
          <cell r="M107">
            <v>30.844000000000001</v>
          </cell>
          <cell r="N107">
            <v>40.038000000000011</v>
          </cell>
          <cell r="O107">
            <v>40.015999999999963</v>
          </cell>
          <cell r="Q107">
            <v>0</v>
          </cell>
          <cell r="R107">
            <v>0</v>
          </cell>
          <cell r="S107">
            <v>0</v>
          </cell>
          <cell r="T107">
            <v>3692.2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B108" t="str">
            <v>North Atlantic FPO</v>
          </cell>
          <cell r="C108">
            <v>10788.984</v>
          </cell>
          <cell r="D108">
            <v>0</v>
          </cell>
          <cell r="E108">
            <v>22359.785</v>
          </cell>
          <cell r="F108">
            <v>22936.285</v>
          </cell>
          <cell r="G108">
            <v>264.678</v>
          </cell>
          <cell r="H108">
            <v>167.77799999999999</v>
          </cell>
          <cell r="I108">
            <v>0.1</v>
          </cell>
          <cell r="J108">
            <v>0</v>
          </cell>
          <cell r="K108">
            <v>0</v>
          </cell>
          <cell r="L108">
            <v>0</v>
          </cell>
          <cell r="M108">
            <v>30.763000000000002</v>
          </cell>
          <cell r="N108">
            <v>2894.3829999999998</v>
          </cell>
          <cell r="O108">
            <v>2975.7879999999996</v>
          </cell>
          <cell r="Q108">
            <v>0</v>
          </cell>
          <cell r="T108">
            <v>7488.353000000001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B109" t="str">
            <v>Non Sector - England</v>
          </cell>
          <cell r="C109">
            <v>0</v>
          </cell>
          <cell r="D109">
            <v>0</v>
          </cell>
          <cell r="E109">
            <v>4.0659999999999741</v>
          </cell>
          <cell r="F109">
            <v>383.06599999999997</v>
          </cell>
          <cell r="G109">
            <v>3.956</v>
          </cell>
          <cell r="H109">
            <v>3.956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44.519000000000005</v>
          </cell>
          <cell r="O109">
            <v>0.4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B110" t="str">
            <v>Non Sector - Wales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B111" t="str">
            <v>Non Sector - Scotland</v>
          </cell>
          <cell r="C111">
            <v>0</v>
          </cell>
          <cell r="D111">
            <v>0</v>
          </cell>
          <cell r="E111">
            <v>9.9000000000000057</v>
          </cell>
          <cell r="F111">
            <v>109.9</v>
          </cell>
          <cell r="G111">
            <v>0.24399999999999977</v>
          </cell>
          <cell r="H111">
            <v>100.244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B112" t="str">
            <v>Non Sector - N.Ireland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B113" t="str">
            <v>Isle of Man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B114" t="str">
            <v>Under 10m - England</v>
          </cell>
          <cell r="C114">
            <v>12.222000000000207</v>
          </cell>
          <cell r="D114">
            <v>0</v>
          </cell>
          <cell r="E114">
            <v>88.911000000000058</v>
          </cell>
          <cell r="F114">
            <v>1152.211</v>
          </cell>
          <cell r="G114">
            <v>71.728999999999999</v>
          </cell>
          <cell r="H114">
            <v>18.228999999999999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1.8910000000000764</v>
          </cell>
          <cell r="O114">
            <v>22.270000000000003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B115" t="str">
            <v>Under 10m - Wales</v>
          </cell>
          <cell r="C115">
            <v>0</v>
          </cell>
          <cell r="D115">
            <v>0</v>
          </cell>
          <cell r="E115">
            <v>4.6079999999999997</v>
          </cell>
          <cell r="F115">
            <v>4.6079999999999997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B116" t="str">
            <v>Under 10m - Scotland</v>
          </cell>
          <cell r="C116">
            <v>0</v>
          </cell>
          <cell r="D116">
            <v>0</v>
          </cell>
          <cell r="E116">
            <v>453.7</v>
          </cell>
          <cell r="F116">
            <v>453.7</v>
          </cell>
          <cell r="G116">
            <v>1099.164</v>
          </cell>
          <cell r="H116">
            <v>1129.164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5.0000000000000001E-3</v>
          </cell>
          <cell r="O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B117" t="str">
            <v>Under 10m - N.Ireland</v>
          </cell>
          <cell r="C117">
            <v>0</v>
          </cell>
          <cell r="D117">
            <v>0</v>
          </cell>
          <cell r="E117">
            <v>24.6</v>
          </cell>
          <cell r="F117">
            <v>24.6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B118" t="str">
            <v>Handliners (VIIe-h)</v>
          </cell>
          <cell r="C118">
            <v>0</v>
          </cell>
          <cell r="D118">
            <v>0</v>
          </cell>
          <cell r="E118">
            <v>1040</v>
          </cell>
          <cell r="F118">
            <v>1750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B119" t="str">
            <v>TOTAL</v>
          </cell>
          <cell r="C119">
            <v>76757.696999999971</v>
          </cell>
          <cell r="D119">
            <v>2250</v>
          </cell>
          <cell r="E119">
            <v>204999.01699999999</v>
          </cell>
          <cell r="F119">
            <v>204909.01700000002</v>
          </cell>
          <cell r="G119">
            <v>1938.2730000000001</v>
          </cell>
          <cell r="H119">
            <v>1776.373</v>
          </cell>
          <cell r="I119">
            <v>10191.6</v>
          </cell>
          <cell r="J119">
            <v>0</v>
          </cell>
          <cell r="K119">
            <v>0</v>
          </cell>
          <cell r="L119">
            <v>0</v>
          </cell>
          <cell r="M119">
            <v>465.98799999999994</v>
          </cell>
          <cell r="N119">
            <v>3346.1979999999999</v>
          </cell>
          <cell r="O119">
            <v>4904.0379999999996</v>
          </cell>
          <cell r="Q119">
            <v>0</v>
          </cell>
          <cell r="R119">
            <v>0</v>
          </cell>
          <cell r="S119">
            <v>0</v>
          </cell>
          <cell r="T119">
            <v>52235.37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</sheetData>
      <sheetData sheetId="5"/>
      <sheetData sheetId="6">
        <row r="3">
          <cell r="A3">
            <v>44915</v>
          </cell>
        </row>
        <row r="56">
          <cell r="B56" t="str">
            <v>North Sea Herring</v>
          </cell>
          <cell r="C56" t="str">
            <v>West Coast Herring</v>
          </cell>
          <cell r="D56" t="str">
            <v>West Coast Mackerel</v>
          </cell>
          <cell r="E56" t="str">
            <v>West Coast Mackerel HL</v>
          </cell>
          <cell r="F56" t="str">
            <v>Shet. Box Mackerel</v>
          </cell>
          <cell r="G56" t="str">
            <v>North Sea Mackerel</v>
          </cell>
          <cell r="H56" t="str">
            <v>N.Sea Mackerel IIIa IVbc</v>
          </cell>
          <cell r="I56" t="str">
            <v>Atlanto Scandian Herring</v>
          </cell>
          <cell r="J56" t="str">
            <v xml:space="preserve">Norway  </v>
          </cell>
          <cell r="K56" t="str">
            <v>Nor EEZ</v>
          </cell>
          <cell r="L56" t="str">
            <v>Faroes</v>
          </cell>
          <cell r="M56" t="str">
            <v>Clyde Firth Herring</v>
          </cell>
          <cell r="N56" t="str">
            <v>North Sea Horse Mackerel</v>
          </cell>
          <cell r="O56" t="str">
            <v>West Coast Horse Mackerel</v>
          </cell>
          <cell r="P56" t="str">
            <v>North Sea Blue Whiting</v>
          </cell>
          <cell r="Q56" t="str">
            <v>North Sea Sand Eels</v>
          </cell>
          <cell r="R56" t="str">
            <v>Norwegian Sand Eels</v>
          </cell>
          <cell r="S56" t="str">
            <v>Norway Pout</v>
          </cell>
          <cell r="T56" t="str">
            <v>Blue Whiting I-VIII, XII, XIV</v>
          </cell>
          <cell r="U56" t="str">
            <v>Shetland Sandeels</v>
          </cell>
          <cell r="V56" t="str">
            <v>Blue Whiting VIII</v>
          </cell>
          <cell r="W56" t="str">
            <v>Greenland Capelin</v>
          </cell>
          <cell r="X56" t="str">
            <v>Bl Whi Vb Faroes</v>
          </cell>
          <cell r="Y56" t="str">
            <v>NS Sandeels (Area1)</v>
          </cell>
          <cell r="Z56" t="str">
            <v>NS Sandeels (Area2)</v>
          </cell>
          <cell r="AA56" t="str">
            <v>NS Sandeels (Area3)</v>
          </cell>
          <cell r="AB56" t="str">
            <v>NS Sandeels (Area4)</v>
          </cell>
          <cell r="AC56" t="str">
            <v>NS Sandeels (Area5)</v>
          </cell>
          <cell r="AD56" t="str">
            <v>NS Sandeels (Area6)</v>
          </cell>
          <cell r="AE56" t="str">
            <v xml:space="preserve">WS Mac Of Which IIa Nor </v>
          </cell>
        </row>
        <row r="57">
          <cell r="A57" t="str">
            <v>SFO</v>
          </cell>
          <cell r="B57">
            <v>21591.94</v>
          </cell>
          <cell r="C57">
            <v>1.78</v>
          </cell>
          <cell r="D57">
            <v>866.79</v>
          </cell>
          <cell r="E57">
            <v>0</v>
          </cell>
          <cell r="F57">
            <v>44068.49</v>
          </cell>
          <cell r="G57">
            <v>0</v>
          </cell>
          <cell r="H57">
            <v>1.9</v>
          </cell>
          <cell r="I57">
            <v>2586.1699999999996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33.06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5289.58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Aberdeen</v>
          </cell>
          <cell r="B58">
            <v>0</v>
          </cell>
          <cell r="C58">
            <v>0</v>
          </cell>
          <cell r="D58">
            <v>0.61</v>
          </cell>
          <cell r="E58">
            <v>0</v>
          </cell>
          <cell r="F58">
            <v>23.79</v>
          </cell>
          <cell r="G58">
            <v>0.02</v>
          </cell>
          <cell r="H58">
            <v>3.21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0.02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NESFO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2.1</v>
          </cell>
          <cell r="G59">
            <v>0</v>
          </cell>
          <cell r="H59">
            <v>1.1599999999999999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 t="str">
            <v>Shetland</v>
          </cell>
          <cell r="B60">
            <v>14893.9</v>
          </cell>
          <cell r="C60">
            <v>5.35</v>
          </cell>
          <cell r="D60">
            <v>1115.1300000000001</v>
          </cell>
          <cell r="E60">
            <v>0</v>
          </cell>
          <cell r="F60">
            <v>35101.460000000006</v>
          </cell>
          <cell r="G60">
            <v>0.09</v>
          </cell>
          <cell r="H60">
            <v>0</v>
          </cell>
          <cell r="I60">
            <v>4167.63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68.569999999999993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8768.7099999999991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Fife</v>
          </cell>
          <cell r="B61">
            <v>0</v>
          </cell>
          <cell r="C61">
            <v>0</v>
          </cell>
          <cell r="D61">
            <v>100.74800014114379</v>
          </cell>
          <cell r="E61">
            <v>0</v>
          </cell>
          <cell r="F61">
            <v>0</v>
          </cell>
          <cell r="G61">
            <v>0</v>
          </cell>
          <cell r="H61">
            <v>40.289999935150156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29.645999996185306</v>
          </cell>
          <cell r="O61">
            <v>0.04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 t="str">
            <v>West Scotland</v>
          </cell>
          <cell r="B62">
            <v>0.12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0.08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63" t="str">
            <v>Orkney</v>
          </cell>
          <cell r="B63">
            <v>0.11</v>
          </cell>
          <cell r="C63">
            <v>0</v>
          </cell>
          <cell r="D63">
            <v>0.09</v>
          </cell>
          <cell r="E63">
            <v>0</v>
          </cell>
          <cell r="F63">
            <v>0.13</v>
          </cell>
          <cell r="G63">
            <v>0</v>
          </cell>
          <cell r="H63">
            <v>0.08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64" t="str">
            <v>Northern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65" t="str">
            <v>Klondyke</v>
          </cell>
          <cell r="B65">
            <v>8457.51</v>
          </cell>
          <cell r="C65">
            <v>0</v>
          </cell>
          <cell r="D65">
            <v>4818.91</v>
          </cell>
          <cell r="E65">
            <v>0</v>
          </cell>
          <cell r="F65">
            <v>18627.87</v>
          </cell>
          <cell r="G65">
            <v>0</v>
          </cell>
          <cell r="H65">
            <v>0</v>
          </cell>
          <cell r="I65">
            <v>2866.55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452.87000000000006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8340.8000000000011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Lunar</v>
          </cell>
          <cell r="B66">
            <v>8141.9800000000005</v>
          </cell>
          <cell r="C66">
            <v>0</v>
          </cell>
          <cell r="D66">
            <v>4003.58</v>
          </cell>
          <cell r="E66">
            <v>0</v>
          </cell>
          <cell r="F66">
            <v>19867.939999999995</v>
          </cell>
          <cell r="G66">
            <v>0.39</v>
          </cell>
          <cell r="H66">
            <v>31.72000000000001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1.5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19921.170000000002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Anglo Scot.</v>
          </cell>
          <cell r="B67">
            <v>4.3682500005364417</v>
          </cell>
          <cell r="C67">
            <v>0</v>
          </cell>
          <cell r="D67">
            <v>0</v>
          </cell>
          <cell r="E67">
            <v>0</v>
          </cell>
          <cell r="F67">
            <v>1.17</v>
          </cell>
          <cell r="G67">
            <v>0</v>
          </cell>
          <cell r="H67">
            <v>1.2547500002086158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0.13800110000371935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EEFPO</v>
          </cell>
          <cell r="B68">
            <v>0.24299999999999999</v>
          </cell>
          <cell r="C68">
            <v>0</v>
          </cell>
          <cell r="D68">
            <v>0</v>
          </cell>
          <cell r="E68">
            <v>0</v>
          </cell>
          <cell r="F68">
            <v>0.25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>Western PO</v>
          </cell>
          <cell r="B69">
            <v>0</v>
          </cell>
          <cell r="C69">
            <v>0</v>
          </cell>
          <cell r="D69">
            <v>0.18240000161714859</v>
          </cell>
          <cell r="E69">
            <v>0</v>
          </cell>
          <cell r="F69">
            <v>0</v>
          </cell>
          <cell r="G69">
            <v>0.31</v>
          </cell>
          <cell r="H69">
            <v>0.8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0.61229999282211089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FPO</v>
          </cell>
          <cell r="B70">
            <v>0</v>
          </cell>
          <cell r="C70">
            <v>0</v>
          </cell>
          <cell r="D70">
            <v>0.26671999966353183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9.787000004947187E-2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NIFPO</v>
          </cell>
          <cell r="B71">
            <v>10.329000000000001</v>
          </cell>
          <cell r="C71">
            <v>7.0000000000000007E-2</v>
          </cell>
          <cell r="D71">
            <v>1303.5669843873977</v>
          </cell>
          <cell r="E71">
            <v>0</v>
          </cell>
          <cell r="F71">
            <v>576.04200011742114</v>
          </cell>
          <cell r="G71">
            <v>7.8769999451637265</v>
          </cell>
          <cell r="H71">
            <v>2.5287500116825092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0.76500000000000001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 t="str">
            <v>ANIFPO</v>
          </cell>
          <cell r="B72">
            <v>5197.1490019531248</v>
          </cell>
          <cell r="C72">
            <v>0</v>
          </cell>
          <cell r="D72">
            <v>2983.7980000038892</v>
          </cell>
          <cell r="E72">
            <v>0</v>
          </cell>
          <cell r="F72">
            <v>11909.071007812501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811.18099218750001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73" t="str">
            <v>Cornish</v>
          </cell>
          <cell r="B73">
            <v>0</v>
          </cell>
          <cell r="C73">
            <v>0</v>
          </cell>
          <cell r="D73">
            <v>32.082130413124858</v>
          </cell>
          <cell r="E73">
            <v>1.03</v>
          </cell>
          <cell r="F73">
            <v>5.1699999694824168</v>
          </cell>
          <cell r="G73">
            <v>11.657999953269956</v>
          </cell>
          <cell r="H73">
            <v>1.08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6.4468315601572401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74" t="str">
            <v>South West</v>
          </cell>
          <cell r="B74">
            <v>0</v>
          </cell>
          <cell r="C74">
            <v>0</v>
          </cell>
          <cell r="D74">
            <v>0.9145999976284801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0.34110000055283329</v>
          </cell>
          <cell r="O74">
            <v>0.22429999909538303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>North Sea</v>
          </cell>
          <cell r="B75">
            <v>0</v>
          </cell>
          <cell r="C75">
            <v>0</v>
          </cell>
          <cell r="D75">
            <v>32.681999921083438</v>
          </cell>
          <cell r="E75">
            <v>0</v>
          </cell>
          <cell r="F75">
            <v>0</v>
          </cell>
          <cell r="G75">
            <v>0.34</v>
          </cell>
          <cell r="H75">
            <v>24.916999992370602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19.442000002861008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Lowestoft</v>
          </cell>
          <cell r="B76">
            <v>0</v>
          </cell>
          <cell r="C76">
            <v>0</v>
          </cell>
          <cell r="D76">
            <v>66.151999795913724</v>
          </cell>
          <cell r="E76">
            <v>0</v>
          </cell>
          <cell r="F76">
            <v>0</v>
          </cell>
          <cell r="G76">
            <v>0</v>
          </cell>
          <cell r="H76">
            <v>188.71799996184561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147.71799973963948</v>
          </cell>
          <cell r="O76">
            <v>1.419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Wales WC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 t="str">
            <v>Interfish</v>
          </cell>
          <cell r="B78">
            <v>9329.4299999999985</v>
          </cell>
          <cell r="C78">
            <v>0</v>
          </cell>
          <cell r="D78">
            <v>8.0208200007379045</v>
          </cell>
          <cell r="E78">
            <v>0</v>
          </cell>
          <cell r="F78">
            <v>27218.879999999997</v>
          </cell>
          <cell r="G78">
            <v>0</v>
          </cell>
          <cell r="H78">
            <v>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4.8337999990582459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3691.6499999999996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79" t="str">
            <v>North Atlantic FPO</v>
          </cell>
          <cell r="B79">
            <v>10427.798879521484</v>
          </cell>
          <cell r="C79">
            <v>0</v>
          </cell>
          <cell r="D79">
            <v>8547.9960821258665</v>
          </cell>
          <cell r="E79">
            <v>0</v>
          </cell>
          <cell r="F79">
            <v>13467.881182418823</v>
          </cell>
          <cell r="G79">
            <v>178.43456089782717</v>
          </cell>
          <cell r="H79">
            <v>58.866999887466434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3023.9108475418097</v>
          </cell>
          <cell r="O79">
            <v>1642.888757686854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7477.7809921875014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80" t="str">
            <v>Non Sector - England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81" t="str">
            <v>Non Sector - Wales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Non Sector - Scotland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Non Sector - N.Ireland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Isle of Man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Under 10m - England</v>
          </cell>
          <cell r="B85">
            <v>0.33650000000000008</v>
          </cell>
          <cell r="C85">
            <v>0</v>
          </cell>
          <cell r="D85">
            <v>86.207523010040276</v>
          </cell>
          <cell r="E85">
            <v>320.24990804250371</v>
          </cell>
          <cell r="F85">
            <v>0</v>
          </cell>
          <cell r="G85">
            <v>0</v>
          </cell>
          <cell r="H85">
            <v>2.7307199973650205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1.6934499980211244</v>
          </cell>
          <cell r="O85">
            <v>2.7037700057700245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Under 10m - Wales</v>
          </cell>
          <cell r="B86">
            <v>0</v>
          </cell>
          <cell r="C86">
            <v>0</v>
          </cell>
          <cell r="D86">
            <v>0.18040000046044596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Under 10m - Scotland</v>
          </cell>
          <cell r="B87">
            <v>0</v>
          </cell>
          <cell r="C87">
            <v>0</v>
          </cell>
          <cell r="D87">
            <v>2.4900000000000002</v>
          </cell>
          <cell r="E87">
            <v>0</v>
          </cell>
          <cell r="F87">
            <v>0</v>
          </cell>
          <cell r="G87">
            <v>915.40999999999872</v>
          </cell>
          <cell r="H87">
            <v>55.45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 t="str">
            <v>Under 10m - N.Ireland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Check that Y91 matches total in pivot table</v>
          </cell>
        </row>
        <row r="89">
          <cell r="A89" t="str">
            <v>Handliners(VIIe-h)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1">
          <cell r="A91" t="str">
            <v>Total</v>
          </cell>
          <cell r="B91">
            <v>78055.214631475159</v>
          </cell>
          <cell r="C91">
            <v>7.2</v>
          </cell>
          <cell r="D91">
            <v>23970.397659798567</v>
          </cell>
          <cell r="E91">
            <v>321.27990804250368</v>
          </cell>
          <cell r="F91">
            <v>170870.24419031822</v>
          </cell>
          <cell r="G91">
            <v>1114.5295607962596</v>
          </cell>
          <cell r="H91">
            <v>418.78621978608896</v>
          </cell>
          <cell r="I91">
            <v>9620.3499999999985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3224.4872683791227</v>
          </cell>
          <cell r="O91">
            <v>3025.614751431257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53489.710992187502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344117.81518221472</v>
          </cell>
        </row>
      </sheetData>
      <sheetData sheetId="7">
        <row r="2">
          <cell r="B2">
            <v>44915</v>
          </cell>
        </row>
      </sheetData>
      <sheetData sheetId="8">
        <row r="18">
          <cell r="P18">
            <v>0</v>
          </cell>
          <cell r="S18" t="e">
            <v>#DIV/0!</v>
          </cell>
        </row>
        <row r="24">
          <cell r="P24">
            <v>0</v>
          </cell>
          <cell r="S24" t="e">
            <v>#DIV/0!</v>
          </cell>
        </row>
      </sheetData>
      <sheetData sheetId="9"/>
      <sheetData sheetId="10"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C22">
            <v>1832.922</v>
          </cell>
          <cell r="D22">
            <v>0</v>
          </cell>
          <cell r="F22">
            <v>12.222000000000207</v>
          </cell>
          <cell r="G22">
            <v>0.33650000000000008</v>
          </cell>
          <cell r="J22">
            <v>6.2500000000000333E-3</v>
          </cell>
          <cell r="K22">
            <v>0</v>
          </cell>
          <cell r="L22">
            <v>0</v>
          </cell>
          <cell r="M22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59">
          <cell r="C59">
            <v>492.96600000000001</v>
          </cell>
          <cell r="D59">
            <v>0</v>
          </cell>
          <cell r="F59">
            <v>13.96599999999998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6">
          <cell r="C66">
            <v>1605.1189999999999</v>
          </cell>
          <cell r="D66">
            <v>-50</v>
          </cell>
          <cell r="F66">
            <v>521.81900000000007</v>
          </cell>
          <cell r="G66">
            <v>238.87792301050075</v>
          </cell>
          <cell r="J66">
            <v>0.20295999848841006</v>
          </cell>
          <cell r="K66">
            <v>0.36473999886220554</v>
          </cell>
          <cell r="L66">
            <v>2.9170700061395962</v>
          </cell>
          <cell r="M66">
            <v>2.1994402906251072</v>
          </cell>
        </row>
        <row r="84">
          <cell r="C84">
            <v>492.96600000000001</v>
          </cell>
          <cell r="D84">
            <v>0</v>
          </cell>
          <cell r="F84">
            <v>492.96600000000001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91">
          <cell r="C91">
            <v>1605.1189999999999</v>
          </cell>
          <cell r="D91">
            <v>0</v>
          </cell>
          <cell r="F91">
            <v>1635.1189999999999</v>
          </cell>
          <cell r="G91">
            <v>150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106">
          <cell r="C106">
            <v>104.2</v>
          </cell>
          <cell r="D106">
            <v>0</v>
          </cell>
          <cell r="F106">
            <v>4.1999999999999993</v>
          </cell>
          <cell r="G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13">
          <cell r="C113">
            <v>1147.393</v>
          </cell>
          <cell r="D113">
            <v>-40</v>
          </cell>
          <cell r="F113">
            <v>1132.893</v>
          </cell>
          <cell r="G113">
            <v>973.59071999736375</v>
          </cell>
          <cell r="J113">
            <v>7.8738399999737716</v>
          </cell>
          <cell r="K113">
            <v>3.8718023690879297</v>
          </cell>
          <cell r="L113">
            <v>3.2899999999999494</v>
          </cell>
          <cell r="M113">
            <v>2.3613500000126892</v>
          </cell>
        </row>
        <row r="128">
          <cell r="C128">
            <v>104.2</v>
          </cell>
          <cell r="D128">
            <v>0</v>
          </cell>
          <cell r="F128">
            <v>104.2</v>
          </cell>
          <cell r="G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5">
          <cell r="C135">
            <v>1147.393</v>
          </cell>
          <cell r="D135">
            <v>0</v>
          </cell>
          <cell r="F135">
            <v>1147.393</v>
          </cell>
          <cell r="G135">
            <v>58.180719997365024</v>
          </cell>
          <cell r="J135">
            <v>1.7438399999737757</v>
          </cell>
          <cell r="K135">
            <v>0.24180236908793429</v>
          </cell>
          <cell r="L135">
            <v>0.60999999999999943</v>
          </cell>
          <cell r="M135">
            <v>1.1350000012666506E-2</v>
          </cell>
        </row>
        <row r="153">
          <cell r="C153">
            <v>266.31900000000002</v>
          </cell>
          <cell r="D153">
            <v>0</v>
          </cell>
          <cell r="F153">
            <v>44.519000000000005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60">
          <cell r="C160">
            <v>766.69600000000003</v>
          </cell>
          <cell r="D160">
            <v>0</v>
          </cell>
          <cell r="F160">
            <v>1.8960000000000763</v>
          </cell>
          <cell r="G160">
            <v>1.6934499980211244</v>
          </cell>
          <cell r="J160">
            <v>0</v>
          </cell>
          <cell r="K160">
            <v>1.3000000119207655E-3</v>
          </cell>
          <cell r="L160">
            <v>3.0000001192087566E-4</v>
          </cell>
          <cell r="M160">
            <v>1.3000000193716943E-3</v>
          </cell>
        </row>
        <row r="175">
          <cell r="C175">
            <v>0.4</v>
          </cell>
          <cell r="D175">
            <v>0</v>
          </cell>
          <cell r="F175">
            <v>0.4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82">
          <cell r="C182">
            <v>7.0000000000000007E-2</v>
          </cell>
          <cell r="D182">
            <v>0</v>
          </cell>
          <cell r="F182">
            <v>22.270000000000003</v>
          </cell>
          <cell r="G182">
            <v>2.7037700057700245</v>
          </cell>
          <cell r="J182">
            <v>1.4199999988079082E-2</v>
          </cell>
          <cell r="K182">
            <v>1.9869999647140091E-2</v>
          </cell>
          <cell r="L182">
            <v>4.8200000166892298E-2</v>
          </cell>
          <cell r="M182">
            <v>6.4600000016391323E-2</v>
          </cell>
        </row>
        <row r="197">
          <cell r="C197">
            <v>0</v>
          </cell>
          <cell r="D197">
            <v>0</v>
          </cell>
          <cell r="F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204">
          <cell r="C204">
            <v>0</v>
          </cell>
          <cell r="D204">
            <v>0</v>
          </cell>
          <cell r="F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22">
          <cell r="C222">
            <v>0</v>
          </cell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9"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</sheetData>
      <sheetData sheetId="11"/>
      <sheetData sheetId="12"/>
      <sheetData sheetId="13">
        <row r="4">
          <cell r="B4">
            <v>31.96</v>
          </cell>
        </row>
        <row r="5">
          <cell r="B5">
            <v>14.081</v>
          </cell>
        </row>
        <row r="6">
          <cell r="B6">
            <v>1.17</v>
          </cell>
        </row>
      </sheetData>
      <sheetData sheetId="14">
        <row r="2">
          <cell r="B2">
            <v>4497.1509999999998</v>
          </cell>
        </row>
        <row r="4">
          <cell r="B4">
            <v>3287.6549999999997</v>
          </cell>
          <cell r="C4">
            <v>55.238000000000007</v>
          </cell>
          <cell r="D4">
            <v>758.428</v>
          </cell>
        </row>
      </sheetData>
      <sheetData sheetId="15"/>
      <sheetData sheetId="16">
        <row r="14">
          <cell r="B14">
            <v>609</v>
          </cell>
        </row>
        <row r="29">
          <cell r="D29">
            <v>1040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Final alloc from Guy"/>
      <sheetName val="Master"/>
      <sheetName val="Windfall banking"/>
      <sheetName val="IV&amp;VI Combined"/>
      <sheetName val="Special condition stocks"/>
      <sheetName val="2022 file"/>
      <sheetName val="raw allocs"/>
      <sheetName val="Maj Pel Combined"/>
      <sheetName val="DSS Combined"/>
      <sheetName val="Faroes Combined"/>
      <sheetName val="Unallocated swaps"/>
      <sheetName val="Final reallocation 11 Dec"/>
      <sheetName val="Reallocated FDF"/>
      <sheetName val="Retained Mackerel allocated29_8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Row Labels</v>
          </cell>
        </row>
      </sheetData>
      <sheetData sheetId="10"/>
      <sheetData sheetId="11"/>
      <sheetData sheetId="12">
        <row r="5">
          <cell r="B5">
            <v>4.7359999999999998</v>
          </cell>
          <cell r="C5"/>
          <cell r="D5">
            <v>0.878</v>
          </cell>
          <cell r="E5">
            <v>0.878</v>
          </cell>
          <cell r="F5">
            <v>10.516</v>
          </cell>
          <cell r="G5">
            <v>10.516</v>
          </cell>
          <cell r="H5">
            <v>0</v>
          </cell>
          <cell r="I5">
            <v>1.958</v>
          </cell>
          <cell r="J5">
            <v>5.2</v>
          </cell>
          <cell r="K5">
            <v>0</v>
          </cell>
          <cell r="L5">
            <v>0</v>
          </cell>
          <cell r="P5"/>
          <cell r="Q5"/>
          <cell r="R5"/>
          <cell r="S5"/>
          <cell r="T5"/>
          <cell r="U5"/>
          <cell r="V5"/>
        </row>
        <row r="6">
          <cell r="B6">
            <v>0</v>
          </cell>
          <cell r="C6"/>
          <cell r="D6">
            <v>17.038</v>
          </cell>
          <cell r="E6">
            <v>17.038</v>
          </cell>
          <cell r="F6">
            <v>0.26600000000000001</v>
          </cell>
          <cell r="G6">
            <v>0.26600000000000001</v>
          </cell>
          <cell r="H6">
            <v>0</v>
          </cell>
          <cell r="I6">
            <v>1.958</v>
          </cell>
          <cell r="J6">
            <v>7.1970000000000001</v>
          </cell>
          <cell r="K6">
            <v>0</v>
          </cell>
          <cell r="P6"/>
          <cell r="Q6"/>
          <cell r="R6"/>
          <cell r="S6"/>
          <cell r="T6"/>
          <cell r="U6"/>
          <cell r="V6"/>
        </row>
        <row r="7">
          <cell r="B7">
            <v>112.509</v>
          </cell>
          <cell r="C7"/>
          <cell r="D7">
            <v>264.75599999999997</v>
          </cell>
          <cell r="E7">
            <v>264.75599999999997</v>
          </cell>
          <cell r="F7">
            <v>3.6230000000000002</v>
          </cell>
          <cell r="G7">
            <v>3.6230000000000002</v>
          </cell>
          <cell r="H7">
            <v>0</v>
          </cell>
          <cell r="I7">
            <v>3.4260000000000002</v>
          </cell>
          <cell r="J7">
            <v>11.2</v>
          </cell>
          <cell r="K7">
            <v>0</v>
          </cell>
          <cell r="P7"/>
          <cell r="Q7"/>
          <cell r="R7"/>
          <cell r="S7"/>
          <cell r="T7"/>
          <cell r="U7"/>
          <cell r="V7"/>
        </row>
        <row r="8">
          <cell r="B8">
            <v>0</v>
          </cell>
          <cell r="C8"/>
          <cell r="D8">
            <v>4.5579999999999998</v>
          </cell>
          <cell r="E8">
            <v>4.5579999999999998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0.6</v>
          </cell>
          <cell r="K8">
            <v>0</v>
          </cell>
          <cell r="P8"/>
          <cell r="Q8"/>
          <cell r="R8"/>
          <cell r="S8"/>
          <cell r="T8"/>
          <cell r="U8"/>
          <cell r="V8"/>
        </row>
        <row r="9">
          <cell r="B9">
            <v>0.13600000000000001</v>
          </cell>
          <cell r="C9"/>
          <cell r="D9">
            <v>17.138999999999999</v>
          </cell>
          <cell r="E9">
            <v>17.138999999999999</v>
          </cell>
          <cell r="F9">
            <v>0</v>
          </cell>
          <cell r="G9">
            <v>0</v>
          </cell>
          <cell r="H9">
            <v>0</v>
          </cell>
          <cell r="I9">
            <v>1.4710000000000001</v>
          </cell>
          <cell r="J9">
            <v>4.5</v>
          </cell>
          <cell r="K9">
            <v>1.24</v>
          </cell>
          <cell r="L9">
            <v>0</v>
          </cell>
          <cell r="M9"/>
          <cell r="P9"/>
          <cell r="Q9"/>
          <cell r="R9"/>
          <cell r="S9"/>
          <cell r="T9"/>
          <cell r="U9"/>
          <cell r="V9"/>
        </row>
        <row r="10">
          <cell r="B10">
            <v>7007.8710000000001</v>
          </cell>
          <cell r="C10"/>
          <cell r="D10">
            <v>23817.004000000001</v>
          </cell>
          <cell r="E10">
            <v>23817.004000000001</v>
          </cell>
          <cell r="F10">
            <v>95.792000000000002</v>
          </cell>
          <cell r="G10">
            <v>95.792000000000002</v>
          </cell>
          <cell r="H10">
            <v>30.844000000000001</v>
          </cell>
          <cell r="I10">
            <v>319.53800000000001</v>
          </cell>
          <cell r="J10">
            <v>938.01599999999996</v>
          </cell>
          <cell r="K10">
            <v>5731.2</v>
          </cell>
          <cell r="L10">
            <v>748.2</v>
          </cell>
          <cell r="M10"/>
          <cell r="P10"/>
          <cell r="Q10"/>
          <cell r="R10"/>
          <cell r="S10"/>
          <cell r="T10"/>
          <cell r="U10"/>
          <cell r="V10"/>
        </row>
        <row r="11">
          <cell r="B11">
            <v>0</v>
          </cell>
          <cell r="C11"/>
          <cell r="D11">
            <v>0.2</v>
          </cell>
          <cell r="E11">
            <v>0.2</v>
          </cell>
          <cell r="F11">
            <v>2.91</v>
          </cell>
          <cell r="G11">
            <v>2.91</v>
          </cell>
          <cell r="H11">
            <v>0</v>
          </cell>
          <cell r="I11">
            <v>10.063000000000001</v>
          </cell>
          <cell r="J11">
            <v>1.042</v>
          </cell>
          <cell r="K11">
            <v>0</v>
          </cell>
          <cell r="P11"/>
          <cell r="Q11"/>
          <cell r="R11"/>
          <cell r="S11"/>
          <cell r="T11"/>
          <cell r="U11"/>
          <cell r="V11"/>
        </row>
        <row r="12">
          <cell r="B12">
            <v>9954.9840000000004</v>
          </cell>
          <cell r="C12"/>
          <cell r="D12">
            <v>23041.185000000001</v>
          </cell>
          <cell r="E12">
            <v>23041.185000000001</v>
          </cell>
          <cell r="F12">
            <v>167.77799999999999</v>
          </cell>
          <cell r="G12">
            <v>167.77799999999999</v>
          </cell>
          <cell r="H12">
            <v>30.763000000000002</v>
          </cell>
          <cell r="I12">
            <v>1266.883</v>
          </cell>
          <cell r="J12">
            <v>2156.9879999999998</v>
          </cell>
          <cell r="K12">
            <v>1617.653</v>
          </cell>
          <cell r="L12">
            <v>0.1</v>
          </cell>
          <cell r="P12"/>
          <cell r="Q12"/>
          <cell r="R12"/>
          <cell r="S12"/>
          <cell r="T12"/>
          <cell r="U12"/>
          <cell r="V12"/>
        </row>
        <row r="13">
          <cell r="B13">
            <v>0.59199999999999997</v>
          </cell>
          <cell r="C13"/>
          <cell r="D13">
            <v>0.3</v>
          </cell>
          <cell r="E13">
            <v>0.3</v>
          </cell>
          <cell r="F13">
            <v>0.746</v>
          </cell>
          <cell r="G13">
            <v>0.746</v>
          </cell>
          <cell r="H13">
            <v>0</v>
          </cell>
          <cell r="I13">
            <v>4.7370000000000001</v>
          </cell>
          <cell r="J13">
            <v>0</v>
          </cell>
          <cell r="K13">
            <v>0</v>
          </cell>
          <cell r="L13">
            <v>0</v>
          </cell>
          <cell r="P13"/>
          <cell r="Q13"/>
          <cell r="R13"/>
          <cell r="S13"/>
          <cell r="T13"/>
          <cell r="U13"/>
          <cell r="V13"/>
        </row>
        <row r="14">
          <cell r="B14">
            <v>0</v>
          </cell>
          <cell r="C14"/>
          <cell r="D14">
            <v>10.185</v>
          </cell>
          <cell r="E14">
            <v>10.185</v>
          </cell>
          <cell r="F14">
            <v>0.41799999999999998</v>
          </cell>
          <cell r="G14">
            <v>0.41799999999999998</v>
          </cell>
          <cell r="H14">
            <v>0</v>
          </cell>
          <cell r="I14">
            <v>1.474</v>
          </cell>
          <cell r="J14">
            <v>4.5019999999999998</v>
          </cell>
          <cell r="K14">
            <v>0</v>
          </cell>
          <cell r="P14"/>
          <cell r="Q14"/>
          <cell r="R14"/>
          <cell r="S14"/>
          <cell r="T14"/>
          <cell r="U14"/>
          <cell r="V14"/>
        </row>
        <row r="15">
          <cell r="B15">
            <v>0</v>
          </cell>
          <cell r="C15"/>
          <cell r="D15">
            <v>0.98899999999999999</v>
          </cell>
          <cell r="E15">
            <v>0.98899999999999999</v>
          </cell>
          <cell r="F15">
            <v>0</v>
          </cell>
          <cell r="G15">
            <v>0</v>
          </cell>
          <cell r="H15">
            <v>0</v>
          </cell>
          <cell r="I15">
            <v>1.079</v>
          </cell>
          <cell r="J15">
            <v>3.3</v>
          </cell>
          <cell r="K15">
            <v>2.48</v>
          </cell>
          <cell r="P15"/>
          <cell r="Q15"/>
          <cell r="R15"/>
          <cell r="S15"/>
          <cell r="T15"/>
          <cell r="U15"/>
          <cell r="V15"/>
        </row>
        <row r="16">
          <cell r="B16">
            <v>-1</v>
          </cell>
          <cell r="C16"/>
          <cell r="D16">
            <v>7</v>
          </cell>
          <cell r="E16">
            <v>7</v>
          </cell>
          <cell r="F16">
            <v>12.337999999999999</v>
          </cell>
          <cell r="G16">
            <v>12.337999999999999</v>
          </cell>
          <cell r="H16">
            <v>3.6</v>
          </cell>
          <cell r="I16">
            <v>0</v>
          </cell>
          <cell r="J16">
            <v>-0.3</v>
          </cell>
          <cell r="K16">
            <v>0</v>
          </cell>
          <cell r="P16"/>
          <cell r="Q16"/>
          <cell r="R16"/>
          <cell r="S16"/>
          <cell r="T16"/>
          <cell r="U16"/>
          <cell r="V16"/>
        </row>
        <row r="17">
          <cell r="B17">
            <v>0.6</v>
          </cell>
          <cell r="C17"/>
          <cell r="D17">
            <v>1.7</v>
          </cell>
          <cell r="E17">
            <v>1.7</v>
          </cell>
          <cell r="F17">
            <v>0.3</v>
          </cell>
          <cell r="G17">
            <v>0.3</v>
          </cell>
          <cell r="H17">
            <v>0</v>
          </cell>
          <cell r="I17">
            <v>28.896000000000001</v>
          </cell>
          <cell r="J17">
            <v>0</v>
          </cell>
          <cell r="K17">
            <v>0</v>
          </cell>
          <cell r="P17"/>
          <cell r="Q17"/>
          <cell r="R17"/>
          <cell r="S17"/>
          <cell r="T17"/>
          <cell r="U17"/>
          <cell r="V17"/>
        </row>
        <row r="18">
          <cell r="B18">
            <v>7797.6</v>
          </cell>
          <cell r="C18"/>
          <cell r="D18">
            <v>26604.9</v>
          </cell>
          <cell r="E18">
            <v>26604.9</v>
          </cell>
          <cell r="F18">
            <v>46.1</v>
          </cell>
          <cell r="G18">
            <v>46.1</v>
          </cell>
          <cell r="H18">
            <v>0</v>
          </cell>
          <cell r="I18">
            <v>48.3</v>
          </cell>
          <cell r="J18">
            <v>345.49900000000002</v>
          </cell>
          <cell r="K18">
            <v>8063.6</v>
          </cell>
          <cell r="L18">
            <v>3424.2</v>
          </cell>
          <cell r="M18"/>
          <cell r="P18"/>
          <cell r="Q18"/>
          <cell r="R18"/>
          <cell r="S18"/>
          <cell r="T18"/>
          <cell r="U18"/>
          <cell r="V18"/>
        </row>
        <row r="19">
          <cell r="B19">
            <v>7316.3</v>
          </cell>
          <cell r="C19"/>
          <cell r="D19">
            <v>23888.799999999999</v>
          </cell>
          <cell r="E19">
            <v>23888.799999999999</v>
          </cell>
          <cell r="F19">
            <v>27.545999999999999</v>
          </cell>
          <cell r="G19">
            <v>27.545999999999999</v>
          </cell>
          <cell r="H19">
            <v>0</v>
          </cell>
          <cell r="I19">
            <v>31.6</v>
          </cell>
          <cell r="J19">
            <v>38.588000000000001</v>
          </cell>
          <cell r="K19">
            <v>18934.690999999999</v>
          </cell>
          <cell r="L19">
            <v>587.5</v>
          </cell>
          <cell r="M19"/>
          <cell r="P19"/>
          <cell r="Q19"/>
          <cell r="R19"/>
          <cell r="S19"/>
          <cell r="T19"/>
          <cell r="U19"/>
          <cell r="V19"/>
        </row>
        <row r="20">
          <cell r="B20">
            <v>0.247</v>
          </cell>
          <cell r="C20"/>
          <cell r="D20">
            <v>0.5</v>
          </cell>
          <cell r="E20">
            <v>0.5</v>
          </cell>
          <cell r="F20">
            <v>4.1769999999999996</v>
          </cell>
          <cell r="G20">
            <v>4.1769999999999996</v>
          </cell>
          <cell r="H20">
            <v>0.3</v>
          </cell>
          <cell r="I20">
            <v>0</v>
          </cell>
          <cell r="J20">
            <v>0</v>
          </cell>
          <cell r="K20">
            <v>223.5</v>
          </cell>
          <cell r="L20">
            <v>0</v>
          </cell>
          <cell r="M20"/>
          <cell r="P20"/>
          <cell r="Q20"/>
          <cell r="R20"/>
          <cell r="S20"/>
          <cell r="T20"/>
          <cell r="U20"/>
          <cell r="V20"/>
        </row>
        <row r="21">
          <cell r="B21">
            <v>0.1</v>
          </cell>
          <cell r="C21"/>
          <cell r="D21">
            <v>6.5</v>
          </cell>
          <cell r="E21">
            <v>6.5</v>
          </cell>
          <cell r="F21">
            <v>0.1</v>
          </cell>
          <cell r="G21">
            <v>0.1</v>
          </cell>
          <cell r="H21">
            <v>3.2</v>
          </cell>
          <cell r="I21">
            <v>0.1</v>
          </cell>
          <cell r="J21">
            <v>0.8</v>
          </cell>
          <cell r="K21">
            <v>2.6</v>
          </cell>
          <cell r="P21"/>
          <cell r="Q21"/>
          <cell r="R21"/>
          <cell r="S21"/>
          <cell r="T21"/>
          <cell r="U21"/>
          <cell r="V21"/>
        </row>
        <row r="22">
          <cell r="B22">
            <v>0.1</v>
          </cell>
          <cell r="C22"/>
          <cell r="D22">
            <v>0.4</v>
          </cell>
          <cell r="E22">
            <v>0.4</v>
          </cell>
          <cell r="F22">
            <v>1.9</v>
          </cell>
          <cell r="G22">
            <v>1.9</v>
          </cell>
          <cell r="H22">
            <v>0.1</v>
          </cell>
          <cell r="I22">
            <v>0</v>
          </cell>
          <cell r="J22">
            <v>0</v>
          </cell>
          <cell r="K22">
            <v>0</v>
          </cell>
          <cell r="P22"/>
          <cell r="Q22"/>
          <cell r="R22"/>
          <cell r="S22"/>
          <cell r="T22"/>
          <cell r="U22"/>
          <cell r="V22"/>
        </row>
        <row r="23">
          <cell r="B23">
            <v>20092.900000000001</v>
          </cell>
          <cell r="C23"/>
          <cell r="D23">
            <v>46046.5</v>
          </cell>
          <cell r="E23">
            <v>46046.5</v>
          </cell>
          <cell r="F23">
            <v>51.72</v>
          </cell>
          <cell r="G23">
            <v>51.72</v>
          </cell>
          <cell r="H23">
            <v>111</v>
          </cell>
          <cell r="I23">
            <v>187.5</v>
          </cell>
          <cell r="J23">
            <v>170.59800000000001</v>
          </cell>
          <cell r="K23">
            <v>7992.0060000000003</v>
          </cell>
          <cell r="L23">
            <v>3321.6</v>
          </cell>
          <cell r="M23"/>
          <cell r="P23"/>
          <cell r="Q23"/>
          <cell r="R23"/>
          <cell r="S23"/>
          <cell r="T23"/>
          <cell r="U23"/>
          <cell r="V23"/>
        </row>
        <row r="24">
          <cell r="B24">
            <v>13210.3</v>
          </cell>
          <cell r="C24"/>
          <cell r="D24">
            <v>41135</v>
          </cell>
          <cell r="E24">
            <v>41135</v>
          </cell>
          <cell r="F24">
            <v>24.875</v>
          </cell>
          <cell r="G24">
            <v>24.875</v>
          </cell>
          <cell r="H24">
            <v>0</v>
          </cell>
          <cell r="I24">
            <v>152.5</v>
          </cell>
          <cell r="J24">
            <v>278.767</v>
          </cell>
          <cell r="K24">
            <v>12840.3</v>
          </cell>
          <cell r="L24">
            <v>3999</v>
          </cell>
          <cell r="M24"/>
          <cell r="P24"/>
          <cell r="Q24"/>
          <cell r="R24"/>
          <cell r="S24"/>
          <cell r="T24"/>
          <cell r="U24"/>
          <cell r="V24"/>
        </row>
        <row r="25">
          <cell r="B25">
            <v>0.7</v>
          </cell>
          <cell r="C25"/>
          <cell r="D25">
            <v>16</v>
          </cell>
          <cell r="E25">
            <v>16</v>
          </cell>
          <cell r="F25">
            <v>0</v>
          </cell>
          <cell r="G25">
            <v>0</v>
          </cell>
          <cell r="H25">
            <v>20.6</v>
          </cell>
          <cell r="I25">
            <v>0</v>
          </cell>
          <cell r="J25">
            <v>0.1</v>
          </cell>
          <cell r="K25">
            <v>0</v>
          </cell>
          <cell r="P25"/>
          <cell r="Q25"/>
          <cell r="R25"/>
          <cell r="S25"/>
          <cell r="T25"/>
          <cell r="U25"/>
          <cell r="V25"/>
        </row>
        <row r="26">
          <cell r="B26">
            <v>6524.5789999999997</v>
          </cell>
          <cell r="C26"/>
          <cell r="D26">
            <v>14637.931</v>
          </cell>
          <cell r="E26">
            <v>14637.931</v>
          </cell>
          <cell r="F26">
            <v>25.798999999999999</v>
          </cell>
          <cell r="G26">
            <v>25.798999999999999</v>
          </cell>
          <cell r="H26">
            <v>174.50399999999999</v>
          </cell>
          <cell r="I26">
            <v>309.13200000000001</v>
          </cell>
          <cell r="J26">
            <v>1247.067</v>
          </cell>
          <cell r="K26">
            <v>2832.8629999999998</v>
          </cell>
          <cell r="L26">
            <v>212.5</v>
          </cell>
          <cell r="M26"/>
          <cell r="P26"/>
          <cell r="Q26"/>
          <cell r="R26"/>
          <cell r="S26"/>
          <cell r="T26"/>
          <cell r="U26"/>
          <cell r="V26"/>
        </row>
        <row r="27">
          <cell r="B27">
            <v>379.02100000000002</v>
          </cell>
          <cell r="C27"/>
          <cell r="D27">
            <v>1116.4690000000001</v>
          </cell>
          <cell r="E27">
            <v>1116.4690000000001</v>
          </cell>
          <cell r="F27">
            <v>47.875999999999998</v>
          </cell>
          <cell r="G27">
            <v>47.875999999999998</v>
          </cell>
          <cell r="H27">
            <v>90.995999999999995</v>
          </cell>
          <cell r="I27">
            <v>12.568</v>
          </cell>
          <cell r="J27">
            <v>193.60400000000001</v>
          </cell>
          <cell r="K27">
            <v>0.23699999999999999</v>
          </cell>
          <cell r="L27">
            <v>0</v>
          </cell>
          <cell r="M27"/>
          <cell r="P27"/>
          <cell r="Q27"/>
          <cell r="R27"/>
          <cell r="S27"/>
          <cell r="T27"/>
          <cell r="U27"/>
          <cell r="V27"/>
        </row>
        <row r="29">
          <cell r="U29"/>
        </row>
        <row r="31">
          <cell r="H31">
            <v>0</v>
          </cell>
          <cell r="U31"/>
        </row>
        <row r="33">
          <cell r="B33">
            <v>0</v>
          </cell>
          <cell r="C33"/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8.1000000000000003E-2</v>
          </cell>
          <cell r="I33">
            <v>0</v>
          </cell>
          <cell r="J33">
            <v>0</v>
          </cell>
          <cell r="K33">
            <v>0</v>
          </cell>
          <cell r="O33"/>
          <cell r="P33"/>
          <cell r="Q33"/>
          <cell r="R33"/>
          <cell r="S33"/>
          <cell r="T33"/>
        </row>
        <row r="34">
          <cell r="D34">
            <v>1750</v>
          </cell>
          <cell r="E34">
            <v>1750</v>
          </cell>
        </row>
        <row r="36">
          <cell r="U36"/>
        </row>
        <row r="37">
          <cell r="U37"/>
        </row>
        <row r="38">
          <cell r="U38"/>
        </row>
        <row r="39">
          <cell r="U39"/>
        </row>
        <row r="41">
          <cell r="C41"/>
          <cell r="D41">
            <v>50</v>
          </cell>
          <cell r="E41">
            <v>50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20.2</v>
          </cell>
          <cell r="P41"/>
          <cell r="Q41"/>
          <cell r="R41"/>
          <cell r="S41"/>
          <cell r="T41"/>
          <cell r="U41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ntents"/>
      <sheetName val="Enter realloc"/>
      <sheetName val="Notes"/>
      <sheetName val="process realloc"/>
      <sheetName val="Extracts"/>
      <sheetName val="Enter swap"/>
      <sheetName val="process swap"/>
      <sheetName val="Data"/>
      <sheetName val="Pivots"/>
      <sheetName val="Qu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2">
          <cell r="AH162">
            <v>21097.4</v>
          </cell>
        </row>
        <row r="185">
          <cell r="BV185">
            <v>0</v>
          </cell>
          <cell r="BW185">
            <v>0</v>
          </cell>
        </row>
        <row r="186">
          <cell r="BV186">
            <v>0</v>
          </cell>
          <cell r="BW186">
            <v>0</v>
          </cell>
        </row>
        <row r="187">
          <cell r="BV187">
            <v>0</v>
          </cell>
          <cell r="BW187">
            <v>0</v>
          </cell>
        </row>
        <row r="188">
          <cell r="BV188">
            <v>0</v>
          </cell>
          <cell r="BW188">
            <v>0</v>
          </cell>
        </row>
        <row r="189">
          <cell r="BV189">
            <v>0</v>
          </cell>
          <cell r="BW1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157</v>
      </c>
      <c r="I1" s="70"/>
      <c r="J1" s="71" t="s">
        <v>0</v>
      </c>
      <c r="M1" s="72"/>
    </row>
    <row r="2" spans="2:25" x14ac:dyDescent="0.3">
      <c r="B2" s="1">
        <v>44915</v>
      </c>
      <c r="I2" s="74"/>
      <c r="M2" s="69"/>
      <c r="N2" s="71" t="s">
        <v>190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38597.960000000006</v>
      </c>
      <c r="E9" s="195">
        <v>19.828208181780955</v>
      </c>
      <c r="F9" s="196">
        <v>550.24249999999995</v>
      </c>
      <c r="G9" s="68">
        <v>1786.8387110601068</v>
      </c>
      <c r="H9" s="195">
        <v>224.73658633422659</v>
      </c>
      <c r="I9" s="196">
        <v>33107.630008532164</v>
      </c>
      <c r="J9" s="68">
        <v>37670.415920415035</v>
      </c>
      <c r="K9" s="195">
        <v>13.781674830566235</v>
      </c>
      <c r="L9" s="196"/>
      <c r="M9" s="113">
        <v>65868.952508532166</v>
      </c>
      <c r="N9" s="196">
        <v>77501.452631475142</v>
      </c>
      <c r="O9" s="195">
        <v>17.660065448036676</v>
      </c>
      <c r="P9" s="68">
        <v>76757.696999999971</v>
      </c>
      <c r="Q9" s="68">
        <v>0</v>
      </c>
      <c r="R9" s="195">
        <v>0</v>
      </c>
      <c r="S9" s="195">
        <v>93.153132366005806</v>
      </c>
      <c r="T9" s="144">
        <v>100.96896553771693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82463.599999999991</v>
      </c>
      <c r="D11" s="68">
        <v>81546.02</v>
      </c>
      <c r="E11" s="195">
        <v>-1.1127091225704278</v>
      </c>
      <c r="F11" s="196">
        <v>5059.2601188210992</v>
      </c>
      <c r="G11" s="68">
        <v>5419.3593870396298</v>
      </c>
      <c r="H11" s="195">
        <v>7.1176270790844489</v>
      </c>
      <c r="I11" s="196">
        <v>118911.71934614248</v>
      </c>
      <c r="J11" s="68">
        <v>108196.54237111966</v>
      </c>
      <c r="K11" s="195">
        <v>-9.0110352738503359</v>
      </c>
      <c r="L11" s="196"/>
      <c r="M11" s="113">
        <v>206434.57946496358</v>
      </c>
      <c r="N11" s="196">
        <v>200969.5167581593</v>
      </c>
      <c r="O11" s="195">
        <v>-2.6473581707912559</v>
      </c>
      <c r="P11" s="68">
        <v>204949.01699999999</v>
      </c>
      <c r="Q11" s="68">
        <v>15.890746372315334</v>
      </c>
      <c r="R11" s="195">
        <v>7.7535118757438761E-3</v>
      </c>
      <c r="S11" s="195">
        <v>105.35741490137337</v>
      </c>
      <c r="T11" s="144">
        <v>98.058297473151228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48803.840000000011</v>
      </c>
      <c r="D12" s="68">
        <v>72391.89</v>
      </c>
      <c r="E12" s="195">
        <v>48.3323648303084</v>
      </c>
      <c r="F12" s="196">
        <v>1638.6490000190731</v>
      </c>
      <c r="G12" s="68">
        <v>2074.4192012587787</v>
      </c>
      <c r="H12" s="195">
        <v>26.593260743126407</v>
      </c>
      <c r="I12" s="196">
        <v>71747.317291625135</v>
      </c>
      <c r="J12" s="68">
        <v>96403.934989059446</v>
      </c>
      <c r="K12" s="195">
        <v>34.365908898328115</v>
      </c>
      <c r="L12" s="196"/>
      <c r="M12" s="113">
        <v>122189.80629164423</v>
      </c>
      <c r="N12" s="196">
        <v>173220.68819031824</v>
      </c>
      <c r="O12" s="195">
        <v>41.763616333814973</v>
      </c>
      <c r="P12" s="68">
        <v>204959.01699999999</v>
      </c>
      <c r="Q12" s="68">
        <v>1.9999999989522621E-2</v>
      </c>
      <c r="R12" s="195">
        <v>9.7580483563319497E-6</v>
      </c>
      <c r="S12" s="195">
        <v>89.396033537023229</v>
      </c>
      <c r="T12" s="144">
        <v>84.514792628185873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1256.2899999999997</v>
      </c>
      <c r="D13" s="68">
        <v>1013.8399999999999</v>
      </c>
      <c r="E13" s="195">
        <v>-19.298887995606098</v>
      </c>
      <c r="F13" s="196">
        <v>29.889019973136485</v>
      </c>
      <c r="G13" s="68">
        <v>39.72921966354923</v>
      </c>
      <c r="H13" s="195">
        <v>32.922456806067494</v>
      </c>
      <c r="I13" s="196">
        <v>502.41950112719843</v>
      </c>
      <c r="J13" s="68">
        <v>479.74656091880075</v>
      </c>
      <c r="K13" s="195">
        <v>-4.5127508302384802</v>
      </c>
      <c r="L13" s="196"/>
      <c r="M13" s="113">
        <v>1788.5985211003347</v>
      </c>
      <c r="N13" s="196">
        <v>1580.5267805823485</v>
      </c>
      <c r="O13" s="195">
        <v>-11.633227807321553</v>
      </c>
      <c r="P13" s="68">
        <v>1938.2730000000001</v>
      </c>
      <c r="Q13" s="68">
        <v>14.967412902023625</v>
      </c>
      <c r="R13" s="195">
        <v>0.77220354934643487</v>
      </c>
      <c r="S13" s="195">
        <v>20.921727934265235</v>
      </c>
      <c r="T13" s="144">
        <v>81.543042728364284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97.929999999999978</v>
      </c>
      <c r="E14" s="195">
        <v>23.058557426489042</v>
      </c>
      <c r="F14" s="196">
        <v>10.256019992329186</v>
      </c>
      <c r="G14" s="68">
        <v>19.114219765115546</v>
      </c>
      <c r="H14" s="195">
        <v>86.370734255702487</v>
      </c>
      <c r="I14" s="196">
        <v>273.72900080581007</v>
      </c>
      <c r="J14" s="68">
        <v>301.74200002097359</v>
      </c>
      <c r="K14" s="195">
        <v>10.233844105921612</v>
      </c>
      <c r="L14" s="196"/>
      <c r="M14" s="113">
        <v>363.56502079813924</v>
      </c>
      <c r="N14" s="196">
        <v>418.78621978608913</v>
      </c>
      <c r="O14" s="195">
        <v>15.18880965685919</v>
      </c>
      <c r="P14" s="68">
        <v>1776.373</v>
      </c>
      <c r="Q14" s="68">
        <v>12.617412902023659</v>
      </c>
      <c r="R14" s="195">
        <v>0.71029073860183978</v>
      </c>
      <c r="S14" s="195">
        <v>75.070208713223053</v>
      </c>
      <c r="T14" s="144">
        <v>23.575353812858509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2.7181999938264485</v>
      </c>
      <c r="G16" s="68">
        <v>358.52941694823647</v>
      </c>
      <c r="H16" s="195" t="s">
        <v>64</v>
      </c>
      <c r="I16" s="196">
        <v>149.75189432032039</v>
      </c>
      <c r="J16" s="68">
        <v>2864.4578514308837</v>
      </c>
      <c r="K16" s="195" t="s">
        <v>64</v>
      </c>
      <c r="L16" s="196"/>
      <c r="M16" s="113">
        <v>152.53009431414685</v>
      </c>
      <c r="N16" s="196">
        <v>3224.4872683791227</v>
      </c>
      <c r="O16" s="195" t="s">
        <v>64</v>
      </c>
      <c r="P16" s="68">
        <v>3346.1979999999999</v>
      </c>
      <c r="Q16" s="68">
        <v>50.284721793703739</v>
      </c>
      <c r="R16" s="195">
        <v>1.5027419714465116</v>
      </c>
      <c r="S16" s="195">
        <v>2.6687562430301792</v>
      </c>
      <c r="T16" s="144">
        <v>96.362715786068932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453.11</v>
      </c>
      <c r="D17" s="68">
        <v>392.27000000000004</v>
      </c>
      <c r="E17" s="195">
        <v>-13.427203107413204</v>
      </c>
      <c r="F17" s="196">
        <v>1081.1995628853169</v>
      </c>
      <c r="G17" s="68">
        <v>14.197901522189259</v>
      </c>
      <c r="H17" s="195">
        <v>-98.686838026062418</v>
      </c>
      <c r="I17" s="196">
        <v>335.68800001907351</v>
      </c>
      <c r="J17" s="68">
        <v>2619.1468499090679</v>
      </c>
      <c r="K17" s="195">
        <v>680.23249260034618</v>
      </c>
      <c r="L17" s="196"/>
      <c r="M17" s="113">
        <v>1869.9975629043906</v>
      </c>
      <c r="N17" s="196">
        <v>3025.614751431257</v>
      </c>
      <c r="O17" s="195">
        <v>61.797791154979755</v>
      </c>
      <c r="P17" s="68">
        <v>4903.5379999999986</v>
      </c>
      <c r="Q17" s="68">
        <v>377.2388619879107</v>
      </c>
      <c r="R17" s="195">
        <v>7.6931974828768697</v>
      </c>
      <c r="S17" s="195">
        <v>23.151557011147311</v>
      </c>
      <c r="T17" s="144">
        <v>61.702687965939241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52332.112053222663</v>
      </c>
      <c r="J23" s="68">
        <v>36228.410992187506</v>
      </c>
      <c r="K23" s="195">
        <v>-30.772121416879589</v>
      </c>
      <c r="L23" s="196"/>
      <c r="M23" s="113">
        <v>73681.052053222666</v>
      </c>
      <c r="N23" s="196">
        <v>53489.710992187509</v>
      </c>
      <c r="O23" s="195">
        <v>-27.403708956883747</v>
      </c>
      <c r="P23" s="68">
        <v>52235.37</v>
      </c>
      <c r="Q23" s="68">
        <v>0</v>
      </c>
      <c r="R23" s="195">
        <v>0</v>
      </c>
      <c r="S23" s="195">
        <v>175.98374909112826</v>
      </c>
      <c r="T23" s="144">
        <v>102.40132498762333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158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159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27" priority="1" stopIfTrue="1" operator="between">
      <formula>85</formula>
      <formula>89.9</formula>
    </cfRule>
    <cfRule type="cellIs" dxfId="26" priority="2" stopIfTrue="1" operator="between">
      <formula>89.9</formula>
      <formula>9999999999999</formula>
    </cfRule>
    <cfRule type="cellIs" dxfId="25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tabSelected="1"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160</v>
      </c>
      <c r="C1" s="3"/>
      <c r="D1" s="4"/>
      <c r="E1" s="4"/>
      <c r="F1" s="5"/>
      <c r="G1" s="4"/>
      <c r="H1" s="4"/>
      <c r="I1" s="6"/>
      <c r="J1" s="4"/>
      <c r="K1" s="7">
        <f>[4]Cumulative!A3</f>
        <v>44915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f>[4]Weeks!A122</f>
        <v>44895</v>
      </c>
      <c r="K7" s="33">
        <f>[4]Weeks!A82</f>
        <v>44902</v>
      </c>
      <c r="L7" s="33">
        <f>[4]Weeks!A42</f>
        <v>44909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f>'[5]Maj Pel Combined'!$B$23</f>
        <v>20092.900000000001</v>
      </c>
      <c r="D10" s="200">
        <f>F10-VLOOKUP(B10,[4]quotas!$B$85:$W$120,2,FALSE)</f>
        <v>0</v>
      </c>
      <c r="E10" s="200">
        <f>F10-C10</f>
        <v>1004.5</v>
      </c>
      <c r="F10" s="201">
        <f>VLOOKUP(B10,[4]quotas!$B$46:$W$84,2,FALSE)</f>
        <v>21097.4</v>
      </c>
      <c r="G10" s="202">
        <f>VLOOKUP(B10,[4]Cumulative!$A$56:$X$91,2,FALSE)-'[4]Scentific landings'!B6</f>
        <v>21591.94</v>
      </c>
      <c r="H10" s="151">
        <f>IF(AND(F10=0,G10&gt;0),"n/a",IF(F10=0,0,100*G10/F10))</f>
        <v>102.34408031321394</v>
      </c>
      <c r="I10" s="201">
        <f>IF(F10="*","*",F10-G10)</f>
        <v>-494.53999999999724</v>
      </c>
      <c r="J10" s="202">
        <f>VLOOKUP(B10,[4]Weeks!$A$125:$X$161,2,FALSE)-VLOOKUP(B10,[4]Weeks!$A$165:$X$200,2,FALSE)</f>
        <v>352.89999999999782</v>
      </c>
      <c r="K10" s="202">
        <f>VLOOKUP(B10,[4]Weeks!$A$85:$X$121,2,FALSE)-VLOOKUP(B10,[4]Weeks!$A$125:$X$161,2,FALSE)</f>
        <v>6.319999999999709</v>
      </c>
      <c r="L10" s="202">
        <f>VLOOKUP(B10,[4]Weeks!$A$44:$X$81,2,FALSE)-VLOOKUP(B10,[4]Weeks!$A$85:$X$121,2,FALSE)</f>
        <v>0</v>
      </c>
      <c r="M10" s="202">
        <f>VLOOKUP(B10,[4]Weeks!$A$3:$X$39,2,FALSE)-VLOOKUP(B10,[4]Weeks!$A$44:$X$81,2,FALSE)</f>
        <v>0</v>
      </c>
      <c r="N10" s="11">
        <f t="shared" ref="N10:N19" si="0">IF(C10="*","*",IF(C10&gt;0,M10/C10*100,"-"))</f>
        <v>0</v>
      </c>
      <c r="O10" s="202">
        <f t="shared" ref="O10:O19" si="1">IF(C10="*","*",SUM(J10:M10)/4)</f>
        <v>89.804999999999382</v>
      </c>
      <c r="P10" s="41">
        <f>IF(ISNUMBER(VLOOKUP(B10,[4]CLOSURES!B:BI,2,FALSE)),TEXT(VLOOKUP(B10,[4]CLOSURES!B:BI,2,FALSE),"ddmmm"),IF(F10&lt;=0,0,IF(I10&lt;=0,0,IF(AND(F10&gt;0,O10&lt;=0),"&gt;52",IF(I10/O10&gt;52,"&gt;52", MAX(0,I10/O10-2))))))</f>
        <v>0</v>
      </c>
    </row>
    <row r="11" spans="1:17" s="2" customFormat="1" ht="10.75" customHeight="1" x14ac:dyDescent="0.25">
      <c r="B11" s="40" t="s">
        <v>63</v>
      </c>
      <c r="C11" s="130">
        <f>'[5]Maj Pel Combined'!$B$16</f>
        <v>-1</v>
      </c>
      <c r="D11" s="200">
        <f>F11-VLOOKUP(B11,[4]quotas!$B$85:$W$120,2,FALSE)</f>
        <v>0</v>
      </c>
      <c r="E11" s="200">
        <f>F11-C11</f>
        <v>0</v>
      </c>
      <c r="F11" s="201">
        <f>VLOOKUP(B11,[4]quotas!$B$46:$W$84,2,FALSE)</f>
        <v>-1</v>
      </c>
      <c r="G11" s="202">
        <f>VLOOKUP(B11,[4]Cumulative!$A$56:$X$91,2,FALSE)</f>
        <v>0</v>
      </c>
      <c r="H11" s="151">
        <f t="shared" ref="H11:H42" si="2">IF(AND(F11=0,G11&gt;0),"n/a",IF(F11=0,0,100*G11/F11))</f>
        <v>0</v>
      </c>
      <c r="I11" s="201">
        <f>IF(F11="*","*",F11-G11)</f>
        <v>-1</v>
      </c>
      <c r="J11" s="202">
        <f>VLOOKUP(B11,[4]Weeks!$A$125:$X$161,2,FALSE)-VLOOKUP(B11,[4]Weeks!$A$165:$X$200,2,FALSE)</f>
        <v>0</v>
      </c>
      <c r="K11" s="202">
        <f>VLOOKUP(B11,[4]Weeks!$A$85:$X$121,2,FALSE)-VLOOKUP(B11,[4]Weeks!$A$125:$X$161,2,FALSE)</f>
        <v>0</v>
      </c>
      <c r="L11" s="202">
        <f>VLOOKUP(B11,[4]Weeks!$A$44:$X$81,2,FALSE)-VLOOKUP(B11,[4]Weeks!$A$85:$X$121,2,FALSE)</f>
        <v>0</v>
      </c>
      <c r="M11" s="202">
        <f>VLOOKUP(B11,[4]Weeks!$A$3:$X$39,2,FALSE)-VLOOKUP(B11,[4]Weeks!$A$44:$X$81,2,FALSE)</f>
        <v>0</v>
      </c>
      <c r="N11" s="11" t="str">
        <f t="shared" si="0"/>
        <v>-</v>
      </c>
      <c r="O11" s="202">
        <f t="shared" si="1"/>
        <v>0</v>
      </c>
      <c r="P11" s="41">
        <f>IF(ISNUMBER(VLOOKUP(B11,[4]CLOSURES!B:BI,2,FALSE)),TEXT(VLOOKUP(B11,[4]CLOSURES!B:BI,2,FALSE),"ddmmm"),IF(F11&lt;=0,0,IF(I11&lt;=0,0,IF(AND(F11&gt;0,O11&lt;=0),"&gt;52",IF(I11/O11&gt;52,"&gt;52", MAX(0,I11/O11-2))))))</f>
        <v>0</v>
      </c>
    </row>
    <row r="12" spans="1:17" s="2" customFormat="1" ht="10.75" customHeight="1" x14ac:dyDescent="0.25">
      <c r="B12" s="40" t="s">
        <v>65</v>
      </c>
      <c r="C12" s="130">
        <f>'[5]Maj Pel Combined'!$B$20</f>
        <v>0.247</v>
      </c>
      <c r="D12" s="200">
        <f>F12-VLOOKUP(B12,[4]quotas!$B$85:$W$120,2,FALSE)</f>
        <v>0</v>
      </c>
      <c r="E12" s="200">
        <f t="shared" ref="E12:E19" si="3">F12-C12</f>
        <v>0</v>
      </c>
      <c r="F12" s="201">
        <f>VLOOKUP(B12,[4]quotas!$B$46:$W$84,2,FALSE)</f>
        <v>0.247</v>
      </c>
      <c r="G12" s="202">
        <f>VLOOKUP(B12,[4]Cumulative!$A$56:$X$91,2,FALSE)</f>
        <v>0</v>
      </c>
      <c r="H12" s="151">
        <f t="shared" si="2"/>
        <v>0</v>
      </c>
      <c r="I12" s="201">
        <f t="shared" ref="I12:I42" si="4">IF(F12="*","*",F12-G12)</f>
        <v>0.247</v>
      </c>
      <c r="J12" s="202">
        <f>VLOOKUP(B12,[4]Weeks!$A$125:$X$161,2,FALSE)-VLOOKUP(B12,[4]Weeks!$A$165:$X$200,2,FALSE)</f>
        <v>0</v>
      </c>
      <c r="K12" s="202">
        <f>VLOOKUP(B12,[4]Weeks!$A$85:$X$121,2,FALSE)-VLOOKUP(B12,[4]Weeks!$A$125:$X$161,2,FALSE)</f>
        <v>0</v>
      </c>
      <c r="L12" s="202">
        <f>VLOOKUP(B12,[4]Weeks!$A$44:$X$81,2,FALSE)-VLOOKUP(B12,[4]Weeks!$A$85:$X$121,2,FALSE)</f>
        <v>0</v>
      </c>
      <c r="M12" s="202">
        <f>VLOOKUP(B12,[4]Weeks!$A$3:$X$39,2,FALSE)-VLOOKUP(B12,[4]Weeks!$A$44:$X$81,2,FALSE)</f>
        <v>0</v>
      </c>
      <c r="N12" s="11">
        <f t="shared" si="0"/>
        <v>0</v>
      </c>
      <c r="O12" s="202">
        <f t="shared" si="1"/>
        <v>0</v>
      </c>
      <c r="P12" s="41" t="str">
        <f>IF(ISNUMBER(VLOOKUP(B12,[4]CLOSURES!B:BI,2,FALSE)),TEXT(VLOOKUP(B12,[4]CLOSURES!B:BI,2,FALSE),"ddmmm"),IF(F12&lt;=0,0,IF(I12&lt;=0,0,IF(AND(F12&gt;0,O12&lt;=0),"&gt;52",IF(I12/O12&gt;52,"&gt;52", MAX(0,I12/O12-2))))))</f>
        <v>01Jan</v>
      </c>
    </row>
    <row r="13" spans="1:17" s="2" customFormat="1" ht="10.75" customHeight="1" x14ac:dyDescent="0.25">
      <c r="A13" s="199"/>
      <c r="B13" s="40" t="s">
        <v>66</v>
      </c>
      <c r="C13" s="130">
        <f>'[5]Maj Pel Combined'!$B$24</f>
        <v>13210.3</v>
      </c>
      <c r="D13" s="200">
        <f>F13-VLOOKUP(B13,[4]quotas!$B$85:$W$120,2,FALSE)</f>
        <v>0</v>
      </c>
      <c r="E13" s="200">
        <f t="shared" si="3"/>
        <v>824.70000000000073</v>
      </c>
      <c r="F13" s="201">
        <f>VLOOKUP(B13,[4]quotas!$B$46:$W$84,2,FALSE)</f>
        <v>14035</v>
      </c>
      <c r="G13" s="202">
        <f>VLOOKUP(B13,[4]Cumulative!$A$56:$X$91,2,FALSE)</f>
        <v>14893.9</v>
      </c>
      <c r="H13" s="151">
        <f t="shared" si="2"/>
        <v>106.11970074812967</v>
      </c>
      <c r="I13" s="201">
        <f t="shared" si="4"/>
        <v>-858.89999999999964</v>
      </c>
      <c r="J13" s="202">
        <f>VLOOKUP(B13,[4]Weeks!$A$125:$X$161,2,FALSE)-VLOOKUP(B13,[4]Weeks!$A$165:$X$200,2,FALSE)</f>
        <v>11.659999999999854</v>
      </c>
      <c r="K13" s="202">
        <f>VLOOKUP(B13,[4]Weeks!$A$85:$X$121,2,FALSE)-VLOOKUP(B13,[4]Weeks!$A$125:$X$161,2,FALSE)</f>
        <v>0</v>
      </c>
      <c r="L13" s="202">
        <f>VLOOKUP(B13,[4]Weeks!$A$44:$X$81,2,FALSE)-VLOOKUP(B13,[4]Weeks!$A$85:$X$121,2,FALSE)</f>
        <v>0</v>
      </c>
      <c r="M13" s="202">
        <f>VLOOKUP(B13,[4]Weeks!$A$3:$X$39,2,FALSE)-VLOOKUP(B13,[4]Weeks!$A$44:$X$81,2,FALSE)</f>
        <v>0</v>
      </c>
      <c r="N13" s="11">
        <f t="shared" si="0"/>
        <v>0</v>
      </c>
      <c r="O13" s="202">
        <f t="shared" si="1"/>
        <v>2.9149999999999636</v>
      </c>
      <c r="P13" s="41">
        <f>IF(ISNUMBER(VLOOKUP(B13,[4]CLOSURES!B:BI,2,FALSE)),TEXT(VLOOKUP(B13,[4]CLOSURES!B:BI,2,FALSE),"ddmmm"),IF(F13&lt;=0,0,IF(I13&lt;=0,0,IF(AND(F13&gt;0,O13&lt;=0),"&gt;52",IF(I13/O13&gt;52,"&gt;52", MAX(0,I13/O13-2))))))</f>
        <v>0</v>
      </c>
    </row>
    <row r="14" spans="1:17" s="2" customFormat="1" ht="10.75" customHeight="1" x14ac:dyDescent="0.25">
      <c r="B14" s="40" t="s">
        <v>67</v>
      </c>
      <c r="C14" s="130">
        <f>'[5]Maj Pel Combined'!$B$17</f>
        <v>0.6</v>
      </c>
      <c r="D14" s="200">
        <f>F14-VLOOKUP(B14,[4]quotas!$B$85:$W$120,2,FALSE)</f>
        <v>0</v>
      </c>
      <c r="E14" s="200">
        <f>F14-C14</f>
        <v>0</v>
      </c>
      <c r="F14" s="201">
        <f>VLOOKUP(B14,[4]quotas!$B$46:$W$84,2,FALSE)</f>
        <v>0.6</v>
      </c>
      <c r="G14" s="202">
        <f>VLOOKUP(B14,[4]Cumulative!$A$56:$X$91,2,FALSE)</f>
        <v>0</v>
      </c>
      <c r="H14" s="151">
        <f>IF(AND(F14=0,G14&gt;0),"n/a",IF(F14=0,0,100*G14/F14))</f>
        <v>0</v>
      </c>
      <c r="I14" s="201">
        <f>IF(F14="*","*",F14-G14)</f>
        <v>0.6</v>
      </c>
      <c r="J14" s="202">
        <f>VLOOKUP(B14,[4]Weeks!$A$125:$X$161,2,FALSE)-VLOOKUP(B14,[4]Weeks!$A$165:$X$200,2,FALSE)</f>
        <v>0</v>
      </c>
      <c r="K14" s="202">
        <f>VLOOKUP(B14,[4]Weeks!$A$85:$X$121,2,FALSE)-VLOOKUP(B14,[4]Weeks!$A$125:$X$161,2,FALSE)</f>
        <v>0</v>
      </c>
      <c r="L14" s="202">
        <f>VLOOKUP(B14,[4]Weeks!$A$44:$X$81,2,FALSE)-VLOOKUP(B14,[4]Weeks!$A$85:$X$121,2,FALSE)</f>
        <v>0</v>
      </c>
      <c r="M14" s="202">
        <f>VLOOKUP(B14,[4]Weeks!$A$3:$X$39,2,FALSE)-VLOOKUP(B14,[4]Weeks!$A$44:$X$81,2,FALSE)</f>
        <v>0</v>
      </c>
      <c r="N14" s="11">
        <f>IF(C14="*","*",IF(C14&gt;0,M14/C14*100,"-"))</f>
        <v>0</v>
      </c>
      <c r="O14" s="202">
        <f t="shared" si="1"/>
        <v>0</v>
      </c>
      <c r="P14" s="41" t="str">
        <f>IF(ISNUMBER(VLOOKUP(B14,[4]CLOSURES!B:BI,2,FALSE)),TEXT(VLOOKUP(B14,[4]CLOSURES!B:BI,2,FALSE),"ddmmm"),IF(F14&lt;=0,0,IF(I14&lt;=0,0,IF(AND(F14&gt;0,O14&lt;=0),"&gt;52",IF(I14/O14&gt;52,"&gt;52", MAX(0,I14/O14-2))))))</f>
        <v>01Jan</v>
      </c>
    </row>
    <row r="15" spans="1:17" s="2" customFormat="1" ht="10.75" customHeight="1" x14ac:dyDescent="0.25">
      <c r="B15" s="40" t="s">
        <v>68</v>
      </c>
      <c r="C15" s="130">
        <f>'[5]Maj Pel Combined'!$B$25</f>
        <v>0.7</v>
      </c>
      <c r="D15" s="200">
        <f>F15-VLOOKUP(B15,[4]quotas!$B$85:$W$120,2,FALSE)</f>
        <v>0</v>
      </c>
      <c r="E15" s="200">
        <f t="shared" si="3"/>
        <v>-0.5</v>
      </c>
      <c r="F15" s="201">
        <f>VLOOKUP(B15,[4]quotas!$B$46:$W$84,2,FALSE)</f>
        <v>0.19999999999999996</v>
      </c>
      <c r="G15" s="202">
        <f>VLOOKUP(B15,[4]Cumulative!$A$56:$X$91,2,FALSE)</f>
        <v>0.12</v>
      </c>
      <c r="H15" s="151">
        <f t="shared" si="2"/>
        <v>60.000000000000014</v>
      </c>
      <c r="I15" s="201">
        <f t="shared" si="4"/>
        <v>7.999999999999996E-2</v>
      </c>
      <c r="J15" s="202">
        <f>VLOOKUP(B15,[4]Weeks!$A$125:$X$161,2,FALSE)-VLOOKUP(B15,[4]Weeks!$A$165:$X$200,2,FALSE)</f>
        <v>0</v>
      </c>
      <c r="K15" s="202">
        <f>VLOOKUP(B15,[4]Weeks!$A$85:$X$121,2,FALSE)-VLOOKUP(B15,[4]Weeks!$A$125:$X$161,2,FALSE)</f>
        <v>0</v>
      </c>
      <c r="L15" s="202">
        <f>VLOOKUP(B15,[4]Weeks!$A$44:$X$81,2,FALSE)-VLOOKUP(B15,[4]Weeks!$A$85:$X$121,2,FALSE)</f>
        <v>0</v>
      </c>
      <c r="M15" s="202">
        <f>VLOOKUP(B15,[4]Weeks!$A$3:$X$39,2,FALSE)-VLOOKUP(B15,[4]Weeks!$A$44:$X$81,2,FALSE)</f>
        <v>0</v>
      </c>
      <c r="N15" s="11">
        <f t="shared" si="0"/>
        <v>0</v>
      </c>
      <c r="O15" s="202">
        <f t="shared" si="1"/>
        <v>0</v>
      </c>
      <c r="P15" s="41" t="str">
        <f>IF(ISNUMBER(VLOOKUP(B15,[4]CLOSURES!B:BI,2,FALSE)),TEXT(VLOOKUP(B15,[4]CLOSURES!B:BI,2,FALSE),"ddmmm"),IF(F15&lt;=0,0,IF(I15&lt;=0,0,IF(AND(F15&gt;0,O15&lt;=0),"&gt;52",IF(I15/O15&gt;52,"&gt;52", MAX(0,I15/O15-2))))))</f>
        <v>01Jan</v>
      </c>
    </row>
    <row r="16" spans="1:17" s="2" customFormat="1" ht="10.75" customHeight="1" x14ac:dyDescent="0.25">
      <c r="B16" s="40" t="s">
        <v>69</v>
      </c>
      <c r="C16" s="130">
        <f>'[5]Maj Pel Combined'!$B$22</f>
        <v>0.1</v>
      </c>
      <c r="D16" s="200">
        <f>F16-VLOOKUP(B16,[4]quotas!$B$85:$W$120,2,FALSE)</f>
        <v>0</v>
      </c>
      <c r="E16" s="200">
        <f t="shared" si="3"/>
        <v>0</v>
      </c>
      <c r="F16" s="201">
        <f>VLOOKUP(B16,[4]quotas!$B$46:$W$84,2,FALSE)</f>
        <v>0.1</v>
      </c>
      <c r="G16" s="202">
        <f>VLOOKUP(B16,[4]Cumulative!$A$56:$X$91,2,FALSE)</f>
        <v>0.11</v>
      </c>
      <c r="H16" s="151">
        <f t="shared" si="2"/>
        <v>110</v>
      </c>
      <c r="I16" s="201">
        <f t="shared" si="4"/>
        <v>-9.999999999999995E-3</v>
      </c>
      <c r="J16" s="202">
        <f>VLOOKUP(B16,[4]Weeks!$A$125:$X$161,2,FALSE)-VLOOKUP(B16,[4]Weeks!$A$165:$X$200,2,FALSE)</f>
        <v>0</v>
      </c>
      <c r="K16" s="202">
        <f>VLOOKUP(B16,[4]Weeks!$A$85:$X$121,2,FALSE)-VLOOKUP(B16,[4]Weeks!$A$125:$X$161,2,FALSE)</f>
        <v>0</v>
      </c>
      <c r="L16" s="202">
        <f>VLOOKUP(B16,[4]Weeks!$A$44:$X$81,2,FALSE)-VLOOKUP(B16,[4]Weeks!$A$85:$X$121,2,FALSE)</f>
        <v>0</v>
      </c>
      <c r="M16" s="202">
        <f>VLOOKUP(B16,[4]Weeks!$A$3:$X$39,2,FALSE)-VLOOKUP(B16,[4]Weeks!$A$44:$X$81,2,FALSE)</f>
        <v>0</v>
      </c>
      <c r="N16" s="11">
        <f t="shared" si="0"/>
        <v>0</v>
      </c>
      <c r="O16" s="202">
        <f t="shared" si="1"/>
        <v>0</v>
      </c>
      <c r="P16" s="41" t="str">
        <f>IF(ISNUMBER(VLOOKUP(B16,[4]CLOSURES!B:BI,2,FALSE)),TEXT(VLOOKUP(B16,[4]CLOSURES!B:BI,2,FALSE),"ddmmm"),IF(F16&lt;=0,0,IF(I16&lt;=0,0,IF(AND(F16&gt;0,O16&lt;=0),"&gt;52",IF(I16/O16&gt;52,"&gt;52", MAX(0,I16/O16-2))))))</f>
        <v>01Jan</v>
      </c>
    </row>
    <row r="17" spans="2:16" s="2" customFormat="1" ht="10.75" customHeight="1" x14ac:dyDescent="0.25">
      <c r="B17" s="40" t="s">
        <v>70</v>
      </c>
      <c r="C17" s="130">
        <f>'[5]Maj Pel Combined'!$B$21</f>
        <v>0.1</v>
      </c>
      <c r="D17" s="200">
        <f>F17-VLOOKUP(B17,[4]quotas!$B$85:$W$120,2,FALSE)</f>
        <v>0</v>
      </c>
      <c r="E17" s="200">
        <f t="shared" si="3"/>
        <v>0</v>
      </c>
      <c r="F17" s="201">
        <f>VLOOKUP(B17,[4]quotas!$B$46:$W$84,2,FALSE)</f>
        <v>0.1</v>
      </c>
      <c r="G17" s="202">
        <f>VLOOKUP(B17,[4]Cumulative!$A$56:$X$91,2,FALSE)</f>
        <v>0</v>
      </c>
      <c r="H17" s="151">
        <f t="shared" si="2"/>
        <v>0</v>
      </c>
      <c r="I17" s="201">
        <f t="shared" si="4"/>
        <v>0.1</v>
      </c>
      <c r="J17" s="202">
        <f>VLOOKUP(B17,[4]Weeks!$A$125:$X$161,2,FALSE)-VLOOKUP(B17,[4]Weeks!$A$165:$X$200,2,FALSE)</f>
        <v>0</v>
      </c>
      <c r="K17" s="202">
        <f>VLOOKUP(B17,[4]Weeks!$A$85:$X$121,2,FALSE)-VLOOKUP(B17,[4]Weeks!$A$125:$X$161,2,FALSE)</f>
        <v>0</v>
      </c>
      <c r="L17" s="202">
        <f>VLOOKUP(B17,[4]Weeks!$A$44:$X$81,2,FALSE)-VLOOKUP(B17,[4]Weeks!$A$85:$X$121,2,FALSE)</f>
        <v>0</v>
      </c>
      <c r="M17" s="202">
        <f>VLOOKUP(B17,[4]Weeks!$A$3:$X$39,2,FALSE)-VLOOKUP(B17,[4]Weeks!$A$44:$X$81,2,FALSE)</f>
        <v>0</v>
      </c>
      <c r="N17" s="11">
        <f t="shared" si="0"/>
        <v>0</v>
      </c>
      <c r="O17" s="202">
        <f t="shared" si="1"/>
        <v>0</v>
      </c>
      <c r="P17" s="41" t="str">
        <f>IF(ISNUMBER(VLOOKUP(B17,[4]CLOSURES!B:BI,2,FALSE)),TEXT(VLOOKUP(B17,[4]CLOSURES!B:BI,2,FALSE),"ddmmm"),IF(F17&lt;=0,0,IF(I17&lt;=0,0,IF(AND(F17&gt;0,O17&lt;=0),"&gt;52",IF(I17/O17&gt;52,"&gt;52", MAX(0,I17/O17-2))))))</f>
        <v>01Jan</v>
      </c>
    </row>
    <row r="18" spans="2:16" s="2" customFormat="1" ht="10.75" customHeight="1" x14ac:dyDescent="0.25">
      <c r="B18" s="40" t="s">
        <v>71</v>
      </c>
      <c r="C18" s="130">
        <f>'[5]Maj Pel Combined'!$B$18</f>
        <v>7797.6</v>
      </c>
      <c r="D18" s="200">
        <f>F18-VLOOKUP(B18,[4]quotas!$B$85:$W$120,2,FALSE)</f>
        <v>0</v>
      </c>
      <c r="E18" s="200">
        <f t="shared" si="3"/>
        <v>0</v>
      </c>
      <c r="F18" s="201">
        <f>VLOOKUP(B18,[4]quotas!$B$46:$W$84,2,FALSE)</f>
        <v>7797.6</v>
      </c>
      <c r="G18" s="202">
        <f>VLOOKUP(B18,[4]Cumulative!$A$56:$X$91,2,FALSE)-'[4]Scentific landings'!B14+'[4]Missing WS Mac_Herr'!C4</f>
        <v>7903.7480000000005</v>
      </c>
      <c r="H18" s="151">
        <f t="shared" si="2"/>
        <v>101.36129065353443</v>
      </c>
      <c r="I18" s="201">
        <f t="shared" si="4"/>
        <v>-106.14800000000014</v>
      </c>
      <c r="J18" s="202">
        <f>VLOOKUP(B18,[4]Weeks!$A$125:$X$161,2,FALSE)-VLOOKUP(B18,[4]Weeks!$A$165:$X$200,2,FALSE)</f>
        <v>0</v>
      </c>
      <c r="K18" s="202">
        <f>VLOOKUP(B18,[4]Weeks!$A$85:$X$121,2,FALSE)-VLOOKUP(B18,[4]Weeks!$A$125:$X$161,2,FALSE)</f>
        <v>0</v>
      </c>
      <c r="L18" s="202">
        <f>VLOOKUP(B18,[4]Weeks!$A$44:$X$81,2,FALSE)-VLOOKUP(B18,[4]Weeks!$A$85:$X$121,2,FALSE)</f>
        <v>0</v>
      </c>
      <c r="M18" s="202">
        <f>VLOOKUP(B18,[4]Weeks!$A$3:$X$39,2,FALSE)-VLOOKUP(B18,[4]Weeks!$A$44:$X$81,2,FALSE)</f>
        <v>0</v>
      </c>
      <c r="N18" s="11">
        <f t="shared" si="0"/>
        <v>0</v>
      </c>
      <c r="O18" s="202">
        <f t="shared" si="1"/>
        <v>0</v>
      </c>
      <c r="P18" s="41">
        <f>IF(ISNUMBER(VLOOKUP(B18,[4]CLOSURES!B:BI,2,FALSE)),TEXT(VLOOKUP(B18,[4]CLOSURES!B:BI,2,FALSE),"ddmmm"),IF(F18&lt;=0,0,IF(I18&lt;=0,0,IF(AND(F18&gt;0,O18&lt;=0),"&gt;52",IF(I18/O18&gt;52,"&gt;52", MAX(0,I18/O18-2))))))</f>
        <v>0</v>
      </c>
    </row>
    <row r="19" spans="2:16" s="2" customFormat="1" ht="10.75" customHeight="1" x14ac:dyDescent="0.25">
      <c r="B19" s="40" t="s">
        <v>72</v>
      </c>
      <c r="C19" s="130">
        <f>'[5]Maj Pel Combined'!$B$19</f>
        <v>7316.3</v>
      </c>
      <c r="D19" s="200">
        <f>F19-VLOOKUP(B19,[4]quotas!$B$85:$W$120,2,FALSE)</f>
        <v>0</v>
      </c>
      <c r="E19" s="200">
        <f t="shared" si="3"/>
        <v>438</v>
      </c>
      <c r="F19" s="201">
        <f>VLOOKUP(B19,[4]quotas!$B$46:$W$84,2,FALSE)</f>
        <v>7754.3</v>
      </c>
      <c r="G19" s="202">
        <f>VLOOKUP(B19,[4]Cumulative!$A$56:$X$91,2,FALSE)-'[4]Scentific landings'!B15</f>
        <v>8141.9800000000005</v>
      </c>
      <c r="H19" s="151">
        <f t="shared" si="2"/>
        <v>104.99954863753014</v>
      </c>
      <c r="I19" s="201">
        <f t="shared" si="4"/>
        <v>-387.68000000000029</v>
      </c>
      <c r="J19" s="202">
        <f>VLOOKUP(B19,[4]Weeks!$A$125:$X$161,2,FALSE)-VLOOKUP(B19,[4]Weeks!$A$165:$X$200,2,FALSE)</f>
        <v>28</v>
      </c>
      <c r="K19" s="202">
        <f>VLOOKUP(B19,[4]Weeks!$A$85:$X$121,2,FALSE)-VLOOKUP(B19,[4]Weeks!$A$125:$X$161,2,FALSE)</f>
        <v>-0.5</v>
      </c>
      <c r="L19" s="202">
        <f>VLOOKUP(B19,[4]Weeks!$A$44:$X$81,2,FALSE)-VLOOKUP(B19,[4]Weeks!$A$85:$X$121,2,FALSE)</f>
        <v>0</v>
      </c>
      <c r="M19" s="202">
        <f>VLOOKUP(B19,[4]Weeks!$A$3:$X$39,2,FALSE)-VLOOKUP(B19,[4]Weeks!$A$44:$X$81,2,FALSE)</f>
        <v>0</v>
      </c>
      <c r="N19" s="11">
        <f t="shared" si="0"/>
        <v>0</v>
      </c>
      <c r="O19" s="202">
        <f t="shared" si="1"/>
        <v>6.875</v>
      </c>
      <c r="P19" s="41">
        <f>IF(ISNUMBER(VLOOKUP(B19,[4]CLOSURES!B:BI,2,FALSE)),TEXT(VLOOKUP(B19,[4]CLOSURES!B:BI,2,FALSE),"ddmmm"),IF(F19&lt;=0,0,IF(I19&lt;=0,0,IF(AND(F19&gt;0,O19&lt;=0),"&gt;52",IF(I19/O19&gt;52,"&gt;52", MAX(0,I19/O19-2))))))</f>
        <v>0</v>
      </c>
    </row>
    <row r="20" spans="2:16" s="2" customFormat="1" ht="10.75" customHeight="1" x14ac:dyDescent="0.25">
      <c r="B20" s="43" t="s">
        <v>73</v>
      </c>
      <c r="C20" s="130">
        <f>SUM(C10:C19)</f>
        <v>48417.846999999994</v>
      </c>
      <c r="D20" s="200">
        <f>SUM(D10:D19)</f>
        <v>0</v>
      </c>
      <c r="E20" s="202">
        <f>SUM(E10:E19)</f>
        <v>2266.7000000000007</v>
      </c>
      <c r="F20" s="201">
        <f>SUM(F10:F19)</f>
        <v>50684.546999999991</v>
      </c>
      <c r="G20" s="202">
        <f>SUM(G10:G19)</f>
        <v>52531.798000000003</v>
      </c>
      <c r="H20" s="151">
        <f t="shared" si="2"/>
        <v>103.64460394605086</v>
      </c>
      <c r="I20" s="201">
        <f t="shared" si="4"/>
        <v>-1847.2510000000111</v>
      </c>
      <c r="J20" s="202">
        <f t="shared" ref="J20:O20" si="5">SUM(J10:J19)</f>
        <v>392.55999999999767</v>
      </c>
      <c r="K20" s="202">
        <f t="shared" si="5"/>
        <v>5.819999999999709</v>
      </c>
      <c r="L20" s="202">
        <f t="shared" si="5"/>
        <v>0</v>
      </c>
      <c r="M20" s="202">
        <f t="shared" si="5"/>
        <v>0</v>
      </c>
      <c r="N20" s="11">
        <f t="shared" si="5"/>
        <v>0</v>
      </c>
      <c r="O20" s="202">
        <f t="shared" si="5"/>
        <v>99.594999999999345</v>
      </c>
      <c r="P20" s="41">
        <f>IF(ISNUMBER(VLOOKUP(B20,[4]CLOSURES!B:BI,2,FALSE)),TEXT(VLOOKUP(B20,[4]CLOSURES!B:BI,2,FALSE),"ddmmm"),IF(F20&lt;=0,0,IF(I20&lt;=0,0,IF(AND(F20&gt;0,O20&lt;=0),"&gt;52",IF(I20/O20&gt;52,"&gt;52", MAX(0,I20/O20-2))))))</f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f>'[5]Maj Pel Combined'!$B$5</f>
        <v>4.7359999999999998</v>
      </c>
      <c r="D22" s="200">
        <f>F22-VLOOKUP(B22,[4]quotas!$B$85:$W$120,2,FALSE)</f>
        <v>0</v>
      </c>
      <c r="E22" s="200">
        <f t="shared" ref="E22:E30" si="6">F22-C22</f>
        <v>0.5</v>
      </c>
      <c r="F22" s="201">
        <f>VLOOKUP(B22,[4]quotas!$B$46:$W$84,2,FALSE)</f>
        <v>5.2359999999999998</v>
      </c>
      <c r="G22" s="202">
        <f>VLOOKUP(B22,[4]Cumulative!$A$56:$X$91,2,FALSE)</f>
        <v>4.3682500005364417</v>
      </c>
      <c r="H22" s="151">
        <f t="shared" si="2"/>
        <v>83.427234540420969</v>
      </c>
      <c r="I22" s="201">
        <f t="shared" si="4"/>
        <v>0.86774999946355802</v>
      </c>
      <c r="J22" s="202">
        <f>VLOOKUP(B22,[4]Weeks!$A$125:$X$161,2,FALSE)-VLOOKUP(B22,[4]Weeks!$A$165:$X$200,2,FALSE)</f>
        <v>0</v>
      </c>
      <c r="K22" s="202">
        <f>VLOOKUP(B22,[4]Weeks!$A$85:$X$121,2,FALSE)-VLOOKUP(B22,[4]Weeks!$A$125:$X$161,2,FALSE)</f>
        <v>0</v>
      </c>
      <c r="L22" s="202">
        <f>VLOOKUP(B22,[4]Weeks!$A$44:$X$81,2,FALSE)-VLOOKUP(B22,[4]Weeks!$A$85:$X$121,2,FALSE)</f>
        <v>0</v>
      </c>
      <c r="M22" s="202">
        <f>VLOOKUP(B22,[4]Weeks!$A$3:$X$39,2,FALSE)-VLOOKUP(B22,[4]Weeks!$A$44:$X$81,2,FALSE)</f>
        <v>0</v>
      </c>
      <c r="N22" s="11">
        <f t="shared" ref="N22:N33" si="7">IF(C22="*","*",IF(C22&gt;0,M22/C22*100,"-"))</f>
        <v>0</v>
      </c>
      <c r="O22" s="202">
        <f t="shared" ref="O22:O33" si="8">IF(C22="*","*",SUM(J22:M22)/4)</f>
        <v>0</v>
      </c>
      <c r="P22" s="41" t="str">
        <f>IF(ISNUMBER(VLOOKUP(B22,[4]CLOSURES!B:BI,2,FALSE)),TEXT(VLOOKUP(B22,[4]CLOSURES!B:BI,2,FALSE),"ddmmm"),IF(F22&lt;=0,0,IF(I22&lt;=0,0,IF(AND(F22&gt;0,O22&lt;=0),"&gt;52",IF(I22/O22&gt;52,"&gt;52", MAX(0,I22/O22-2))))))</f>
        <v>&gt;52</v>
      </c>
    </row>
    <row r="23" spans="2:16" s="2" customFormat="1" ht="10.75" customHeight="1" x14ac:dyDescent="0.25">
      <c r="B23" s="40" t="s">
        <v>75</v>
      </c>
      <c r="C23" s="130">
        <f>'[5]Maj Pel Combined'!$B$7</f>
        <v>112.509</v>
      </c>
      <c r="D23" s="200">
        <f>F23-VLOOKUP(B23,[4]quotas!$B$85:$W$120,2,FALSE)</f>
        <v>0</v>
      </c>
      <c r="E23" s="200">
        <f>F23-C23</f>
        <v>-109.4</v>
      </c>
      <c r="F23" s="201">
        <f>VLOOKUP(B23,[4]quotas!$B$46:$W$84,2,FALSE)</f>
        <v>3.1089999999999947</v>
      </c>
      <c r="G23" s="202">
        <f>VLOOKUP(B23,[4]Cumulative!$A$56:$X$91,2,FALSE)</f>
        <v>0.24299999999999999</v>
      </c>
      <c r="H23" s="151">
        <f>IF(AND(F23=0,G23&gt;0),"n/a",IF(F23=0,0,100*G23/F23))</f>
        <v>7.8160180122225933</v>
      </c>
      <c r="I23" s="201">
        <f>IF(F23="*","*",F23-G23)</f>
        <v>2.8659999999999948</v>
      </c>
      <c r="J23" s="202">
        <f>VLOOKUP(B23,[4]Weeks!$A$125:$X$161,2,FALSE)-VLOOKUP(B23,[4]Weeks!$A$165:$X$200,2,FALSE)</f>
        <v>0</v>
      </c>
      <c r="K23" s="202">
        <f>VLOOKUP(B23,[4]Weeks!$A$85:$X$121,2,FALSE)-VLOOKUP(B23,[4]Weeks!$A$125:$X$161,2,FALSE)</f>
        <v>0</v>
      </c>
      <c r="L23" s="202">
        <f>VLOOKUP(B23,[4]Weeks!$A$44:$X$81,2,FALSE)-VLOOKUP(B23,[4]Weeks!$A$85:$X$121,2,FALSE)</f>
        <v>0</v>
      </c>
      <c r="M23" s="202">
        <f>VLOOKUP(B23,[4]Weeks!$A$3:$X$39,2,FALSE)-VLOOKUP(B23,[4]Weeks!$A$44:$X$81,2,FALSE)</f>
        <v>0</v>
      </c>
      <c r="N23" s="11">
        <f>IF(C23="*","*",IF(C23&gt;0,M23/C23*100,"-"))</f>
        <v>0</v>
      </c>
      <c r="O23" s="202">
        <f>IF(C23="*","*",SUM(J23:M23)/4)</f>
        <v>0</v>
      </c>
      <c r="P23" s="41" t="str">
        <f>IF(ISNUMBER(VLOOKUP(B23,[4]CLOSURES!B:BI,2,FALSE)),TEXT(VLOOKUP(B23,[4]CLOSURES!B:BI,2,FALSE),"ddmmm"),IF(F23&lt;=0,0,IF(I23&lt;=0,0,IF(AND(F23&gt;0,O23&lt;=0),"&gt;52",IF(I23/O23&gt;52,"&gt;52", MAX(0,I23/O23-2))))))</f>
        <v>&gt;52</v>
      </c>
    </row>
    <row r="24" spans="2:16" s="2" customFormat="1" ht="10.75" customHeight="1" x14ac:dyDescent="0.25">
      <c r="B24" s="40" t="s">
        <v>152</v>
      </c>
      <c r="C24" s="130">
        <f>'[5]Maj Pel Combined'!$B$8</f>
        <v>0</v>
      </c>
      <c r="D24" s="200">
        <f>F24-VLOOKUP(B24,[4]quotas!$B$85:$W$120,2,FALSE)</f>
        <v>0</v>
      </c>
      <c r="E24" s="200">
        <f>F24-C24</f>
        <v>0</v>
      </c>
      <c r="F24" s="201">
        <f>VLOOKUP(B24,[4]quotas!$B$46:$W$84,2,FALSE)</f>
        <v>0</v>
      </c>
      <c r="G24" s="202">
        <f>VLOOKUP(B24,[4]Cumulative!$A$56:$X$91,2,FALSE)</f>
        <v>0</v>
      </c>
      <c r="H24" s="151">
        <f>IF(AND(F24=0,G24&gt;0),"n/a",IF(F24=0,0,100*G24/F24))</f>
        <v>0</v>
      </c>
      <c r="I24" s="201">
        <f>IF(F24="*","*",F24-G24)</f>
        <v>0</v>
      </c>
      <c r="J24" s="202">
        <f>VLOOKUP(B24,[4]Weeks!$A$125:$X$161,2,FALSE)-VLOOKUP(B24,[4]Weeks!$A$165:$X$200,2,FALSE)</f>
        <v>0</v>
      </c>
      <c r="K24" s="202">
        <f>VLOOKUP(B24,[4]Weeks!$A$85:$X$121,2,FALSE)-VLOOKUP(B24,[4]Weeks!$A$125:$X$161,2,FALSE)</f>
        <v>0</v>
      </c>
      <c r="L24" s="202">
        <f>VLOOKUP(B24,[4]Weeks!$A$44:$X$81,2,FALSE)-VLOOKUP(B24,[4]Weeks!$A$85:$X$121,2,FALSE)</f>
        <v>0</v>
      </c>
      <c r="M24" s="202">
        <f>VLOOKUP(B24,[4]Weeks!$A$3:$X$39,2,FALSE)-VLOOKUP(B24,[4]Weeks!$A$44:$X$81,2,FALSE)</f>
        <v>0</v>
      </c>
      <c r="N24" s="11" t="str">
        <f>IF(C24="*","*",IF(C24&gt;0,M24/C24*100,"-"))</f>
        <v>-</v>
      </c>
      <c r="O24" s="202">
        <f>IF(C24="*","*",SUM(J24:M24)/4)</f>
        <v>0</v>
      </c>
      <c r="P24" s="41">
        <f>IF(ISNUMBER(VLOOKUP(B24,[4]CLOSURES!B:BI,2,FALSE)),TEXT(VLOOKUP(B24,[4]CLOSURES!B:BI,2,FALSE),"ddmmm"),IF(F24&lt;=0,0,IF(I24&lt;=0,0,IF(AND(F24&gt;0,O24&lt;=0),"&gt;52",IF(I24/O24&gt;52,"&gt;52", MAX(0,I24/O24-2))))))</f>
        <v>0</v>
      </c>
    </row>
    <row r="25" spans="2:16" s="2" customFormat="1" ht="10.75" customHeight="1" x14ac:dyDescent="0.25">
      <c r="B25" s="40" t="s">
        <v>76</v>
      </c>
      <c r="C25" s="130">
        <f>'[5]Maj Pel Combined'!$B$9</f>
        <v>0.13600000000000001</v>
      </c>
      <c r="D25" s="200">
        <f>F25-VLOOKUP(B25,[4]quotas!$B$85:$W$120,2,FALSE)</f>
        <v>0</v>
      </c>
      <c r="E25" s="200">
        <f t="shared" si="6"/>
        <v>0</v>
      </c>
      <c r="F25" s="201">
        <f>VLOOKUP(B25,[4]quotas!$B$46:$W$84,2,FALSE)</f>
        <v>0.13600000000000001</v>
      </c>
      <c r="G25" s="202">
        <f>VLOOKUP(B25,[4]Cumulative!$A$56:$X$91,2,FALSE)</f>
        <v>0</v>
      </c>
      <c r="H25" s="151">
        <f t="shared" si="2"/>
        <v>0</v>
      </c>
      <c r="I25" s="201">
        <f t="shared" si="4"/>
        <v>0.13600000000000001</v>
      </c>
      <c r="J25" s="202">
        <f>VLOOKUP(B25,[4]Weeks!$A$125:$X$161,2,FALSE)-VLOOKUP(B25,[4]Weeks!$A$165:$X$200,2,FALSE)</f>
        <v>0</v>
      </c>
      <c r="K25" s="202">
        <f>VLOOKUP(B25,[4]Weeks!$A$85:$X$121,2,FALSE)-VLOOKUP(B25,[4]Weeks!$A$125:$X$161,2,FALSE)</f>
        <v>0</v>
      </c>
      <c r="L25" s="202">
        <f>VLOOKUP(B25,[4]Weeks!$A$44:$X$81,2,FALSE)-VLOOKUP(B25,[4]Weeks!$A$85:$X$121,2,FALSE)</f>
        <v>0</v>
      </c>
      <c r="M25" s="202">
        <f>VLOOKUP(B25,[4]Weeks!$A$3:$X$39,2,FALSE)-VLOOKUP(B25,[4]Weeks!$A$44:$X$81,2,FALSE)</f>
        <v>0</v>
      </c>
      <c r="N25" s="11">
        <f t="shared" si="7"/>
        <v>0</v>
      </c>
      <c r="O25" s="202">
        <f t="shared" si="8"/>
        <v>0</v>
      </c>
      <c r="P25" s="41" t="str">
        <f>IF(ISNUMBER(VLOOKUP(B25,[4]CLOSURES!B:BI,2,FALSE)),TEXT(VLOOKUP(B25,[4]CLOSURES!B:BI,2,FALSE),"ddmmm"),IF(F25&lt;=0,0,IF(I25&lt;=0,0,IF(AND(F25&gt;0,O25&lt;=0),"&gt;52",IF(I25/O25&gt;52,"&gt;52", MAX(0,I25/O25-2))))))</f>
        <v>&gt;52</v>
      </c>
    </row>
    <row r="26" spans="2:16" s="2" customFormat="1" ht="10.75" customHeight="1" x14ac:dyDescent="0.25">
      <c r="B26" s="40" t="s">
        <v>77</v>
      </c>
      <c r="C26" s="130">
        <f>'[5]Maj Pel Combined'!$B$27</f>
        <v>379.02100000000002</v>
      </c>
      <c r="D26" s="200">
        <f>F26-VLOOKUP(B26,[4]quotas!$B$85:$W$120,2,FALSE)</f>
        <v>0</v>
      </c>
      <c r="E26" s="200">
        <f t="shared" si="6"/>
        <v>-350</v>
      </c>
      <c r="F26" s="201">
        <f>VLOOKUP(B26,[4]quotas!$B$46:$W$84,2,FALSE)</f>
        <v>29.021000000000015</v>
      </c>
      <c r="G26" s="202">
        <f>VLOOKUP(B26,[4]Cumulative!$A$56:$X$91,2,FALSE)</f>
        <v>10.329000000000001</v>
      </c>
      <c r="H26" s="151">
        <f t="shared" si="2"/>
        <v>35.591468247131374</v>
      </c>
      <c r="I26" s="201">
        <f t="shared" si="4"/>
        <v>18.692000000000014</v>
      </c>
      <c r="J26" s="202">
        <f>VLOOKUP(B26,[4]Weeks!$A$125:$X$161,2,FALSE)-VLOOKUP(B26,[4]Weeks!$A$165:$X$200,2,FALSE)</f>
        <v>0</v>
      </c>
      <c r="K26" s="202">
        <f>VLOOKUP(B26,[4]Weeks!$A$85:$X$121,2,FALSE)-VLOOKUP(B26,[4]Weeks!$A$125:$X$161,2,FALSE)</f>
        <v>0</v>
      </c>
      <c r="L26" s="202">
        <f>VLOOKUP(B26,[4]Weeks!$A$44:$X$81,2,FALSE)-VLOOKUP(B26,[4]Weeks!$A$85:$X$121,2,FALSE)</f>
        <v>0</v>
      </c>
      <c r="M26" s="202">
        <f>VLOOKUP(B26,[4]Weeks!$A$3:$X$39,2,FALSE)-VLOOKUP(B26,[4]Weeks!$A$44:$X$81,2,FALSE)</f>
        <v>0</v>
      </c>
      <c r="N26" s="11">
        <f t="shared" si="7"/>
        <v>0</v>
      </c>
      <c r="O26" s="202">
        <f t="shared" si="8"/>
        <v>0</v>
      </c>
      <c r="P26" s="41" t="str">
        <f>IF(ISNUMBER(VLOOKUP(B26,[4]CLOSURES!B:BI,2,FALSE)),TEXT(VLOOKUP(B26,[4]CLOSURES!B:BI,2,FALSE),"ddmmm"),IF(F26&lt;=0,0,IF(I26&lt;=0,0,IF(AND(F26&gt;0,O26&lt;=0),"&gt;52",IF(I26/O26&gt;52,"&gt;52", MAX(0,I26/O26-2))))))</f>
        <v>&gt;52</v>
      </c>
    </row>
    <row r="27" spans="2:16" s="2" customFormat="1" ht="10.75" customHeight="1" x14ac:dyDescent="0.25">
      <c r="B27" s="40" t="s">
        <v>78</v>
      </c>
      <c r="C27" s="130">
        <f>'[5]Maj Pel Combined'!$B$26</f>
        <v>6524.5789999999997</v>
      </c>
      <c r="D27" s="200">
        <f>F27-VLOOKUP(B27,[4]quotas!$B$85:$W$120,2,FALSE)</f>
        <v>0</v>
      </c>
      <c r="E27" s="200">
        <f t="shared" si="6"/>
        <v>320</v>
      </c>
      <c r="F27" s="201">
        <f>VLOOKUP(B27,[4]quotas!$B$46:$W$84,2,FALSE)</f>
        <v>6844.5789999999997</v>
      </c>
      <c r="G27" s="202">
        <f>VLOOKUP(B27,[4]Cumulative!$A$56:$X$91,2,FALSE)-'[4]Scentific landings'!B23</f>
        <v>5197.1490019531248</v>
      </c>
      <c r="H27" s="151">
        <f t="shared" si="2"/>
        <v>75.930879049728617</v>
      </c>
      <c r="I27" s="201">
        <f t="shared" si="4"/>
        <v>1647.429998046875</v>
      </c>
      <c r="J27" s="202">
        <f>VLOOKUP(B27,[4]Weeks!$A$125:$X$161,2,FALSE)-VLOOKUP(B27,[4]Weeks!$A$165:$X$200,2,FALSE)</f>
        <v>0</v>
      </c>
      <c r="K27" s="202">
        <f>VLOOKUP(B27,[4]Weeks!$A$85:$X$121,2,FALSE)-VLOOKUP(B27,[4]Weeks!$A$125:$X$161,2,FALSE)</f>
        <v>0</v>
      </c>
      <c r="L27" s="202">
        <f>VLOOKUP(B27,[4]Weeks!$A$44:$X$81,2,FALSE)-VLOOKUP(B27,[4]Weeks!$A$85:$X$121,2,FALSE)</f>
        <v>0</v>
      </c>
      <c r="M27" s="202">
        <f>VLOOKUP(B27,[4]Weeks!$A$3:$X$39,2,FALSE)-VLOOKUP(B27,[4]Weeks!$A$44:$X$81,2,FALSE)</f>
        <v>0</v>
      </c>
      <c r="N27" s="11">
        <f t="shared" si="7"/>
        <v>0</v>
      </c>
      <c r="O27" s="202">
        <f t="shared" si="8"/>
        <v>0</v>
      </c>
      <c r="P27" s="41" t="str">
        <f>IF(ISNUMBER(VLOOKUP(B27,[4]CLOSURES!B:BI,2,FALSE)),TEXT(VLOOKUP(B27,[4]CLOSURES!B:BI,2,FALSE),"ddmmm"),IF(F27&lt;=0,0,IF(I27&lt;=0,0,IF(AND(F27&gt;0,O27&lt;=0),"&gt;52",IF(I27/O27&gt;52,"&gt;52", MAX(0,I27/O27-2))))))</f>
        <v>&gt;52</v>
      </c>
    </row>
    <row r="28" spans="2:16" s="2" customFormat="1" ht="10.75" customHeight="1" x14ac:dyDescent="0.25">
      <c r="B28" s="40" t="s">
        <v>79</v>
      </c>
      <c r="C28" s="130">
        <f>'[5]Maj Pel Combined'!$B$6</f>
        <v>0</v>
      </c>
      <c r="D28" s="200">
        <f>F28-VLOOKUP(B28,[4]quotas!$B$85:$W$120,2,FALSE)</f>
        <v>0</v>
      </c>
      <c r="E28" s="200">
        <f t="shared" si="6"/>
        <v>0</v>
      </c>
      <c r="F28" s="201">
        <f>VLOOKUP(B28,[4]quotas!$B$46:$W$84,2,FALSE)</f>
        <v>0</v>
      </c>
      <c r="G28" s="202">
        <f>VLOOKUP(B28,[4]Cumulative!$A$56:$X$91,2,FALSE)</f>
        <v>0</v>
      </c>
      <c r="H28" s="151">
        <f t="shared" si="2"/>
        <v>0</v>
      </c>
      <c r="I28" s="201">
        <f t="shared" si="4"/>
        <v>0</v>
      </c>
      <c r="J28" s="202">
        <f>VLOOKUP(B28,[4]Weeks!$A$125:$X$161,2,FALSE)-VLOOKUP(B28,[4]Weeks!$A$165:$X$200,2,FALSE)</f>
        <v>0</v>
      </c>
      <c r="K28" s="202">
        <f>VLOOKUP(B28,[4]Weeks!$A$85:$X$121,2,FALSE)-VLOOKUP(B28,[4]Weeks!$A$125:$X$161,2,FALSE)</f>
        <v>0</v>
      </c>
      <c r="L28" s="202">
        <f>VLOOKUP(B28,[4]Weeks!$A$44:$X$81,2,FALSE)-VLOOKUP(B28,[4]Weeks!$A$85:$X$121,2,FALSE)</f>
        <v>0</v>
      </c>
      <c r="M28" s="202">
        <f>VLOOKUP(B28,[4]Weeks!$A$3:$X$39,2,FALSE)-VLOOKUP(B28,[4]Weeks!$A$44:$X$81,2,FALSE)</f>
        <v>0</v>
      </c>
      <c r="N28" s="11" t="str">
        <f t="shared" si="7"/>
        <v>-</v>
      </c>
      <c r="O28" s="202">
        <f t="shared" si="8"/>
        <v>0</v>
      </c>
      <c r="P28" s="41">
        <f>IF(ISNUMBER(VLOOKUP(B28,[4]CLOSURES!B:BI,2,FALSE)),TEXT(VLOOKUP(B28,[4]CLOSURES!B:BI,2,FALSE),"ddmmm"),IF(F28&lt;=0,0,IF(I28&lt;=0,0,IF(AND(F28&gt;0,O28&lt;=0),"&gt;52",IF(I28/O28&gt;52,"&gt;52", MAX(0,I28/O28-2))))))</f>
        <v>0</v>
      </c>
    </row>
    <row r="29" spans="2:16" s="2" customFormat="1" ht="10.75" customHeight="1" x14ac:dyDescent="0.25">
      <c r="B29" s="40" t="s">
        <v>80</v>
      </c>
      <c r="C29" s="130">
        <f>'[5]Maj Pel Combined'!$B$14</f>
        <v>0</v>
      </c>
      <c r="D29" s="200">
        <f>F29-VLOOKUP(B29,[4]quotas!$B$85:$W$120,2,FALSE)</f>
        <v>0</v>
      </c>
      <c r="E29" s="200">
        <f t="shared" si="6"/>
        <v>0</v>
      </c>
      <c r="F29" s="201">
        <f>VLOOKUP(B29,[4]quotas!$B$46:$W$84,2,FALSE)</f>
        <v>0</v>
      </c>
      <c r="G29" s="202">
        <f>VLOOKUP(B29,[4]Cumulative!$A$56:$X$91,2,FALSE)</f>
        <v>0</v>
      </c>
      <c r="H29" s="151">
        <f t="shared" si="2"/>
        <v>0</v>
      </c>
      <c r="I29" s="201">
        <f t="shared" si="4"/>
        <v>0</v>
      </c>
      <c r="J29" s="202">
        <f>VLOOKUP(B29,[4]Weeks!$A$125:$X$161,2,FALSE)-VLOOKUP(B29,[4]Weeks!$A$165:$X$200,2,FALSE)</f>
        <v>0</v>
      </c>
      <c r="K29" s="202">
        <f>VLOOKUP(B29,[4]Weeks!$A$85:$X$121,2,FALSE)-VLOOKUP(B29,[4]Weeks!$A$125:$X$161,2,FALSE)</f>
        <v>0</v>
      </c>
      <c r="L29" s="202">
        <f>VLOOKUP(B29,[4]Weeks!$A$44:$X$81,2,FALSE)-VLOOKUP(B29,[4]Weeks!$A$85:$X$121,2,FALSE)</f>
        <v>0</v>
      </c>
      <c r="M29" s="202">
        <f>VLOOKUP(B29,[4]Weeks!$A$3:$X$39,2,FALSE)-VLOOKUP(B29,[4]Weeks!$A$44:$X$81,2,FALSE)</f>
        <v>0</v>
      </c>
      <c r="N29" s="11" t="str">
        <f t="shared" si="7"/>
        <v>-</v>
      </c>
      <c r="O29" s="202">
        <f t="shared" si="8"/>
        <v>0</v>
      </c>
      <c r="P29" s="41">
        <f>IF(ISNUMBER(VLOOKUP(B29,[4]CLOSURES!B:BI,2,FALSE)),TEXT(VLOOKUP(B29,[4]CLOSURES!B:BI,2,FALSE),"ddmmm"),IF(F29&lt;=0,0,IF(I29&lt;=0,0,IF(AND(F29&gt;0,O29&lt;=0),"&gt;52",IF(I29/O29&gt;52,"&gt;52", MAX(0,I29/O29-2))))))</f>
        <v>0</v>
      </c>
    </row>
    <row r="30" spans="2:16" s="2" customFormat="1" ht="10.75" customHeight="1" x14ac:dyDescent="0.25">
      <c r="B30" s="40" t="s">
        <v>81</v>
      </c>
      <c r="C30" s="130">
        <f>'[5]Maj Pel Combined'!$B$13</f>
        <v>0.59199999999999997</v>
      </c>
      <c r="D30" s="200">
        <f>F30-VLOOKUP(B30,[4]quotas!$B$85:$W$120,2,FALSE)</f>
        <v>0</v>
      </c>
      <c r="E30" s="200">
        <f t="shared" si="6"/>
        <v>30</v>
      </c>
      <c r="F30" s="201">
        <f>VLOOKUP(B30,[4]quotas!$B$46:$W$84,2,FALSE)</f>
        <v>30.591999999999999</v>
      </c>
      <c r="G30" s="202">
        <f>VLOOKUP(B30,[4]Cumulative!$A$56:$X$91,2,FALSE)</f>
        <v>0</v>
      </c>
      <c r="H30" s="151">
        <f t="shared" si="2"/>
        <v>0</v>
      </c>
      <c r="I30" s="201">
        <f t="shared" si="4"/>
        <v>30.591999999999999</v>
      </c>
      <c r="J30" s="202">
        <f>VLOOKUP(B30,[4]Weeks!$A$125:$X$161,2,FALSE)-VLOOKUP(B30,[4]Weeks!$A$165:$X$200,2,FALSE)</f>
        <v>0</v>
      </c>
      <c r="K30" s="202">
        <f>VLOOKUP(B30,[4]Weeks!$A$85:$X$121,2,FALSE)-VLOOKUP(B30,[4]Weeks!$A$125:$X$161,2,FALSE)</f>
        <v>0</v>
      </c>
      <c r="L30" s="202">
        <f>VLOOKUP(B30,[4]Weeks!$A$44:$X$81,2,FALSE)-VLOOKUP(B30,[4]Weeks!$A$85:$X$121,2,FALSE)</f>
        <v>0</v>
      </c>
      <c r="M30" s="202">
        <f>VLOOKUP(B30,[4]Weeks!$A$3:$X$39,2,FALSE)-VLOOKUP(B30,[4]Weeks!$A$44:$X$81,2,FALSE)</f>
        <v>0</v>
      </c>
      <c r="N30" s="11">
        <f t="shared" si="7"/>
        <v>0</v>
      </c>
      <c r="O30" s="202">
        <f t="shared" si="8"/>
        <v>0</v>
      </c>
      <c r="P30" s="41" t="str">
        <f>IF(ISNUMBER(VLOOKUP(B30,[4]CLOSURES!B:BI,2,FALSE)),TEXT(VLOOKUP(B30,[4]CLOSURES!B:BI,2,FALSE),"ddmmm"),IF(F30&lt;=0,0,IF(I30&lt;=0,0,IF(AND(F30&gt;0,O30&lt;=0),"&gt;52",IF(I30/O30&gt;52,"&gt;52", MAX(0,I30/O30-2))))))</f>
        <v>&gt;52</v>
      </c>
    </row>
    <row r="31" spans="2:16" s="2" customFormat="1" ht="10.75" customHeight="1" x14ac:dyDescent="0.25">
      <c r="B31" s="152" t="s">
        <v>82</v>
      </c>
      <c r="C31" s="130">
        <f>'[5]Maj Pel Combined'!$B$11</f>
        <v>0</v>
      </c>
      <c r="D31" s="200">
        <f>F31-VLOOKUP(B31,[4]quotas!$B$85:$W$120,2,FALSE)</f>
        <v>0</v>
      </c>
      <c r="E31" s="200">
        <f>F31-C31</f>
        <v>0</v>
      </c>
      <c r="F31" s="201">
        <f>VLOOKUP(B31,[4]quotas!$B$46:$W$84,2,FALSE)</f>
        <v>0</v>
      </c>
      <c r="G31" s="202">
        <f>VLOOKUP(B31,[4]Cumulative!$A$56:$X$91,2,FALSE)</f>
        <v>0</v>
      </c>
      <c r="H31" s="151">
        <f>IF(AND(F31=0,G31&gt;0),"n/a",IF(F31=0,0,100*G31/F31))</f>
        <v>0</v>
      </c>
      <c r="I31" s="201">
        <f>IF(F31="*","*",F31-G31)</f>
        <v>0</v>
      </c>
      <c r="J31" s="202">
        <f>VLOOKUP(B31,[4]Weeks!$A$125:$X$161,2,FALSE)-VLOOKUP(B31,[4]Weeks!$A$165:$X$200,2,FALSE)</f>
        <v>0</v>
      </c>
      <c r="K31" s="202">
        <f>VLOOKUP(B31,[4]Weeks!$A$85:$X$121,2,FALSE)-VLOOKUP(B31,[4]Weeks!$A$125:$X$161,2,FALSE)</f>
        <v>0</v>
      </c>
      <c r="L31" s="202">
        <f>VLOOKUP(B31,[4]Weeks!$A$44:$X$81,2,FALSE)-VLOOKUP(B31,[4]Weeks!$A$85:$X$121,2,FALSE)</f>
        <v>0</v>
      </c>
      <c r="M31" s="202">
        <f>VLOOKUP(B31,[4]Weeks!$A$3:$X$39,2,FALSE)-VLOOKUP(B31,[4]Weeks!$A$44:$X$81,2,FALSE)</f>
        <v>0</v>
      </c>
      <c r="N31" s="11" t="str">
        <f>IF(C31="*","*",IF(C31&gt;0,M31/C31*100,"-"))</f>
        <v>-</v>
      </c>
      <c r="O31" s="202">
        <f>IF(C31="*","*",SUM(J31:M31)/4)</f>
        <v>0</v>
      </c>
      <c r="P31" s="41">
        <f>IF(ISNUMBER(VLOOKUP(B31,[4]CLOSURES!B:BI,2,FALSE)),TEXT(VLOOKUP(B31,[4]CLOSURES!B:BI,2,FALSE),"ddmmm"),IF(F31&lt;=0,0,IF(I31&lt;=0,0,IF(AND(F31&gt;0,O31&lt;=0),"&gt;52",IF(I31/O31&gt;52,"&gt;52", MAX(0,I31/O31-2))))))</f>
        <v>0</v>
      </c>
    </row>
    <row r="32" spans="2:16" s="2" customFormat="1" ht="10.75" customHeight="1" x14ac:dyDescent="0.25">
      <c r="B32" s="152" t="s">
        <v>83</v>
      </c>
      <c r="C32" s="130">
        <f>'[5]Maj Pel Combined'!$B$15</f>
        <v>0</v>
      </c>
      <c r="D32" s="200">
        <f>F32-VLOOKUP(B32,[4]quotas!$B$85:$W$120,2,FALSE)</f>
        <v>0</v>
      </c>
      <c r="E32" s="200">
        <f>F32-C32</f>
        <v>0</v>
      </c>
      <c r="F32" s="201">
        <f>VLOOKUP(B32,[4]quotas!$B$46:$W$84,2,FALSE)</f>
        <v>0</v>
      </c>
      <c r="G32" s="202">
        <f>VLOOKUP(B32,[4]Cumulative!$A$56:$X$91,2,FALSE)</f>
        <v>0</v>
      </c>
      <c r="H32" s="151">
        <f>IF(AND(F32=0,G32&gt;0),"n/a",IF(F32=0,0,100*G32/F32))</f>
        <v>0</v>
      </c>
      <c r="I32" s="201">
        <f>IF(F32="*","*",F32-G32)</f>
        <v>0</v>
      </c>
      <c r="J32" s="202">
        <f>VLOOKUP(B32,[4]Weeks!$A$125:$X$161,2,FALSE)-VLOOKUP(B32,[4]Weeks!$A$165:$X$200,2,FALSE)</f>
        <v>0</v>
      </c>
      <c r="K32" s="202">
        <f>VLOOKUP(B32,[4]Weeks!$A$85:$X$121,2,FALSE)-VLOOKUP(B32,[4]Weeks!$A$125:$X$161,2,FALSE)</f>
        <v>0</v>
      </c>
      <c r="L32" s="202">
        <f>VLOOKUP(B32,[4]Weeks!$A$44:$X$81,2,FALSE)-VLOOKUP(B32,[4]Weeks!$A$85:$X$121,2,FALSE)</f>
        <v>0</v>
      </c>
      <c r="M32" s="202">
        <f>VLOOKUP(B32,[4]Weeks!$A$3:$X$39,2,FALSE)-VLOOKUP(B32,[4]Weeks!$A$44:$X$81,2,FALSE)</f>
        <v>0</v>
      </c>
      <c r="N32" s="11" t="str">
        <f>IF(C32="*","*",IF(C32&gt;0,M32/C32*100,"-"))</f>
        <v>-</v>
      </c>
      <c r="O32" s="202">
        <f t="shared" si="8"/>
        <v>0</v>
      </c>
      <c r="P32" s="41" t="str">
        <f>IF(ISNUMBER(VLOOKUP(B32,[4]CLOSURES!B:BI,2,FALSE)),TEXT(VLOOKUP(B32,[4]CLOSURES!B:BI,2,FALSE),"ddmmm"),IF(F32&lt;=0,0,IF(I32&lt;=0,0,IF(AND(F32&gt;0,O32&lt;=0),"&gt;52",IF(I32/O32&gt;52,"&gt;52", MAX(0,I32/O32-2))))))</f>
        <v>01Jan</v>
      </c>
    </row>
    <row r="33" spans="1:18" ht="10.75" customHeight="1" x14ac:dyDescent="0.3">
      <c r="A33" s="199"/>
      <c r="B33" s="40" t="s">
        <v>84</v>
      </c>
      <c r="C33" s="130">
        <f>'[5]Maj Pel Combined'!$B$10</f>
        <v>7007.8710000000001</v>
      </c>
      <c r="D33" s="200">
        <f>F33-VLOOKUP(B33,[4]quotas!$B$85:$W$120,2,FALSE)</f>
        <v>0</v>
      </c>
      <c r="E33" s="200">
        <f>F33-C33</f>
        <v>1351.4000000000005</v>
      </c>
      <c r="F33" s="201">
        <f>VLOOKUP(B33,[4]quotas!$B$46:$W$84,2,FALSE)</f>
        <v>8359.2710000000006</v>
      </c>
      <c r="G33" s="202">
        <f>VLOOKUP(B33,[4]Cumulative!$A$56:$X$91,2,FALSE)-'[4]Scentific landings'!B29</f>
        <v>9329.4299999999985</v>
      </c>
      <c r="H33" s="151">
        <f t="shared" si="2"/>
        <v>111.60578476281003</v>
      </c>
      <c r="I33" s="201">
        <f>IF(F33="*","*",F33-G33)</f>
        <v>-970.15899999999783</v>
      </c>
      <c r="J33" s="202">
        <f>VLOOKUP(B33,[4]Weeks!$A$125:$X$161,2,FALSE)-VLOOKUP(B33,[4]Weeks!$A$165:$X$200,2,FALSE)</f>
        <v>0</v>
      </c>
      <c r="K33" s="202">
        <f>VLOOKUP(B33,[4]Weeks!$A$85:$X$121,2,FALSE)-VLOOKUP(B33,[4]Weeks!$A$125:$X$161,2,FALSE)</f>
        <v>0</v>
      </c>
      <c r="L33" s="202">
        <f>VLOOKUP(B33,[4]Weeks!$A$44:$X$81,2,FALSE)-VLOOKUP(B33,[4]Weeks!$A$85:$X$121,2,FALSE)</f>
        <v>0</v>
      </c>
      <c r="M33" s="202">
        <f>VLOOKUP(B33,[4]Weeks!$A$3:$X$39,2,FALSE)-VLOOKUP(B33,[4]Weeks!$A$44:$X$81,2,FALSE)</f>
        <v>0</v>
      </c>
      <c r="N33" s="11">
        <f t="shared" si="7"/>
        <v>0</v>
      </c>
      <c r="O33" s="202">
        <f t="shared" si="8"/>
        <v>0</v>
      </c>
      <c r="P33" s="41">
        <f>IF(ISNUMBER(VLOOKUP(B33,[4]CLOSURES!B:BI,2,FALSE)),TEXT(VLOOKUP(B33,[4]CLOSURES!B:BI,2,FALSE),"ddmmm"),IF(F33&lt;=0,0,IF(I33&lt;=0,0,IF(AND(F33&gt;0,O33&lt;=0),"&gt;52",IF(I33/O33&gt;52,"&gt;52", MAX(0,I33/O33-2))))))</f>
        <v>0</v>
      </c>
    </row>
    <row r="34" spans="1:18" ht="10.75" customHeight="1" x14ac:dyDescent="0.3">
      <c r="B34" s="40" t="s">
        <v>85</v>
      </c>
      <c r="C34" s="130">
        <f>'[5]Maj Pel Combined'!$B$12</f>
        <v>9954.9840000000004</v>
      </c>
      <c r="D34" s="200">
        <f>F34-VLOOKUP(B34,[4]quotas!$B$85:$W$120,2,FALSE)</f>
        <v>0</v>
      </c>
      <c r="E34" s="200">
        <f>F34-C34</f>
        <v>834</v>
      </c>
      <c r="F34" s="201">
        <f>VLOOKUP(B34,[4]quotas!$B$46:$W$84,2,FALSE)</f>
        <v>10788.984</v>
      </c>
      <c r="G34" s="202">
        <f>VLOOKUP(B34,[4]Cumulative!$A$56:$X$91,2,FALSE)</f>
        <v>10427.798879521484</v>
      </c>
      <c r="H34" s="151">
        <f t="shared" si="2"/>
        <v>96.652278653128818</v>
      </c>
      <c r="I34" s="201">
        <f>IF(F34="*","*",F34-G34)</f>
        <v>361.18512047851618</v>
      </c>
      <c r="J34" s="202">
        <f>VLOOKUP(B34,[4]Weeks!$A$125:$X$161,2,FALSE)-VLOOKUP(B34,[4]Weeks!$A$165:$X$200,2,FALSE)</f>
        <v>0</v>
      </c>
      <c r="K34" s="202">
        <f>VLOOKUP(B34,[4]Weeks!$A$85:$X$121,2,FALSE)-VLOOKUP(B34,[4]Weeks!$A$125:$X$161,2,FALSE)</f>
        <v>271.34295935058617</v>
      </c>
      <c r="L34" s="202">
        <f>VLOOKUP(B34,[4]Weeks!$A$44:$X$81,2,FALSE)-VLOOKUP(B34,[4]Weeks!$A$85:$X$121,2,FALSE)</f>
        <v>-663.00000499999805</v>
      </c>
      <c r="M34" s="202">
        <f>VLOOKUP(B34,[4]Weeks!$A$3:$X$39,2,FALSE)-VLOOKUP(B34,[4]Weeks!$A$44:$X$81,2,FALSE)</f>
        <v>0</v>
      </c>
      <c r="N34" s="11">
        <f>IF(C34="*","*",IF(C34&gt;0,M34/C34*100,"-"))</f>
        <v>0</v>
      </c>
      <c r="O34" s="202">
        <f>IF(C34="*","*",SUM(J34:M34)/4)</f>
        <v>-97.914261412352971</v>
      </c>
      <c r="P34" s="41" t="str">
        <f>IF(ISNUMBER(VLOOKUP(B34,[4]CLOSURES!B:BI,2,FALSE)),TEXT(VLOOKUP(B34,[4]CLOSURES!B:BI,2,FALSE),"ddmmm"),IF(F34&lt;=0,0,IF(I34&lt;=0,0,IF(AND(F34&gt;0,O34&lt;=0),"&gt;52",IF(I34/O34&gt;52,"&gt;52", MAX(0,I34/O34-2))))))</f>
        <v>&gt;52</v>
      </c>
    </row>
    <row r="35" spans="1:18" ht="10.75" customHeight="1" x14ac:dyDescent="0.3">
      <c r="B35" s="154" t="s">
        <v>86</v>
      </c>
      <c r="C35" s="130">
        <f>SUM(C10:C19)+SUM(C22:C34)</f>
        <v>72402.274999999994</v>
      </c>
      <c r="D35" s="202">
        <f>SUM(D10:D19)+SUM(D22:D34)</f>
        <v>0</v>
      </c>
      <c r="E35" s="202">
        <f>SUM(E10:E19)+SUM(E22:E34)</f>
        <v>4343.2000000000007</v>
      </c>
      <c r="F35" s="201">
        <f>SUM(F10:F19)+SUM(F22:F34)</f>
        <v>76745.474999999991</v>
      </c>
      <c r="G35" s="202">
        <f>SUM(G10:G19)+SUM(G22:G34)</f>
        <v>77501.116131475137</v>
      </c>
      <c r="H35" s="151">
        <f t="shared" si="2"/>
        <v>100.98460675561022</v>
      </c>
      <c r="I35" s="201">
        <f>IF(F35="*","*",F35-G35)</f>
        <v>-755.64113147514581</v>
      </c>
      <c r="J35" s="202">
        <f>SUM(J10:J19)+SUM(J22:J34)</f>
        <v>392.55999999999767</v>
      </c>
      <c r="K35" s="202">
        <f>SUM(K10:K19)+SUM(K22:K34)</f>
        <v>277.16295935058588</v>
      </c>
      <c r="L35" s="202">
        <f>SUM(L10:L19)+SUM(L22:L34)</f>
        <v>-663.00000499999805</v>
      </c>
      <c r="M35" s="202">
        <f>SUM(M10:M19)+SUM(M22:M34)</f>
        <v>0</v>
      </c>
      <c r="N35" s="11">
        <f>IF(C35="*","*",IF(C35&gt;0,M35/C35*100,"-"))</f>
        <v>0</v>
      </c>
      <c r="O35" s="202">
        <f>IF(C35="*","*",SUM(J35:M35)/4)</f>
        <v>1.6807385876463741</v>
      </c>
      <c r="P35" s="41">
        <f>IF(ISNUMBER(VLOOKUP(B35,[4]CLOSURES!B:BI,2,FALSE)),TEXT(VLOOKUP(B35,[4]CLOSURES!B:BI,2,FALSE),"ddmmm"),IF(F35&lt;=0,0,IF(I35&lt;=0,0,IF(AND(F35&gt;0,O35&lt;=0),"&gt;52",IF(I35/O35&gt;52,"&gt;52", MAX(0,I35/O35-2))))))</f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f>'[4]Pel Non PO'!C15</f>
        <v>0</v>
      </c>
      <c r="D37" s="200">
        <f>'[4]Pel Non PO'!D15</f>
        <v>0</v>
      </c>
      <c r="E37" s="200">
        <f>F37-C37</f>
        <v>0</v>
      </c>
      <c r="F37" s="201">
        <f>'[4]Pel Non PO'!F15</f>
        <v>0</v>
      </c>
      <c r="G37" s="202">
        <f>'[4]Pel Non PO'!G15</f>
        <v>0</v>
      </c>
      <c r="H37" s="151">
        <f t="shared" si="2"/>
        <v>0</v>
      </c>
      <c r="I37" s="201">
        <f>IF(F37="*","*",F37-G37)</f>
        <v>0</v>
      </c>
      <c r="J37" s="202">
        <f>'[4]Pel Non PO'!J15</f>
        <v>0</v>
      </c>
      <c r="K37" s="202">
        <f>'[4]Pel Non PO'!K15</f>
        <v>0</v>
      </c>
      <c r="L37" s="202">
        <f>'[4]Pel Non PO'!L15</f>
        <v>0</v>
      </c>
      <c r="M37" s="202">
        <f>'[4]Pel Non PO'!M15</f>
        <v>0</v>
      </c>
      <c r="N37" s="11" t="str">
        <f>IF(C37="*","*",IF(C37&gt;0,M37/C37*100,"-"))</f>
        <v>-</v>
      </c>
      <c r="O37" s="202">
        <f>IF(C37="*","*",SUM(J37:M37)/4)</f>
        <v>0</v>
      </c>
      <c r="P37" s="41" t="str">
        <f>IF(ISNUMBER(VLOOKUP(B37,[4]CLOSURES!B:BI,2,FALSE)),TEXT(VLOOKUP(B37,[4]CLOSURES!B:BI,2,FALSE),"ddmmm"),IF(F37&lt;=0,0,IF(I37&lt;=0,0,IF(AND(F37&gt;0,O37&lt;=0),"&gt;52",IF(I37/O37&gt;52,"&gt;52", MAX(0,I37/O37-2))))))</f>
        <v>01Jan</v>
      </c>
    </row>
    <row r="38" spans="1:18" ht="10.75" customHeight="1" x14ac:dyDescent="0.3">
      <c r="B38" s="44" t="s">
        <v>88</v>
      </c>
      <c r="C38" s="130">
        <f>'[5]Maj Pel Combined'!$B$33</f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f>IF(C38="*","*",SUM(J38:M38)/4)</f>
        <v>0</v>
      </c>
      <c r="P38" s="41" t="str">
        <f>IF(ISNUMBER(VLOOKUP(B38,[4]CLOSURES!B:BI,2,FALSE)),TEXT(VLOOKUP(B38,[4]CLOSURES!B:BI,2,FALSE),"ddmmm"),IF(F38&lt;=0,0,IF(I38&lt;=0,0,IF(AND(F38&gt;0,O38&lt;=0),"&gt;52",IF(I38/O38&gt;52,"&gt;52", MAX(0,I38/O38-2))))))</f>
        <v>01Jan</v>
      </c>
    </row>
    <row r="39" spans="1:18" ht="10.75" customHeight="1" x14ac:dyDescent="0.3">
      <c r="B39" s="44" t="s">
        <v>89</v>
      </c>
      <c r="C39" s="130">
        <f>'[4]Pel Non PO'!C22</f>
        <v>1832.922</v>
      </c>
      <c r="D39" s="200">
        <f>'[4]Pel Non PO'!D22</f>
        <v>0</v>
      </c>
      <c r="E39" s="200">
        <f>F39-C39</f>
        <v>-1820.6999999999998</v>
      </c>
      <c r="F39" s="201">
        <f>'[4]Pel Non PO'!F22</f>
        <v>12.222000000000207</v>
      </c>
      <c r="G39" s="202">
        <f>'[4]Pel Non PO'!G22</f>
        <v>0.33650000000000008</v>
      </c>
      <c r="H39" s="151">
        <f t="shared" si="2"/>
        <v>2.753231876943171</v>
      </c>
      <c r="I39" s="201">
        <f t="shared" si="4"/>
        <v>11.885500000000206</v>
      </c>
      <c r="J39" s="202">
        <f>'[4]Pel Non PO'!J22</f>
        <v>6.2500000000000333E-3</v>
      </c>
      <c r="K39" s="202">
        <f>'[4]Pel Non PO'!K22</f>
        <v>0</v>
      </c>
      <c r="L39" s="202">
        <f>'[4]Pel Non PO'!L22</f>
        <v>0</v>
      </c>
      <c r="M39" s="202">
        <f>'[4]Pel Non PO'!M22</f>
        <v>0</v>
      </c>
      <c r="N39" s="11">
        <f>IF(C39="*","*",IF(C39&gt;0,M39/C39*100,"-"))</f>
        <v>0</v>
      </c>
      <c r="O39" s="202">
        <f>IF(C39="*","*",SUM(J39:M39)/4)</f>
        <v>1.5625000000000083E-3</v>
      </c>
      <c r="P39" s="41" t="str">
        <f>IF(ISNUMBER(VLOOKUP(B39,[4]CLOSURES!B:BI,2,FALSE)),TEXT(VLOOKUP(B39,[4]CLOSURES!B:BI,2,FALSE),"ddmmm"),IF(F39&lt;=0,0,IF(I39&lt;=0,0,IF(AND(F39&gt;0,O39&lt;=0),"&gt;52",IF(I39/O39&gt;52,"&gt;52", MAX(0,I39/O39-2))))))</f>
        <v>01Jan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f>C35+SUM(C37:C39)</f>
        <v>74235.197</v>
      </c>
      <c r="D42" s="131">
        <f>D35+SUM(D37:D41)</f>
        <v>0</v>
      </c>
      <c r="E42" s="131">
        <f>E35+SUM(E37:E41)</f>
        <v>2522.5000000000009</v>
      </c>
      <c r="F42" s="132">
        <f>[4]quotas!C79</f>
        <v>76757.696999999971</v>
      </c>
      <c r="G42" s="131">
        <f>G35+SUM(G37:G39)</f>
        <v>77501.452631475142</v>
      </c>
      <c r="H42" s="156">
        <f t="shared" si="2"/>
        <v>100.96896553771691</v>
      </c>
      <c r="I42" s="132">
        <f t="shared" si="4"/>
        <v>-743.75563147517096</v>
      </c>
      <c r="J42" s="131">
        <f>VLOOKUP(B42,[4]Weeks!$A$125:$X$161,2,FALSE)-VLOOKUP(B42,[4]Weeks!$A$165:$X$200,2,FALSE)</f>
        <v>392.56625000000349</v>
      </c>
      <c r="K42" s="131">
        <f>VLOOKUP(B42,[4]Weeks!$A$85:$X$121,2,FALSE)-VLOOKUP(B42,[4]Weeks!$A$125:$X$161,2,FALSE)</f>
        <v>277.1629593505786</v>
      </c>
      <c r="L42" s="131">
        <f>VLOOKUP(B42,[4]Weeks!$A$44:$X$81,2,FALSE)-VLOOKUP(B42,[4]Weeks!$A$85:$X$121,2,FALSE)</f>
        <v>-663.00000499999442</v>
      </c>
      <c r="M42" s="131">
        <f>M39+M37+M35</f>
        <v>0</v>
      </c>
      <c r="N42" s="53">
        <f>IF(C42="*","*",IF(C42&gt;0,M42/C42*100,"-"))</f>
        <v>0</v>
      </c>
      <c r="O42" s="131">
        <f>IF(C42="*","*",SUM(J42:M42)/4)</f>
        <v>1.6823010876469198</v>
      </c>
      <c r="P42" s="49">
        <f>IF(ISNUMBER(VLOOKUP(B42,[4]CLOSURES!B:BI,2,FALSE)),TEXT(VLOOKUP(B42,[4]CLOSURES!B:BI,2,FALSE),"ddmmm"),IF(F42&lt;=0,0,IF(I42&lt;=0,0,IF(AND(F42&gt;0,O42&lt;=0),"&gt;52",IF(I42/O42&gt;52,"&gt;52", MAX(0,I42/O42-2))))))</f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f>$J7</f>
        <v>44895</v>
      </c>
      <c r="K47" s="33">
        <f>$K7</f>
        <v>44902</v>
      </c>
      <c r="L47" s="33">
        <f>$L7</f>
        <v>44909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f>'[5]Maj Pel Combined'!$C$23</f>
        <v>0</v>
      </c>
      <c r="D50" s="200">
        <f>F50-VLOOKUP(B50,[4]quotas!$B$85:$W$120,3,FALSE)</f>
        <v>0</v>
      </c>
      <c r="E50" s="200">
        <f>F50-C50</f>
        <v>0</v>
      </c>
      <c r="F50" s="201">
        <f>VLOOKUP(B50,[4]quotas!$B$46:$W$84,3,FALSE)</f>
        <v>0</v>
      </c>
      <c r="G50" s="202">
        <f>VLOOKUP(B50,[4]Cumulative!$A$56:$X$91,3,FALSE)</f>
        <v>1.78</v>
      </c>
      <c r="H50" s="151" t="str">
        <f>IF(AND(F50=0,G50&gt;0),"n/a",IF(F50=0,0,100*G50/F50))</f>
        <v>n/a</v>
      </c>
      <c r="I50" s="201">
        <f>IF(F50="*","*",F50-G50)</f>
        <v>-1.78</v>
      </c>
      <c r="J50" s="202">
        <f>VLOOKUP(B50,[4]Weeks!$A$125:$X$161,3,FALSE)-VLOOKUP(B50,[4]Weeks!$A$165:$X$200,3,FALSE)</f>
        <v>0</v>
      </c>
      <c r="K50" s="202">
        <f>VLOOKUP(B50,[4]Weeks!$A$85:$X$121,3,FALSE)-VLOOKUP(B50,[4]Weeks!$A$125:$X$161,3,FALSE)</f>
        <v>0</v>
      </c>
      <c r="L50" s="202">
        <f>VLOOKUP(B50,[4]Weeks!$A$44:$X$81,3,FALSE)-VLOOKUP(B50,[4]Weeks!$A$85:$X$121,3,FALSE)</f>
        <v>0</v>
      </c>
      <c r="M50" s="202">
        <f>VLOOKUP(B50,[4]Weeks!$A$3:$X$39,3,FALSE)-VLOOKUP(B50,[4]Weeks!$A$44:$X$81,3,FALSE)</f>
        <v>0</v>
      </c>
      <c r="N50" s="11" t="str">
        <f t="shared" ref="N50:N59" si="9">IF(C50="*","*",IF(C50&gt;0,M50/C50*100,"-"))</f>
        <v>-</v>
      </c>
      <c r="O50" s="202">
        <f t="shared" ref="O50:O59" si="10">IF(C50="*","*",SUM(J50:M50)/4)</f>
        <v>0</v>
      </c>
      <c r="P50" s="41">
        <f>IF(ISNUMBER(VLOOKUP(B50,[4]CLOSURES!B:BI,3,FALSE)),TEXT(VLOOKUP(B50,[4]CLOSURES!B:BI,3,FALSE),"ddmmm"),IF(F50&lt;=0,0,IF(I50&lt;=0,0,IF(AND(F50&gt;0,O50&lt;=0),"&gt;52",IF(I50/O50&gt;52,"&gt;52", MAX(0,I50/O50-2))))))</f>
        <v>0</v>
      </c>
    </row>
    <row r="51" spans="1:16" s="2" customFormat="1" ht="10.75" customHeight="1" x14ac:dyDescent="0.25">
      <c r="A51" s="158"/>
      <c r="B51" s="40" t="s">
        <v>63</v>
      </c>
      <c r="C51" s="130">
        <f>'[5]Maj Pel Combined'!$C$16</f>
        <v>0</v>
      </c>
      <c r="D51" s="200">
        <f>F51-VLOOKUP(B51,[4]quotas!$B$85:$W$120,3,FALSE)</f>
        <v>0</v>
      </c>
      <c r="E51" s="200">
        <f>F51-C51</f>
        <v>0</v>
      </c>
      <c r="F51" s="201">
        <f>VLOOKUP(B51,[4]quotas!$B$46:$W$84,3,FALSE)</f>
        <v>0</v>
      </c>
      <c r="G51" s="202">
        <f>VLOOKUP(B51,[4]Cumulative!$A$56:$X$91,3,FALSE)</f>
        <v>0</v>
      </c>
      <c r="H51" s="151">
        <f t="shared" ref="H51:H82" si="11">IF(AND(F51=0,G51&gt;0),"n/a",IF(F51=0,0,100*G51/F51))</f>
        <v>0</v>
      </c>
      <c r="I51" s="201">
        <f>IF(F51="*","*",F51-G51)</f>
        <v>0</v>
      </c>
      <c r="J51" s="202">
        <f>VLOOKUP(B51,[4]Weeks!$A$125:$X$161,3,FALSE)-VLOOKUP(B51,[4]Weeks!$A$165:$X$200,3,FALSE)</f>
        <v>0</v>
      </c>
      <c r="K51" s="202">
        <f>VLOOKUP(B51,[4]Weeks!$A$85:$X$121,3,FALSE)-VLOOKUP(B51,[4]Weeks!$A$125:$X$161,3,FALSE)</f>
        <v>0</v>
      </c>
      <c r="L51" s="202">
        <f>VLOOKUP(B51,[4]Weeks!$A$44:$X$81,3,FALSE)-VLOOKUP(B51,[4]Weeks!$A$85:$X$121,3,FALSE)</f>
        <v>0</v>
      </c>
      <c r="M51" s="202">
        <f>VLOOKUP(B51,[4]Weeks!$A$3:$X$39,3,FALSE)-VLOOKUP(B51,[4]Weeks!$A$44:$X$81,3,FALSE)</f>
        <v>0</v>
      </c>
      <c r="N51" s="11" t="str">
        <f>IF(C51="*","*",IF(C51&gt;0,M51/C51*100,"-"))</f>
        <v>-</v>
      </c>
      <c r="O51" s="202">
        <f t="shared" si="10"/>
        <v>0</v>
      </c>
      <c r="P51" s="41">
        <f>IF(ISNUMBER(VLOOKUP(B51,[4]CLOSURES!B:BI,3,FALSE)),TEXT(VLOOKUP(B51,[4]CLOSURES!B:BI,3,FALSE),"ddmmm"),IF(F51&lt;=0,0,IF(I51&lt;=0,0,IF(AND(F51&gt;0,O51&lt;=0),"&gt;52",IF(I51/O51&gt;52,"&gt;52", MAX(0,I51/O51-2))))))</f>
        <v>0</v>
      </c>
    </row>
    <row r="52" spans="1:16" s="2" customFormat="1" ht="10.75" customHeight="1" x14ac:dyDescent="0.25">
      <c r="A52" s="158"/>
      <c r="B52" s="40" t="s">
        <v>65</v>
      </c>
      <c r="C52" s="130">
        <f>'[5]Maj Pel Combined'!$C$20</f>
        <v>0</v>
      </c>
      <c r="D52" s="200">
        <f>F52-VLOOKUP(B52,[4]quotas!$B$85:$W$120,3,FALSE)</f>
        <v>0</v>
      </c>
      <c r="E52" s="200">
        <f t="shared" ref="E52:E59" si="12">F52-C52</f>
        <v>0</v>
      </c>
      <c r="F52" s="201">
        <f>VLOOKUP(B52,[4]quotas!$B$46:$W$84,3,FALSE)</f>
        <v>0</v>
      </c>
      <c r="G52" s="202">
        <f>VLOOKUP(B52,[4]Cumulative!$A$56:$X$91,3,FALSE)</f>
        <v>0</v>
      </c>
      <c r="H52" s="151">
        <f t="shared" si="11"/>
        <v>0</v>
      </c>
      <c r="I52" s="201">
        <f t="shared" ref="I52:I82" si="13">IF(F52="*","*",F52-G52)</f>
        <v>0</v>
      </c>
      <c r="J52" s="202">
        <f>VLOOKUP(B52,[4]Weeks!$A$125:$X$161,3,FALSE)-VLOOKUP(B52,[4]Weeks!$A$165:$X$200,3,FALSE)</f>
        <v>0</v>
      </c>
      <c r="K52" s="202">
        <f>VLOOKUP(B52,[4]Weeks!$A$85:$X$121,3,FALSE)-VLOOKUP(B52,[4]Weeks!$A$125:$X$161,3,FALSE)</f>
        <v>0</v>
      </c>
      <c r="L52" s="202">
        <f>VLOOKUP(B52,[4]Weeks!$A$44:$X$81,3,FALSE)-VLOOKUP(B52,[4]Weeks!$A$85:$X$121,3,FALSE)</f>
        <v>0</v>
      </c>
      <c r="M52" s="202">
        <f>VLOOKUP(B52,[4]Weeks!$A$3:$X$39,3,FALSE)-VLOOKUP(B52,[4]Weeks!$A$44:$X$81,3,FALSE)</f>
        <v>0</v>
      </c>
      <c r="N52" s="11" t="str">
        <f t="shared" si="9"/>
        <v>-</v>
      </c>
      <c r="O52" s="202">
        <f t="shared" si="10"/>
        <v>0</v>
      </c>
      <c r="P52" s="41">
        <f>IF(ISNUMBER(VLOOKUP(B52,[4]CLOSURES!B:BI,3,FALSE)),TEXT(VLOOKUP(B52,[4]CLOSURES!B:BI,3,FALSE),"ddmmm"),IF(F52&lt;=0,0,IF(I52&lt;=0,0,IF(AND(F52&gt;0,O52&lt;=0),"&gt;52",IF(I52/O52&gt;52,"&gt;52", MAX(0,I52/O52-2))))))</f>
        <v>0</v>
      </c>
    </row>
    <row r="53" spans="1:16" s="2" customFormat="1" ht="10.75" customHeight="1" x14ac:dyDescent="0.25">
      <c r="A53" s="158"/>
      <c r="B53" s="40" t="s">
        <v>66</v>
      </c>
      <c r="C53" s="130">
        <f>'[5]Maj Pel Combined'!$C$24</f>
        <v>0</v>
      </c>
      <c r="D53" s="200">
        <f>F53-VLOOKUP(B53,[4]quotas!$B$85:$W$120,3,FALSE)</f>
        <v>0</v>
      </c>
      <c r="E53" s="200">
        <f t="shared" si="12"/>
        <v>0</v>
      </c>
      <c r="F53" s="201">
        <f>VLOOKUP(B53,[4]quotas!$B$46:$W$84,3,FALSE)</f>
        <v>0</v>
      </c>
      <c r="G53" s="202">
        <f>VLOOKUP(B53,[4]Cumulative!$A$56:$X$91,3,FALSE)</f>
        <v>5.35</v>
      </c>
      <c r="H53" s="151" t="str">
        <f t="shared" si="11"/>
        <v>n/a</v>
      </c>
      <c r="I53" s="201">
        <f t="shared" si="13"/>
        <v>-5.35</v>
      </c>
      <c r="J53" s="202">
        <f>VLOOKUP(B53,[4]Weeks!$A$125:$X$161,3,FALSE)-VLOOKUP(B53,[4]Weeks!$A$165:$X$200,3,FALSE)</f>
        <v>0</v>
      </c>
      <c r="K53" s="202">
        <f>VLOOKUP(B53,[4]Weeks!$A$85:$X$121,3,FALSE)-VLOOKUP(B53,[4]Weeks!$A$125:$X$161,3,FALSE)</f>
        <v>0</v>
      </c>
      <c r="L53" s="202">
        <f>VLOOKUP(B53,[4]Weeks!$A$44:$X$81,3,FALSE)-VLOOKUP(B53,[4]Weeks!$A$85:$X$121,3,FALSE)</f>
        <v>0</v>
      </c>
      <c r="M53" s="202">
        <f>VLOOKUP(B53,[4]Weeks!$A$3:$X$39,3,FALSE)-VLOOKUP(B53,[4]Weeks!$A$44:$X$81,3,FALSE)</f>
        <v>0</v>
      </c>
      <c r="N53" s="11" t="str">
        <f t="shared" si="9"/>
        <v>-</v>
      </c>
      <c r="O53" s="202">
        <f t="shared" si="10"/>
        <v>0</v>
      </c>
      <c r="P53" s="41">
        <f>IF(ISNUMBER(VLOOKUP(B53,[4]CLOSURES!B:BI,3,FALSE)),TEXT(VLOOKUP(B53,[4]CLOSURES!B:BI,3,FALSE),"ddmmm"),IF(F53&lt;=0,0,IF(I53&lt;=0,0,IF(AND(F53&gt;0,O53&lt;=0),"&gt;52",IF(I53/O53&gt;52,"&gt;52", MAX(0,I53/O53-2))))))</f>
        <v>0</v>
      </c>
    </row>
    <row r="54" spans="1:16" s="2" customFormat="1" ht="10.75" customHeight="1" x14ac:dyDescent="0.25">
      <c r="A54" s="158"/>
      <c r="B54" s="40" t="s">
        <v>67</v>
      </c>
      <c r="C54" s="130">
        <f>'[5]Maj Pel Combined'!$C$17</f>
        <v>0</v>
      </c>
      <c r="D54" s="200">
        <f>F54-VLOOKUP(B54,[4]quotas!$B$85:$W$120,3,FALSE)</f>
        <v>0</v>
      </c>
      <c r="E54" s="200">
        <f>F54-C54</f>
        <v>0</v>
      </c>
      <c r="F54" s="201">
        <f>VLOOKUP(B54,[4]quotas!$B$46:$W$84,3,FALSE)</f>
        <v>0</v>
      </c>
      <c r="G54" s="202">
        <f>VLOOKUP(B54,[4]Cumulative!$A$56:$X$91,3,FALSE)</f>
        <v>0</v>
      </c>
      <c r="H54" s="151">
        <f>IF(AND(F54=0,G54&gt;0),"n/a",IF(F54=0,0,100*G54/F54))</f>
        <v>0</v>
      </c>
      <c r="I54" s="201">
        <f>IF(F54="*","*",F54-G54)</f>
        <v>0</v>
      </c>
      <c r="J54" s="202">
        <f>VLOOKUP(B54,[4]Weeks!$A$125:$X$161,3,FALSE)-VLOOKUP(B54,[4]Weeks!$A$165:$X$200,3,FALSE)</f>
        <v>0</v>
      </c>
      <c r="K54" s="202">
        <f>VLOOKUP(B54,[4]Weeks!$A$85:$X$121,3,FALSE)-VLOOKUP(B54,[4]Weeks!$A$125:$X$161,3,FALSE)</f>
        <v>0</v>
      </c>
      <c r="L54" s="202">
        <f>VLOOKUP(B54,[4]Weeks!$A$44:$X$81,3,FALSE)-VLOOKUP(B54,[4]Weeks!$A$85:$X$121,3,FALSE)</f>
        <v>0</v>
      </c>
      <c r="M54" s="202">
        <f>VLOOKUP(B54,[4]Weeks!$A$3:$X$39,3,FALSE)-VLOOKUP(B54,[4]Weeks!$A$44:$X$81,3,FALSE)</f>
        <v>0</v>
      </c>
      <c r="N54" s="11" t="str">
        <f>IF(C54="*","*",IF(C54&gt;0,M54/C54*100,"-"))</f>
        <v>-</v>
      </c>
      <c r="O54" s="202">
        <f t="shared" si="10"/>
        <v>0</v>
      </c>
      <c r="P54" s="41">
        <f>IF(ISNUMBER(VLOOKUP(B54,[4]CLOSURES!B:BI,3,FALSE)),TEXT(VLOOKUP(B54,[4]CLOSURES!B:BI,3,FALSE),"ddmmm"),IF(F54&lt;=0,0,IF(I54&lt;=0,0,IF(AND(F54&gt;0,O54&lt;=0),"&gt;52",IF(I54/O54&gt;52,"&gt;52", MAX(0,I54/O54-2))))))</f>
        <v>0</v>
      </c>
    </row>
    <row r="55" spans="1:16" s="2" customFormat="1" ht="10.75" customHeight="1" x14ac:dyDescent="0.25">
      <c r="A55" s="158"/>
      <c r="B55" s="40" t="s">
        <v>68</v>
      </c>
      <c r="C55" s="130">
        <f>'[5]Maj Pel Combined'!$C$25</f>
        <v>0</v>
      </c>
      <c r="D55" s="200">
        <f>F55-VLOOKUP(B55,[4]quotas!$B$85:$W$120,3,FALSE)</f>
        <v>0</v>
      </c>
      <c r="E55" s="200">
        <f t="shared" si="12"/>
        <v>0</v>
      </c>
      <c r="F55" s="201">
        <f>VLOOKUP(B55,[4]quotas!$B$46:$W$84,3,FALSE)</f>
        <v>0</v>
      </c>
      <c r="G55" s="202">
        <f>VLOOKUP(B55,[4]Cumulative!$A$56:$X$91,3,FALSE)</f>
        <v>0</v>
      </c>
      <c r="H55" s="151">
        <f t="shared" si="11"/>
        <v>0</v>
      </c>
      <c r="I55" s="201">
        <f t="shared" si="13"/>
        <v>0</v>
      </c>
      <c r="J55" s="202">
        <f>VLOOKUP(B55,[4]Weeks!$A$125:$X$161,3,FALSE)-VLOOKUP(B55,[4]Weeks!$A$165:$X$200,3,FALSE)</f>
        <v>0</v>
      </c>
      <c r="K55" s="202">
        <f>VLOOKUP(B55,[4]Weeks!$A$85:$X$121,3,FALSE)-VLOOKUP(B55,[4]Weeks!$A$125:$X$161,3,FALSE)</f>
        <v>0</v>
      </c>
      <c r="L55" s="202">
        <f>VLOOKUP(B55,[4]Weeks!$A$44:$X$81,3,FALSE)-VLOOKUP(B55,[4]Weeks!$A$85:$X$121,3,FALSE)</f>
        <v>0</v>
      </c>
      <c r="M55" s="202">
        <f>VLOOKUP(B55,[4]Weeks!$A$3:$X$39,3,FALSE)-VLOOKUP(B55,[4]Weeks!$A$44:$X$81,3,FALSE)</f>
        <v>0</v>
      </c>
      <c r="N55" s="11" t="str">
        <f t="shared" si="9"/>
        <v>-</v>
      </c>
      <c r="O55" s="202">
        <f t="shared" si="10"/>
        <v>0</v>
      </c>
      <c r="P55" s="41">
        <f>IF(ISNUMBER(VLOOKUP(B55,[4]CLOSURES!B:BI,3,FALSE)),TEXT(VLOOKUP(B55,[4]CLOSURES!B:BI,3,FALSE),"ddmmm"),IF(F55&lt;=0,0,IF(I55&lt;=0,0,IF(AND(F55&gt;0,O55&lt;=0),"&gt;52",IF(I55/O55&gt;52,"&gt;52", MAX(0,I55/O55-2))))))</f>
        <v>0</v>
      </c>
    </row>
    <row r="56" spans="1:16" s="2" customFormat="1" ht="10.75" customHeight="1" x14ac:dyDescent="0.25">
      <c r="A56" s="158"/>
      <c r="B56" s="40" t="s">
        <v>69</v>
      </c>
      <c r="C56" s="130">
        <f>'[5]Maj Pel Combined'!$C$22</f>
        <v>0</v>
      </c>
      <c r="D56" s="200">
        <f>F56-VLOOKUP(B56,[4]quotas!$B$85:$W$120,3,FALSE)</f>
        <v>0</v>
      </c>
      <c r="E56" s="200">
        <f t="shared" si="12"/>
        <v>0</v>
      </c>
      <c r="F56" s="201">
        <f>VLOOKUP(B56,[4]quotas!$B$46:$W$84,3,FALSE)</f>
        <v>0</v>
      </c>
      <c r="G56" s="202">
        <f>VLOOKUP(B56,[4]Cumulative!$A$56:$X$91,3,FALSE)</f>
        <v>0</v>
      </c>
      <c r="H56" s="151">
        <f t="shared" si="11"/>
        <v>0</v>
      </c>
      <c r="I56" s="201">
        <f t="shared" si="13"/>
        <v>0</v>
      </c>
      <c r="J56" s="202">
        <f>VLOOKUP(B56,[4]Weeks!$A$125:$X$161,3,FALSE)-VLOOKUP(B56,[4]Weeks!$A$165:$X$200,3,FALSE)</f>
        <v>0</v>
      </c>
      <c r="K56" s="202">
        <f>VLOOKUP(B56,[4]Weeks!$A$85:$X$121,3,FALSE)-VLOOKUP(B56,[4]Weeks!$A$125:$X$161,3,FALSE)</f>
        <v>0</v>
      </c>
      <c r="L56" s="202">
        <f>VLOOKUP(B56,[4]Weeks!$A$44:$X$81,3,FALSE)-VLOOKUP(B56,[4]Weeks!$A$85:$X$121,3,FALSE)</f>
        <v>0</v>
      </c>
      <c r="M56" s="202">
        <f>VLOOKUP(B56,[4]Weeks!$A$3:$X$39,3,FALSE)-VLOOKUP(B56,[4]Weeks!$A$44:$X$81,3,FALSE)</f>
        <v>0</v>
      </c>
      <c r="N56" s="11" t="str">
        <f t="shared" si="9"/>
        <v>-</v>
      </c>
      <c r="O56" s="202">
        <f t="shared" si="10"/>
        <v>0</v>
      </c>
      <c r="P56" s="41" t="str">
        <f>IF(ISNUMBER(VLOOKUP(B56,[4]CLOSURES!B:BI,3,FALSE)),TEXT(VLOOKUP(B56,[4]CLOSURES!B:BI,3,FALSE),"ddmmm"),IF(F56&lt;=0,0,IF(I56&lt;=0,0,IF(AND(F56&gt;0,O56&lt;=0),"&gt;52",IF(I56/O56&gt;52,"&gt;52", MAX(0,I56/O56-2))))))</f>
        <v>01Jan</v>
      </c>
    </row>
    <row r="57" spans="1:16" s="2" customFormat="1" ht="10.75" customHeight="1" x14ac:dyDescent="0.25">
      <c r="A57" s="158"/>
      <c r="B57" s="40" t="s">
        <v>70</v>
      </c>
      <c r="C57" s="130">
        <f>'[5]Maj Pel Combined'!$C$21</f>
        <v>0</v>
      </c>
      <c r="D57" s="200">
        <f>F57-VLOOKUP(B57,[4]quotas!$B$85:$W$120,3,FALSE)</f>
        <v>0</v>
      </c>
      <c r="E57" s="200">
        <f t="shared" si="12"/>
        <v>0</v>
      </c>
      <c r="F57" s="201">
        <f>VLOOKUP(B57,[4]quotas!$B$46:$W$84,3,FALSE)</f>
        <v>0</v>
      </c>
      <c r="G57" s="202">
        <f>VLOOKUP(B57,[4]Cumulative!$A$56:$X$91,3,FALSE)</f>
        <v>0</v>
      </c>
      <c r="H57" s="151">
        <f t="shared" si="11"/>
        <v>0</v>
      </c>
      <c r="I57" s="201">
        <f t="shared" si="13"/>
        <v>0</v>
      </c>
      <c r="J57" s="202">
        <f>VLOOKUP(B57,[4]Weeks!$A$125:$X$161,3,FALSE)-VLOOKUP(B57,[4]Weeks!$A$165:$X$200,3,FALSE)</f>
        <v>0</v>
      </c>
      <c r="K57" s="202">
        <f>VLOOKUP(B57,[4]Weeks!$A$85:$X$121,3,FALSE)-VLOOKUP(B57,[4]Weeks!$A$125:$X$161,3,FALSE)</f>
        <v>0</v>
      </c>
      <c r="L57" s="202">
        <f>VLOOKUP(B57,[4]Weeks!$A$44:$X$81,3,FALSE)-VLOOKUP(B57,[4]Weeks!$A$85:$X$121,3,FALSE)</f>
        <v>0</v>
      </c>
      <c r="M57" s="202">
        <f>VLOOKUP(B57,[4]Weeks!$A$3:$X$39,3,FALSE)-VLOOKUP(B57,[4]Weeks!$A$44:$X$81,3,FALSE)</f>
        <v>0</v>
      </c>
      <c r="N57" s="11" t="str">
        <f t="shared" si="9"/>
        <v>-</v>
      </c>
      <c r="O57" s="202">
        <f t="shared" si="10"/>
        <v>0</v>
      </c>
      <c r="P57" s="41" t="str">
        <f>IF(ISNUMBER(VLOOKUP(B57,[4]CLOSURES!B:BI,3,FALSE)),TEXT(VLOOKUP(B57,[4]CLOSURES!B:BI,3,FALSE),"ddmmm"),IF(F57&lt;=0,0,IF(I57&lt;=0,0,IF(AND(F57&gt;0,O57&lt;=0),"&gt;52",IF(I57/O57&gt;52,"&gt;52", MAX(0,I57/O57-2))))))</f>
        <v>01Jan</v>
      </c>
    </row>
    <row r="58" spans="1:16" s="2" customFormat="1" ht="10.75" customHeight="1" x14ac:dyDescent="0.25">
      <c r="A58" s="158"/>
      <c r="B58" s="40" t="s">
        <v>71</v>
      </c>
      <c r="C58" s="130">
        <f>'[5]Maj Pel Combined'!$C$18</f>
        <v>0</v>
      </c>
      <c r="D58" s="200">
        <f>F58-VLOOKUP(B58,[4]quotas!$B$85:$W$120,3,FALSE)</f>
        <v>0</v>
      </c>
      <c r="E58" s="200">
        <f t="shared" si="12"/>
        <v>0</v>
      </c>
      <c r="F58" s="201">
        <f>VLOOKUP(B58,[4]quotas!$B$46:$W$84,3,FALSE)</f>
        <v>0</v>
      </c>
      <c r="G58" s="202">
        <f>VLOOKUP(B58,[4]Cumulative!$A$56:$X$91,3,FALSE)</f>
        <v>0</v>
      </c>
      <c r="H58" s="151">
        <f t="shared" si="11"/>
        <v>0</v>
      </c>
      <c r="I58" s="201">
        <f t="shared" si="13"/>
        <v>0</v>
      </c>
      <c r="J58" s="202">
        <f>VLOOKUP(B58,[4]Weeks!$A$125:$X$161,3,FALSE)-VLOOKUP(B58,[4]Weeks!$A$165:$X$200,3,FALSE)</f>
        <v>0</v>
      </c>
      <c r="K58" s="202">
        <f>VLOOKUP(B58,[4]Weeks!$A$85:$X$121,3,FALSE)-VLOOKUP(B58,[4]Weeks!$A$125:$X$161,3,FALSE)</f>
        <v>0</v>
      </c>
      <c r="L58" s="202">
        <f>VLOOKUP(B58,[4]Weeks!$A$44:$X$81,3,FALSE)-VLOOKUP(B58,[4]Weeks!$A$85:$X$121,3,FALSE)</f>
        <v>0</v>
      </c>
      <c r="M58" s="202">
        <f>VLOOKUP(B58,[4]Weeks!$A$3:$X$39,3,FALSE)-VLOOKUP(B58,[4]Weeks!$A$44:$X$81,3,FALSE)</f>
        <v>0</v>
      </c>
      <c r="N58" s="11" t="str">
        <f t="shared" si="9"/>
        <v>-</v>
      </c>
      <c r="O58" s="202">
        <f t="shared" si="10"/>
        <v>0</v>
      </c>
      <c r="P58" s="41">
        <f>IF(ISNUMBER(VLOOKUP(B58,[4]CLOSURES!B:BI,3,FALSE)),TEXT(VLOOKUP(B58,[4]CLOSURES!B:BI,3,FALSE),"ddmmm"),IF(F58&lt;=0,0,IF(I58&lt;=0,0,IF(AND(F58&gt;0,O58&lt;=0),"&gt;52",IF(I58/O58&gt;52,"&gt;52", MAX(0,I58/O58-2))))))</f>
        <v>0</v>
      </c>
    </row>
    <row r="59" spans="1:16" s="2" customFormat="1" ht="10.75" customHeight="1" x14ac:dyDescent="0.25">
      <c r="A59" s="158"/>
      <c r="B59" s="40" t="s">
        <v>72</v>
      </c>
      <c r="C59" s="130">
        <f>'[5]Maj Pel Combined'!$C$19</f>
        <v>0</v>
      </c>
      <c r="D59" s="200">
        <f>F59-VLOOKUP(B59,[4]quotas!$B$85:$W$120,3,FALSE)</f>
        <v>0</v>
      </c>
      <c r="E59" s="200">
        <f t="shared" si="12"/>
        <v>0</v>
      </c>
      <c r="F59" s="201">
        <f>VLOOKUP(B59,[4]quotas!$B$46:$W$84,3,FALSE)</f>
        <v>0</v>
      </c>
      <c r="G59" s="202">
        <f>VLOOKUP(B59,[4]Cumulative!$A$56:$X$91,3,FALSE)</f>
        <v>0</v>
      </c>
      <c r="H59" s="151">
        <f t="shared" si="11"/>
        <v>0</v>
      </c>
      <c r="I59" s="201">
        <f t="shared" si="13"/>
        <v>0</v>
      </c>
      <c r="J59" s="202">
        <f>VLOOKUP(B59,[4]Weeks!$A$125:$X$161,3,FALSE)-VLOOKUP(B59,[4]Weeks!$A$165:$X$200,3,FALSE)</f>
        <v>0</v>
      </c>
      <c r="K59" s="202">
        <f>VLOOKUP(B59,[4]Weeks!$A$85:$X$121,3,FALSE)-VLOOKUP(B59,[4]Weeks!$A$125:$X$161,3,FALSE)</f>
        <v>0</v>
      </c>
      <c r="L59" s="202">
        <f>VLOOKUP(B59,[4]Weeks!$A$44:$X$81,3,FALSE)-VLOOKUP(B59,[4]Weeks!$A$85:$X$121,3,FALSE)</f>
        <v>0</v>
      </c>
      <c r="M59" s="202">
        <f>VLOOKUP(B59,[4]Weeks!$A$3:$X$39,3,FALSE)-VLOOKUP(B59,[4]Weeks!$A$44:$X$81,3,FALSE)</f>
        <v>0</v>
      </c>
      <c r="N59" s="11" t="str">
        <f t="shared" si="9"/>
        <v>-</v>
      </c>
      <c r="O59" s="202">
        <f t="shared" si="10"/>
        <v>0</v>
      </c>
      <c r="P59" s="41">
        <f>IF(ISNUMBER(VLOOKUP(B59,[4]CLOSURES!B:BI,3,FALSE)),TEXT(VLOOKUP(B59,[4]CLOSURES!B:BI,3,FALSE),"ddmmm"),IF(F59&lt;=0,0,IF(I59&lt;=0,0,IF(AND(F59&gt;0,O59&lt;=0),"&gt;52",IF(I59/O59&gt;52,"&gt;52", MAX(0,I59/O59-2))))))</f>
        <v>0</v>
      </c>
    </row>
    <row r="60" spans="1:16" s="2" customFormat="1" ht="10.75" customHeight="1" x14ac:dyDescent="0.25">
      <c r="A60" s="158"/>
      <c r="B60" s="43" t="s">
        <v>73</v>
      </c>
      <c r="C60" s="130">
        <f>SUM(C50:C59)</f>
        <v>0</v>
      </c>
      <c r="D60" s="200">
        <f>SUM(D50:D59)</f>
        <v>0</v>
      </c>
      <c r="E60" s="202">
        <f>SUM(E50:E59)</f>
        <v>0</v>
      </c>
      <c r="F60" s="201">
        <f>SUM(F50:F59)</f>
        <v>0</v>
      </c>
      <c r="G60" s="202">
        <f>SUM(G50:G59)</f>
        <v>7.13</v>
      </c>
      <c r="H60" s="151" t="str">
        <f t="shared" si="11"/>
        <v>n/a</v>
      </c>
      <c r="I60" s="201">
        <f t="shared" si="13"/>
        <v>-7.13</v>
      </c>
      <c r="J60" s="202">
        <f t="shared" ref="J60:O60" si="14">SUM(J50:J59)</f>
        <v>0</v>
      </c>
      <c r="K60" s="202">
        <f t="shared" si="14"/>
        <v>0</v>
      </c>
      <c r="L60" s="202">
        <f t="shared" si="14"/>
        <v>0</v>
      </c>
      <c r="M60" s="202">
        <f t="shared" si="14"/>
        <v>0</v>
      </c>
      <c r="N60" s="11">
        <f t="shared" si="14"/>
        <v>0</v>
      </c>
      <c r="O60" s="202">
        <f t="shared" si="14"/>
        <v>0</v>
      </c>
      <c r="P60" s="41">
        <f>IF(ISNUMBER(VLOOKUP(B60,[4]CLOSURES!B:BI,3,FALSE)),TEXT(VLOOKUP(B60,[4]CLOSURES!B:BI,3,FALSE),"ddmmm"),IF(F60&lt;=0,0,IF(I60&lt;=0,0,IF(AND(F60&gt;0,O60&lt;=0),"&gt;52",IF(I60/O60&gt;52,"&gt;52", MAX(0,I60/O60-2))))))</f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f>'[5]Maj Pel Combined'!$C$5</f>
        <v>0</v>
      </c>
      <c r="D62" s="200">
        <f>F62-VLOOKUP(B62,[4]quotas!$B$85:$W$120,3,FALSE)</f>
        <v>0</v>
      </c>
      <c r="E62" s="200">
        <f t="shared" ref="E62:E70" si="15">F62-C62</f>
        <v>0</v>
      </c>
      <c r="F62" s="201">
        <f>VLOOKUP(B62,[4]quotas!$B$46:$W$84,3,FALSE)</f>
        <v>0</v>
      </c>
      <c r="G62" s="202">
        <f>VLOOKUP(B62,[4]Cumulative!$A$56:$X$91,3,FALSE)</f>
        <v>0</v>
      </c>
      <c r="H62" s="151">
        <f t="shared" si="11"/>
        <v>0</v>
      </c>
      <c r="I62" s="201">
        <f t="shared" si="13"/>
        <v>0</v>
      </c>
      <c r="J62" s="202">
        <f>VLOOKUP(B62,[4]Weeks!$A$125:$X$161,3,FALSE)-VLOOKUP(B62,[4]Weeks!$A$165:$X$200,3,FALSE)</f>
        <v>0</v>
      </c>
      <c r="K62" s="202">
        <f>VLOOKUP(B62,[4]Weeks!$A$85:$X$121,3,FALSE)-VLOOKUP(B62,[4]Weeks!$A$125:$X$161,3,FALSE)</f>
        <v>0</v>
      </c>
      <c r="L62" s="202">
        <f>VLOOKUP(B62,[4]Weeks!$A$44:$X$81,3,FALSE)-VLOOKUP(B62,[4]Weeks!$A$85:$X$121,3,FALSE)</f>
        <v>0</v>
      </c>
      <c r="M62" s="202">
        <f>VLOOKUP(B62,[4]Weeks!$A$3:$X$39,3,FALSE)-VLOOKUP(B62,[4]Weeks!$A$44:$X$81,3,FALSE)</f>
        <v>0</v>
      </c>
      <c r="N62" s="11" t="str">
        <f t="shared" ref="N62:N73" si="16">IF(C62="*","*",IF(C62&gt;0,M62/C62*100,"-"))</f>
        <v>-</v>
      </c>
      <c r="O62" s="202">
        <f t="shared" ref="O62:O73" si="17">IF(C62="*","*",SUM(J62:M62)/4)</f>
        <v>0</v>
      </c>
      <c r="P62" s="41" t="str">
        <f>IF(ISNUMBER(VLOOKUP(B62,[4]CLOSURES!B:BI,3,FALSE)),TEXT(VLOOKUP(B62,[4]CLOSURES!B:BI,3,FALSE),"ddmmm"),IF(F62&lt;=0,0,IF(I62&lt;=0,0,IF(AND(F62&gt;0,O62&lt;=0),"&gt;52",IF(I62/O62&gt;52,"&gt;52", MAX(0,I62/O62-2))))))</f>
        <v>01Jan</v>
      </c>
    </row>
    <row r="63" spans="1:16" s="2" customFormat="1" ht="10.75" customHeight="1" x14ac:dyDescent="0.25">
      <c r="A63" s="158"/>
      <c r="B63" s="40" t="s">
        <v>75</v>
      </c>
      <c r="C63" s="130">
        <f>'[5]Maj Pel Combined'!$C$7</f>
        <v>0</v>
      </c>
      <c r="D63" s="200">
        <f>F63-VLOOKUP(B63,[4]quotas!$B$85:$W$120,3,FALSE)</f>
        <v>0</v>
      </c>
      <c r="E63" s="200">
        <f>F63-C63</f>
        <v>0</v>
      </c>
      <c r="F63" s="201">
        <f>VLOOKUP(B63,[4]quotas!$B$46:$W$84,3,FALSE)</f>
        <v>0</v>
      </c>
      <c r="G63" s="202">
        <f>VLOOKUP(B63,[4]Cumulative!$A$56:$X$91,3,FALSE)</f>
        <v>0</v>
      </c>
      <c r="H63" s="151">
        <f>IF(AND(F63=0,G63&gt;0),"n/a",IF(F63=0,0,100*G63/F63))</f>
        <v>0</v>
      </c>
      <c r="I63" s="201">
        <f>IF(F63="*","*",F63-G63)</f>
        <v>0</v>
      </c>
      <c r="J63" s="202">
        <f>VLOOKUP(B63,[4]Weeks!$A$125:$X$161,3,FALSE)-VLOOKUP(B63,[4]Weeks!$A$165:$X$200,3,FALSE)</f>
        <v>0</v>
      </c>
      <c r="K63" s="202">
        <f>VLOOKUP(B63,[4]Weeks!$A$85:$X$121,3,FALSE)-VLOOKUP(B63,[4]Weeks!$A$125:$X$161,3,FALSE)</f>
        <v>0</v>
      </c>
      <c r="L63" s="202">
        <f>VLOOKUP(B63,[4]Weeks!$A$44:$X$81,3,FALSE)-VLOOKUP(B63,[4]Weeks!$A$85:$X$121,3,FALSE)</f>
        <v>0</v>
      </c>
      <c r="M63" s="202">
        <f>VLOOKUP(B63,[4]Weeks!$A$3:$X$39,3,FALSE)-VLOOKUP(B63,[4]Weeks!$A$44:$X$81,3,FALSE)</f>
        <v>0</v>
      </c>
      <c r="N63" s="11" t="str">
        <f>IF(C63="*","*",IF(C63&gt;0,M63/C63*100,"-"))</f>
        <v>-</v>
      </c>
      <c r="O63" s="202">
        <f>IF(C63="*","*",SUM(J63:M63)/4)</f>
        <v>0</v>
      </c>
      <c r="P63" s="41">
        <f>IF(ISNUMBER(VLOOKUP(B63,[4]CLOSURES!B:BI,3,FALSE)),TEXT(VLOOKUP(B63,[4]CLOSURES!B:BI,3,FALSE),"ddmmm"),IF(F63&lt;=0,0,IF(I63&lt;=0,0,IF(AND(F63&gt;0,O63&lt;=0),"&gt;52",IF(I63/O63&gt;52,"&gt;52", MAX(0,I63/O63-2))))))</f>
        <v>0</v>
      </c>
    </row>
    <row r="64" spans="1:16" s="2" customFormat="1" ht="10.75" customHeight="1" x14ac:dyDescent="0.25">
      <c r="A64" s="158"/>
      <c r="B64" s="40" t="s">
        <v>152</v>
      </c>
      <c r="C64" s="130">
        <f>'[5]Maj Pel Combined'!$C$8</f>
        <v>0</v>
      </c>
      <c r="D64" s="200">
        <f>F64-VLOOKUP(B64,[4]quotas!$B$85:$W$120,3,FALSE)</f>
        <v>0</v>
      </c>
      <c r="E64" s="200">
        <f>F64-C64</f>
        <v>0</v>
      </c>
      <c r="F64" s="201">
        <f>VLOOKUP(B64,[4]quotas!$B$46:$W$84,3,FALSE)</f>
        <v>0</v>
      </c>
      <c r="G64" s="202">
        <f>VLOOKUP(B64,[4]Cumulative!$A$56:$X$91,3,FALSE)</f>
        <v>0</v>
      </c>
      <c r="H64" s="151">
        <f>IF(AND(F64=0,G64&gt;0),"n/a",IF(F64=0,0,100*G64/F64))</f>
        <v>0</v>
      </c>
      <c r="I64" s="201">
        <f>IF(F64="*","*",F64-G64)</f>
        <v>0</v>
      </c>
      <c r="J64" s="202">
        <f>VLOOKUP(B64,[4]Weeks!$A$125:$X$161,3,FALSE)-VLOOKUP(B64,[4]Weeks!$A$165:$X$200,3,FALSE)</f>
        <v>0</v>
      </c>
      <c r="K64" s="202">
        <f>VLOOKUP(B64,[4]Weeks!$A$85:$X$121,3,FALSE)-VLOOKUP(B64,[4]Weeks!$A$125:$X$161,3,FALSE)</f>
        <v>0</v>
      </c>
      <c r="L64" s="202">
        <f>VLOOKUP(B64,[4]Weeks!$A$44:$X$81,3,FALSE)-VLOOKUP(B64,[4]Weeks!$A$85:$X$121,3,FALSE)</f>
        <v>0</v>
      </c>
      <c r="M64" s="202">
        <f>VLOOKUP(B64,[4]Weeks!$A$3:$X$39,3,FALSE)-VLOOKUP(B64,[4]Weeks!$A$44:$X$81,3,FALSE)</f>
        <v>0</v>
      </c>
      <c r="N64" s="11" t="str">
        <f>IF(C64="*","*",IF(C64&gt;0,M64/C64*100,"-"))</f>
        <v>-</v>
      </c>
      <c r="O64" s="202">
        <f>IF(C64="*","*",SUM(J64:M64)/4)</f>
        <v>0</v>
      </c>
      <c r="P64" s="41" t="str">
        <f>IF(ISNUMBER(VLOOKUP(B64,[4]CLOSURES!B:BI,3,FALSE)),TEXT(VLOOKUP(B64,[4]CLOSURES!B:BI,3,FALSE),"ddmmm"),IF(F64&lt;=0,0,IF(I64&lt;=0,0,IF(AND(F64&gt;0,O64&lt;=0),"&gt;52",IF(I64/O64&gt;52,"&gt;52", MAX(0,I64/O64-2))))))</f>
        <v>01Jan</v>
      </c>
    </row>
    <row r="65" spans="1:16" s="2" customFormat="1" ht="10.75" customHeight="1" x14ac:dyDescent="0.25">
      <c r="A65" s="158"/>
      <c r="B65" s="40" t="s">
        <v>76</v>
      </c>
      <c r="C65" s="130">
        <f>'[5]Maj Pel Combined'!$C$9</f>
        <v>0</v>
      </c>
      <c r="D65" s="200">
        <f>F65-VLOOKUP(B65,[4]quotas!$B$85:$W$120,3,FALSE)</f>
        <v>0</v>
      </c>
      <c r="E65" s="200">
        <f t="shared" si="15"/>
        <v>0</v>
      </c>
      <c r="F65" s="201">
        <f>VLOOKUP(B65,[4]quotas!$B$46:$W$84,3,FALSE)</f>
        <v>0</v>
      </c>
      <c r="G65" s="202">
        <f>VLOOKUP(B65,[4]Cumulative!$A$56:$X$91,3,FALSE)</f>
        <v>0</v>
      </c>
      <c r="H65" s="151">
        <f t="shared" si="11"/>
        <v>0</v>
      </c>
      <c r="I65" s="201">
        <f t="shared" si="13"/>
        <v>0</v>
      </c>
      <c r="J65" s="202">
        <f>VLOOKUP(B65,[4]Weeks!$A$125:$X$161,3,FALSE)-VLOOKUP(B65,[4]Weeks!$A$165:$X$200,3,FALSE)</f>
        <v>0</v>
      </c>
      <c r="K65" s="202">
        <f>VLOOKUP(B65,[4]Weeks!$A$85:$X$121,3,FALSE)-VLOOKUP(B65,[4]Weeks!$A$125:$X$161,3,FALSE)</f>
        <v>0</v>
      </c>
      <c r="L65" s="202">
        <f>VLOOKUP(B65,[4]Weeks!$A$44:$X$81,3,FALSE)-VLOOKUP(B65,[4]Weeks!$A$85:$X$121,3,FALSE)</f>
        <v>0</v>
      </c>
      <c r="M65" s="202">
        <f>VLOOKUP(B65,[4]Weeks!$A$3:$X$39,3,FALSE)-VLOOKUP(B65,[4]Weeks!$A$44:$X$81,3,FALSE)</f>
        <v>0</v>
      </c>
      <c r="N65" s="11" t="str">
        <f t="shared" si="16"/>
        <v>-</v>
      </c>
      <c r="O65" s="202">
        <f t="shared" si="17"/>
        <v>0</v>
      </c>
      <c r="P65" s="41">
        <f>IF(ISNUMBER(VLOOKUP(B65,[4]CLOSURES!B:BI,3,FALSE)),TEXT(VLOOKUP(B65,[4]CLOSURES!B:BI,3,FALSE),"ddmmm"),IF(F65&lt;=0,0,IF(I65&lt;=0,0,IF(AND(F65&gt;0,O65&lt;=0),"&gt;52",IF(I65/O65&gt;52,"&gt;52", MAX(0,I65/O65-2))))))</f>
        <v>0</v>
      </c>
    </row>
    <row r="66" spans="1:16" s="2" customFormat="1" ht="10.75" customHeight="1" x14ac:dyDescent="0.25">
      <c r="A66" s="158"/>
      <c r="B66" s="40" t="s">
        <v>77</v>
      </c>
      <c r="C66" s="130">
        <f>'[5]Maj Pel Combined'!$C$27</f>
        <v>0</v>
      </c>
      <c r="D66" s="200">
        <f>F66-VLOOKUP(B66,[4]quotas!$B$85:$W$120,3,FALSE)</f>
        <v>0</v>
      </c>
      <c r="E66" s="200">
        <f t="shared" si="15"/>
        <v>0</v>
      </c>
      <c r="F66" s="201">
        <f>VLOOKUP(B66,[4]quotas!$B$46:$W$84,3,FALSE)</f>
        <v>0</v>
      </c>
      <c r="G66" s="202">
        <f>VLOOKUP(B66,[4]Cumulative!$A$56:$X$91,3,FALSE)</f>
        <v>7.0000000000000007E-2</v>
      </c>
      <c r="H66" s="151" t="str">
        <f t="shared" si="11"/>
        <v>n/a</v>
      </c>
      <c r="I66" s="201">
        <f t="shared" si="13"/>
        <v>-7.0000000000000007E-2</v>
      </c>
      <c r="J66" s="202">
        <f>VLOOKUP(B66,[4]Weeks!$A$125:$X$161,3,FALSE)-VLOOKUP(B66,[4]Weeks!$A$165:$X$200,3,FALSE)</f>
        <v>0</v>
      </c>
      <c r="K66" s="202">
        <f>VLOOKUP(B66,[4]Weeks!$A$85:$X$121,3,FALSE)-VLOOKUP(B66,[4]Weeks!$A$125:$X$161,3,FALSE)</f>
        <v>0</v>
      </c>
      <c r="L66" s="202">
        <f>VLOOKUP(B66,[4]Weeks!$A$44:$X$81,3,FALSE)-VLOOKUP(B66,[4]Weeks!$A$85:$X$121,3,FALSE)</f>
        <v>0</v>
      </c>
      <c r="M66" s="202">
        <f>VLOOKUP(B66,[4]Weeks!$A$3:$X$39,3,FALSE)-VLOOKUP(B66,[4]Weeks!$A$44:$X$81,3,FALSE)</f>
        <v>0</v>
      </c>
      <c r="N66" s="11" t="str">
        <f t="shared" si="16"/>
        <v>-</v>
      </c>
      <c r="O66" s="202">
        <f t="shared" si="17"/>
        <v>0</v>
      </c>
      <c r="P66" s="41">
        <f>IF(ISNUMBER(VLOOKUP(B66,[4]CLOSURES!B:BI,3,FALSE)),TEXT(VLOOKUP(B66,[4]CLOSURES!B:BI,3,FALSE),"ddmmm"),IF(F66&lt;=0,0,IF(I66&lt;=0,0,IF(AND(F66&gt;0,O66&lt;=0),"&gt;52",IF(I66/O66&gt;52,"&gt;52", MAX(0,I66/O66-2))))))</f>
        <v>0</v>
      </c>
    </row>
    <row r="67" spans="1:16" s="2" customFormat="1" ht="10.75" customHeight="1" x14ac:dyDescent="0.25">
      <c r="A67" s="158"/>
      <c r="B67" s="40" t="s">
        <v>78</v>
      </c>
      <c r="C67" s="130">
        <f>'[5]Maj Pel Combined'!$C$26</f>
        <v>0</v>
      </c>
      <c r="D67" s="200">
        <f>F67-VLOOKUP(B67,[4]quotas!$B$85:$W$120,3,FALSE)</f>
        <v>0</v>
      </c>
      <c r="E67" s="200">
        <f t="shared" si="15"/>
        <v>0</v>
      </c>
      <c r="F67" s="201">
        <f>VLOOKUP(B67,[4]quotas!$B$46:$W$84,3,FALSE)</f>
        <v>0</v>
      </c>
      <c r="G67" s="202">
        <f>VLOOKUP(B67,[4]Cumulative!$A$56:$X$91,3,FALSE)</f>
        <v>0</v>
      </c>
      <c r="H67" s="151">
        <f t="shared" si="11"/>
        <v>0</v>
      </c>
      <c r="I67" s="201">
        <f t="shared" si="13"/>
        <v>0</v>
      </c>
      <c r="J67" s="202">
        <f>VLOOKUP(B67,[4]Weeks!$A$125:$X$161,3,FALSE)-VLOOKUP(B67,[4]Weeks!$A$165:$X$200,3,FALSE)</f>
        <v>0</v>
      </c>
      <c r="K67" s="202">
        <f>VLOOKUP(B67,[4]Weeks!$A$85:$X$121,3,FALSE)-VLOOKUP(B67,[4]Weeks!$A$125:$X$161,3,FALSE)</f>
        <v>0</v>
      </c>
      <c r="L67" s="202">
        <f>VLOOKUP(B67,[4]Weeks!$A$44:$X$81,3,FALSE)-VLOOKUP(B67,[4]Weeks!$A$85:$X$121,3,FALSE)</f>
        <v>0</v>
      </c>
      <c r="M67" s="202">
        <f>VLOOKUP(B67,[4]Weeks!$A$3:$X$39,3,FALSE)-VLOOKUP(B67,[4]Weeks!$A$44:$X$81,3,FALSE)</f>
        <v>0</v>
      </c>
      <c r="N67" s="11" t="str">
        <f t="shared" si="16"/>
        <v>-</v>
      </c>
      <c r="O67" s="202">
        <f t="shared" si="17"/>
        <v>0</v>
      </c>
      <c r="P67" s="41">
        <f>IF(ISNUMBER(VLOOKUP(B67,[4]CLOSURES!B:BI,3,FALSE)),TEXT(VLOOKUP(B67,[4]CLOSURES!B:BI,3,FALSE),"ddmmm"),IF(F67&lt;=0,0,IF(I67&lt;=0,0,IF(AND(F67&gt;0,O67&lt;=0),"&gt;52",IF(I67/O67&gt;52,"&gt;52", MAX(0,I67/O67-2))))))</f>
        <v>0</v>
      </c>
    </row>
    <row r="68" spans="1:16" s="2" customFormat="1" ht="10.75" customHeight="1" x14ac:dyDescent="0.25">
      <c r="A68" s="158"/>
      <c r="B68" s="40" t="s">
        <v>79</v>
      </c>
      <c r="C68" s="130">
        <f>'[5]Maj Pel Combined'!$C$6</f>
        <v>0</v>
      </c>
      <c r="D68" s="200">
        <f>F68-VLOOKUP(B68,[4]quotas!$B$85:$W$120,3,FALSE)</f>
        <v>0</v>
      </c>
      <c r="E68" s="200">
        <f t="shared" si="15"/>
        <v>0</v>
      </c>
      <c r="F68" s="201">
        <f>VLOOKUP(B68,[4]quotas!$B$46:$W$84,3,FALSE)</f>
        <v>0</v>
      </c>
      <c r="G68" s="202">
        <f>VLOOKUP(B68,[4]Cumulative!$A$56:$X$91,3,FALSE)</f>
        <v>0</v>
      </c>
      <c r="H68" s="151">
        <f t="shared" si="11"/>
        <v>0</v>
      </c>
      <c r="I68" s="201">
        <f t="shared" si="13"/>
        <v>0</v>
      </c>
      <c r="J68" s="202">
        <f>VLOOKUP(B68,[4]Weeks!$A$125:$X$161,3,FALSE)-VLOOKUP(B68,[4]Weeks!$A$165:$X$200,3,FALSE)</f>
        <v>0</v>
      </c>
      <c r="K68" s="202">
        <f>VLOOKUP(B68,[4]Weeks!$A$85:$X$121,3,FALSE)-VLOOKUP(B68,[4]Weeks!$A$125:$X$161,3,FALSE)</f>
        <v>0</v>
      </c>
      <c r="L68" s="202">
        <f>VLOOKUP(B68,[4]Weeks!$A$44:$X$81,3,FALSE)-VLOOKUP(B68,[4]Weeks!$A$85:$X$121,3,FALSE)</f>
        <v>0</v>
      </c>
      <c r="M68" s="202">
        <f>VLOOKUP(B68,[4]Weeks!$A$3:$X$39,3,FALSE)-VLOOKUP(B68,[4]Weeks!$A$44:$X$81,3,FALSE)</f>
        <v>0</v>
      </c>
      <c r="N68" s="11" t="str">
        <f t="shared" si="16"/>
        <v>-</v>
      </c>
      <c r="O68" s="202">
        <f t="shared" si="17"/>
        <v>0</v>
      </c>
      <c r="P68" s="41">
        <f>IF(ISNUMBER(VLOOKUP(B68,[4]CLOSURES!B:BI,3,FALSE)),TEXT(VLOOKUP(B68,[4]CLOSURES!B:BI,3,FALSE),"ddmmm"),IF(F68&lt;=0,0,IF(I68&lt;=0,0,IF(AND(F68&gt;0,O68&lt;=0),"&gt;52",IF(I68/O68&gt;52,"&gt;52", MAX(0,I68/O68-2))))))</f>
        <v>0</v>
      </c>
    </row>
    <row r="69" spans="1:16" s="2" customFormat="1" ht="10.75" customHeight="1" x14ac:dyDescent="0.25">
      <c r="A69" s="158"/>
      <c r="B69" s="40" t="s">
        <v>80</v>
      </c>
      <c r="C69" s="130">
        <f>'[5]Maj Pel Combined'!$C$14</f>
        <v>0</v>
      </c>
      <c r="D69" s="200">
        <f>F69-VLOOKUP(B69,[4]quotas!$B$85:$W$120,3,FALSE)</f>
        <v>0</v>
      </c>
      <c r="E69" s="200">
        <f t="shared" si="15"/>
        <v>0</v>
      </c>
      <c r="F69" s="201">
        <f>VLOOKUP(B69,[4]quotas!$B$46:$W$84,3,FALSE)</f>
        <v>0</v>
      </c>
      <c r="G69" s="202">
        <f>VLOOKUP(B69,[4]Cumulative!$A$56:$X$91,3,FALSE)</f>
        <v>0</v>
      </c>
      <c r="H69" s="151">
        <f t="shared" si="11"/>
        <v>0</v>
      </c>
      <c r="I69" s="201">
        <f t="shared" si="13"/>
        <v>0</v>
      </c>
      <c r="J69" s="202">
        <f>VLOOKUP(B69,[4]Weeks!$A$125:$X$161,3,FALSE)-VLOOKUP(B69,[4]Weeks!$A$165:$X$200,3,FALSE)</f>
        <v>0</v>
      </c>
      <c r="K69" s="202">
        <f>VLOOKUP(B69,[4]Weeks!$A$85:$X$121,3,FALSE)-VLOOKUP(B69,[4]Weeks!$A$125:$X$161,3,FALSE)</f>
        <v>0</v>
      </c>
      <c r="L69" s="202">
        <f>VLOOKUP(B69,[4]Weeks!$A$44:$X$81,3,FALSE)-VLOOKUP(B69,[4]Weeks!$A$85:$X$121,3,FALSE)</f>
        <v>0</v>
      </c>
      <c r="M69" s="202">
        <f>VLOOKUP(B69,[4]Weeks!$A$3:$X$39,3,FALSE)-VLOOKUP(B69,[4]Weeks!$A$44:$X$81,3,FALSE)</f>
        <v>0</v>
      </c>
      <c r="N69" s="11" t="str">
        <f t="shared" si="16"/>
        <v>-</v>
      </c>
      <c r="O69" s="202">
        <f t="shared" si="17"/>
        <v>0</v>
      </c>
      <c r="P69" s="41">
        <f>IF(ISNUMBER(VLOOKUP(B69,[4]CLOSURES!B:BI,3,FALSE)),TEXT(VLOOKUP(B69,[4]CLOSURES!B:BI,3,FALSE),"ddmmm"),IF(F69&lt;=0,0,IF(I69&lt;=0,0,IF(AND(F69&gt;0,O69&lt;=0),"&gt;52",IF(I69/O69&gt;52,"&gt;52", MAX(0,I69/O69-2))))))</f>
        <v>0</v>
      </c>
    </row>
    <row r="70" spans="1:16" s="2" customFormat="1" ht="10.75" customHeight="1" x14ac:dyDescent="0.25">
      <c r="A70" s="158"/>
      <c r="B70" s="40" t="s">
        <v>81</v>
      </c>
      <c r="C70" s="130">
        <f>'[5]Maj Pel Combined'!$C$13</f>
        <v>0</v>
      </c>
      <c r="D70" s="200">
        <f>F70-VLOOKUP(B70,[4]quotas!$B$85:$W$120,3,FALSE)</f>
        <v>0</v>
      </c>
      <c r="E70" s="200">
        <f t="shared" si="15"/>
        <v>0</v>
      </c>
      <c r="F70" s="201">
        <f>VLOOKUP(B70,[4]quotas!$B$46:$W$84,3,FALSE)</f>
        <v>0</v>
      </c>
      <c r="G70" s="202">
        <f>VLOOKUP(B70,[4]Cumulative!$A$56:$X$91,3,FALSE)</f>
        <v>0</v>
      </c>
      <c r="H70" s="151">
        <f t="shared" si="11"/>
        <v>0</v>
      </c>
      <c r="I70" s="201">
        <f t="shared" si="13"/>
        <v>0</v>
      </c>
      <c r="J70" s="202">
        <f>VLOOKUP(B70,[4]Weeks!$A$125:$X$161,3,FALSE)-VLOOKUP(B70,[4]Weeks!$A$165:$X$200,3,FALSE)</f>
        <v>0</v>
      </c>
      <c r="K70" s="202">
        <f>VLOOKUP(B70,[4]Weeks!$A$85:$X$121,3,FALSE)-VLOOKUP(B70,[4]Weeks!$A$125:$X$161,3,FALSE)</f>
        <v>0</v>
      </c>
      <c r="L70" s="202">
        <f>VLOOKUP(B70,[4]Weeks!$A$44:$X$81,3,FALSE)-VLOOKUP(B70,[4]Weeks!$A$85:$X$121,3,FALSE)</f>
        <v>0</v>
      </c>
      <c r="M70" s="202">
        <f>VLOOKUP(B70,[4]Weeks!$A$3:$X$39,3,FALSE)-VLOOKUP(B70,[4]Weeks!$A$44:$X$81,3,FALSE)</f>
        <v>0</v>
      </c>
      <c r="N70" s="11" t="str">
        <f t="shared" si="16"/>
        <v>-</v>
      </c>
      <c r="O70" s="202">
        <f t="shared" si="17"/>
        <v>0</v>
      </c>
      <c r="P70" s="41">
        <f>IF(ISNUMBER(VLOOKUP(B70,[4]CLOSURES!B:BI,3,FALSE)),TEXT(VLOOKUP(B70,[4]CLOSURES!B:BI,3,FALSE),"ddmmm"),IF(F70&lt;=0,0,IF(I70&lt;=0,0,IF(AND(F70&gt;0,O70&lt;=0),"&gt;52",IF(I70/O70&gt;52,"&gt;52", MAX(0,I70/O70-2))))))</f>
        <v>0</v>
      </c>
    </row>
    <row r="71" spans="1:16" s="2" customFormat="1" ht="10.75" customHeight="1" x14ac:dyDescent="0.25">
      <c r="A71" s="158"/>
      <c r="B71" s="152" t="s">
        <v>82</v>
      </c>
      <c r="C71" s="130">
        <f>'[5]Maj Pel Combined'!$C$11</f>
        <v>0</v>
      </c>
      <c r="D71" s="200">
        <f>F71-VLOOKUP(B71,[4]quotas!$B$85:$W$120,3,FALSE)</f>
        <v>0</v>
      </c>
      <c r="E71" s="200">
        <f>F71-C71</f>
        <v>0</v>
      </c>
      <c r="F71" s="201">
        <f>VLOOKUP(B71,[4]quotas!$B$46:$W$84,3,FALSE)</f>
        <v>0</v>
      </c>
      <c r="G71" s="202">
        <f>VLOOKUP(B71,[4]Cumulative!$A$56:$X$91,3,FALSE)</f>
        <v>0</v>
      </c>
      <c r="H71" s="151">
        <f>IF(AND(F71=0,G71&gt;0),"n/a",IF(F71=0,0,100*G71/F71))</f>
        <v>0</v>
      </c>
      <c r="I71" s="201">
        <f>IF(F71="*","*",F71-G71)</f>
        <v>0</v>
      </c>
      <c r="J71" s="202">
        <f>VLOOKUP(B71,[4]Weeks!$A$125:$X$161,3,FALSE)-VLOOKUP(B71,[4]Weeks!$A$165:$X$200,3,FALSE)</f>
        <v>0</v>
      </c>
      <c r="K71" s="202">
        <f>VLOOKUP(B71,[4]Weeks!$A$85:$X$121,3,FALSE)-VLOOKUP(B71,[4]Weeks!$A$125:$X$161,3,FALSE)</f>
        <v>0</v>
      </c>
      <c r="L71" s="202">
        <f>VLOOKUP(B71,[4]Weeks!$A$44:$X$81,3,FALSE)-VLOOKUP(B71,[4]Weeks!$A$85:$X$121,3,FALSE)</f>
        <v>0</v>
      </c>
      <c r="M71" s="202">
        <f>VLOOKUP(B71,[4]Weeks!$A$3:$X$39,3,FALSE)-VLOOKUP(B71,[4]Weeks!$A$44:$X$81,3,FALSE)</f>
        <v>0</v>
      </c>
      <c r="N71" s="11" t="str">
        <f>IF(C71="*","*",IF(C71&gt;0,M71/C71*100,"-"))</f>
        <v>-</v>
      </c>
      <c r="O71" s="202">
        <f>IF(C71="*","*",SUM(J71:M71)/4)</f>
        <v>0</v>
      </c>
      <c r="P71" s="41">
        <f>IF(ISNUMBER(VLOOKUP(B71,[4]CLOSURES!B:BI,3,FALSE)),TEXT(VLOOKUP(B71,[4]CLOSURES!B:BI,3,FALSE),"ddmmm"),IF(F71&lt;=0,0,IF(I71&lt;=0,0,IF(AND(F71&gt;0,O71&lt;=0),"&gt;52",IF(I71/O71&gt;52,"&gt;52", MAX(0,I71/O71-2))))))</f>
        <v>0</v>
      </c>
    </row>
    <row r="72" spans="1:16" s="2" customFormat="1" ht="10.75" customHeight="1" x14ac:dyDescent="0.25">
      <c r="A72" s="158"/>
      <c r="B72" s="152" t="s">
        <v>83</v>
      </c>
      <c r="C72" s="130">
        <f>'[5]Maj Pel Combined'!$C$15</f>
        <v>0</v>
      </c>
      <c r="D72" s="200">
        <f>F72-VLOOKUP(B72,[4]quotas!$B$85:$W$120,3,FALSE)</f>
        <v>0</v>
      </c>
      <c r="E72" s="200">
        <f>F72-C72</f>
        <v>0</v>
      </c>
      <c r="F72" s="201">
        <f>VLOOKUP(B72,[4]quotas!$B$46:$W$84,3,FALSE)</f>
        <v>0</v>
      </c>
      <c r="G72" s="202">
        <f>VLOOKUP(B72,[4]Cumulative!$A$56:$X$91,3,FALSE)</f>
        <v>0</v>
      </c>
      <c r="H72" s="151">
        <f>IF(AND(F72=0,G72&gt;0),"n/a",IF(F72=0,0,100*G72/F72))</f>
        <v>0</v>
      </c>
      <c r="I72" s="201">
        <f>IF(F72="*","*",F72-G72)</f>
        <v>0</v>
      </c>
      <c r="J72" s="202">
        <f>VLOOKUP(B72,[4]Weeks!$A$125:$X$161,3,FALSE)-VLOOKUP(B72,[4]Weeks!$A$165:$X$200,3,FALSE)</f>
        <v>0</v>
      </c>
      <c r="K72" s="202">
        <f>VLOOKUP(B72,[4]Weeks!$A$85:$X$121,3,FALSE)-VLOOKUP(B72,[4]Weeks!$A$125:$X$161,3,FALSE)</f>
        <v>0</v>
      </c>
      <c r="L72" s="202">
        <f>VLOOKUP(B72,[4]Weeks!$A$44:$X$81,3,FALSE)-VLOOKUP(B72,[4]Weeks!$A$85:$X$121,3,FALSE)</f>
        <v>0</v>
      </c>
      <c r="M72" s="202">
        <f>VLOOKUP(B72,[4]Weeks!$A$3:$X$39,3,FALSE)-VLOOKUP(B72,[4]Weeks!$A$44:$X$81,3,FALSE)</f>
        <v>0</v>
      </c>
      <c r="N72" s="11" t="str">
        <f>IF(C72="*","*",IF(C72&gt;0,M72/C72*100,"-"))</f>
        <v>-</v>
      </c>
      <c r="O72" s="202">
        <f t="shared" si="17"/>
        <v>0</v>
      </c>
      <c r="P72" s="41" t="str">
        <f>IF(ISNUMBER(VLOOKUP(B72,[4]CLOSURES!B:BI,3,FALSE)),TEXT(VLOOKUP(B72,[4]CLOSURES!B:BI,3,FALSE),"ddmmm"),IF(F72&lt;=0,0,IF(I72&lt;=0,0,IF(AND(F72&gt;0,O72&lt;=0),"&gt;52",IF(I72/O72&gt;52,"&gt;52", MAX(0,I72/O72-2))))))</f>
        <v>01Jan</v>
      </c>
    </row>
    <row r="73" spans="1:16" s="2" customFormat="1" ht="10.75" customHeight="1" x14ac:dyDescent="0.25">
      <c r="A73" s="203"/>
      <c r="B73" s="40" t="s">
        <v>84</v>
      </c>
      <c r="C73" s="130">
        <f>'[5]Maj Pel Combined'!$C$10</f>
        <v>0</v>
      </c>
      <c r="D73" s="200">
        <f>F73-VLOOKUP(B73,[4]quotas!$B$85:$W$120,3,FALSE)</f>
        <v>0</v>
      </c>
      <c r="E73" s="200">
        <f>F73-C73</f>
        <v>0</v>
      </c>
      <c r="F73" s="201">
        <f>VLOOKUP(B73,[4]quotas!$B$46:$W$84,3,FALSE)</f>
        <v>0</v>
      </c>
      <c r="G73" s="202">
        <f>VLOOKUP(B73,[4]Cumulative!$A$56:$X$91,3,FALSE)</f>
        <v>0</v>
      </c>
      <c r="H73" s="151">
        <f t="shared" si="11"/>
        <v>0</v>
      </c>
      <c r="I73" s="201">
        <f>IF(F73="*","*",F73-G73)</f>
        <v>0</v>
      </c>
      <c r="J73" s="202">
        <f>VLOOKUP(B73,[4]Weeks!$A$125:$X$161,3,FALSE)-VLOOKUP(B73,[4]Weeks!$A$165:$X$200,3,FALSE)</f>
        <v>0</v>
      </c>
      <c r="K73" s="202">
        <f>VLOOKUP(B73,[4]Weeks!$A$85:$X$121,3,FALSE)-VLOOKUP(B73,[4]Weeks!$A$125:$X$161,3,FALSE)</f>
        <v>0</v>
      </c>
      <c r="L73" s="202">
        <f>VLOOKUP(B73,[4]Weeks!$A$44:$X$81,3,FALSE)-VLOOKUP(B73,[4]Weeks!$A$85:$X$121,3,FALSE)</f>
        <v>0</v>
      </c>
      <c r="M73" s="202">
        <f>VLOOKUP(B73,[4]Weeks!$A$3:$X$39,3,FALSE)-VLOOKUP(B73,[4]Weeks!$A$44:$X$81,3,FALSE)</f>
        <v>0</v>
      </c>
      <c r="N73" s="11" t="str">
        <f t="shared" si="16"/>
        <v>-</v>
      </c>
      <c r="O73" s="202">
        <f t="shared" si="17"/>
        <v>0</v>
      </c>
      <c r="P73" s="41">
        <f>IF(ISNUMBER(VLOOKUP(B73,[4]CLOSURES!B:BI,3,FALSE)),TEXT(VLOOKUP(B73,[4]CLOSURES!B:BI,3,FALSE),"ddmmm"),IF(F73&lt;=0,0,IF(I73&lt;=0,0,IF(AND(F73&gt;0,O73&lt;=0),"&gt;52",IF(I73/O73&gt;52,"&gt;52", MAX(0,I73/O73-2))))))</f>
        <v>0</v>
      </c>
    </row>
    <row r="74" spans="1:16" s="2" customFormat="1" ht="10.75" customHeight="1" x14ac:dyDescent="0.25">
      <c r="A74" s="158"/>
      <c r="B74" s="40" t="s">
        <v>85</v>
      </c>
      <c r="C74" s="130">
        <f>'[5]Maj Pel Combined'!$C$12</f>
        <v>0</v>
      </c>
      <c r="D74" s="200">
        <f>F74-VLOOKUP(B74,[4]quotas!$B$85:$W$120,3,FALSE)</f>
        <v>0</v>
      </c>
      <c r="E74" s="200">
        <f>F74-C74</f>
        <v>0</v>
      </c>
      <c r="F74" s="201">
        <f>VLOOKUP(B74,[4]quotas!$B$46:$W$84,3,FALSE)</f>
        <v>0</v>
      </c>
      <c r="G74" s="202">
        <f>VLOOKUP(B74,[4]Cumulative!$A$56:$X$91,3,FALSE)</f>
        <v>0</v>
      </c>
      <c r="H74" s="151">
        <f t="shared" si="11"/>
        <v>0</v>
      </c>
      <c r="I74" s="201">
        <f>IF(F74="*","*",F74-G74)</f>
        <v>0</v>
      </c>
      <c r="J74" s="202">
        <f>VLOOKUP(B74,[4]Weeks!$A$125:$X$161,3,FALSE)-VLOOKUP(B74,[4]Weeks!$A$165:$X$200,3,FALSE)</f>
        <v>0</v>
      </c>
      <c r="K74" s="202">
        <f>VLOOKUP(B74,[4]Weeks!$A$85:$X$121,3,FALSE)-VLOOKUP(B74,[4]Weeks!$A$125:$X$161,3,FALSE)</f>
        <v>0</v>
      </c>
      <c r="L74" s="202">
        <f>VLOOKUP(B74,[4]Weeks!$A$44:$X$81,3,FALSE)-VLOOKUP(B74,[4]Weeks!$A$85:$X$121,3,FALSE)</f>
        <v>0</v>
      </c>
      <c r="M74" s="202">
        <f>VLOOKUP(B74,[4]Weeks!$A$3:$X$39,3,FALSE)-VLOOKUP(B74,[4]Weeks!$A$44:$X$81,3,FALSE)</f>
        <v>0</v>
      </c>
      <c r="N74" s="11" t="str">
        <f>IF(C74="*","*",IF(C74&gt;0,M74/C74*100,"-"))</f>
        <v>-</v>
      </c>
      <c r="O74" s="202">
        <f>IF(C74="*","*",SUM(J74:M74)/4)</f>
        <v>0</v>
      </c>
      <c r="P74" s="41">
        <f>IF(ISNUMBER(VLOOKUP(B74,[4]CLOSURES!B:BI,3,FALSE)),TEXT(VLOOKUP(B74,[4]CLOSURES!B:BI,3,FALSE),"ddmmm"),IF(F74&lt;=0,0,IF(I74&lt;=0,0,IF(AND(F74&gt;0,O74&lt;=0),"&gt;52",IF(I74/O74&gt;52,"&gt;52", MAX(0,I74/O74-2))))))</f>
        <v>0</v>
      </c>
    </row>
    <row r="75" spans="1:16" s="2" customFormat="1" ht="10.75" customHeight="1" x14ac:dyDescent="0.25">
      <c r="A75" s="158"/>
      <c r="B75" s="162" t="s">
        <v>86</v>
      </c>
      <c r="C75" s="130">
        <f>SUM(C50:C59)+SUM(C62:C74)</f>
        <v>0</v>
      </c>
      <c r="D75" s="202">
        <f>SUM(D50:D59)+SUM(D62:D74)</f>
        <v>0</v>
      </c>
      <c r="E75" s="202">
        <f>SUM(E50:E59)+SUM(E62:E74)</f>
        <v>0</v>
      </c>
      <c r="F75" s="201">
        <f>SUM(F50:F59)+SUM(F62:F74)</f>
        <v>0</v>
      </c>
      <c r="G75" s="202">
        <f>SUM(G50:G59)+SUM(G62:G74)</f>
        <v>7.2</v>
      </c>
      <c r="H75" s="151" t="str">
        <f t="shared" si="11"/>
        <v>n/a</v>
      </c>
      <c r="I75" s="201">
        <f>IF(F75="*","*",F75-G75)</f>
        <v>-7.2</v>
      </c>
      <c r="J75" s="202">
        <f>SUM(J50:J59)+SUM(J62:J74)</f>
        <v>0</v>
      </c>
      <c r="K75" s="202">
        <f>SUM(K50:K59)+SUM(K62:K73)</f>
        <v>0</v>
      </c>
      <c r="L75" s="202">
        <f>SUM(L50:L59)+SUM(L62:L73)</f>
        <v>0</v>
      </c>
      <c r="M75" s="202">
        <f>SUM(M50:M59)+SUM(M62:M74)</f>
        <v>0</v>
      </c>
      <c r="N75" s="11" t="str">
        <f>IF(C75="*","*",IF(C75&gt;0,M75/C75*100,"-"))</f>
        <v>-</v>
      </c>
      <c r="O75" s="202">
        <f>IF(C75="*","*",SUM(J75:M75)/4)</f>
        <v>0</v>
      </c>
      <c r="P75" s="41">
        <f>IF(ISNUMBER(VLOOKUP(B75,[4]CLOSURES!B:BI,3,FALSE)),TEXT(VLOOKUP(B75,[4]CLOSURES!B:BI,3,FALSE),"ddmmm"),IF(F75&lt;=0,0,IF(I75&lt;=0,0,IF(AND(F75&gt;0,O75&lt;=0),"&gt;52",IF(I75/O75&gt;52,"&gt;52", MAX(0,I75/O75-2))))))</f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f>'[4]Pel Non PO'!C37</f>
        <v>0</v>
      </c>
      <c r="D77" s="200">
        <f>'[4]Pel Non PO'!D37</f>
        <v>0</v>
      </c>
      <c r="E77" s="200">
        <f>F77-C77</f>
        <v>0</v>
      </c>
      <c r="F77" s="201">
        <f>'[4]Pel Non PO'!F37</f>
        <v>0</v>
      </c>
      <c r="G77" s="202">
        <f>'[4]Pel Non PO'!G37</f>
        <v>0</v>
      </c>
      <c r="H77" s="151">
        <f t="shared" si="11"/>
        <v>0</v>
      </c>
      <c r="I77" s="201">
        <f t="shared" si="13"/>
        <v>0</v>
      </c>
      <c r="J77" s="202">
        <f>'[4]Pel Non PO'!J37</f>
        <v>0</v>
      </c>
      <c r="K77" s="202">
        <f>'[4]Pel Non PO'!K37</f>
        <v>0</v>
      </c>
      <c r="L77" s="202">
        <f>'[4]Pel Non PO'!L37</f>
        <v>0</v>
      </c>
      <c r="M77" s="202">
        <f>'[4]Pel Non PO'!M37</f>
        <v>0</v>
      </c>
      <c r="N77" s="11" t="str">
        <f>IF(C77="*","*",IF(C77&gt;0,M77/C77*100,"-"))</f>
        <v>-</v>
      </c>
      <c r="O77" s="202">
        <f>IF(C77="*","*",SUM(J77:M77)/4)</f>
        <v>0</v>
      </c>
      <c r="P77" s="41">
        <f>IF(ISNUMBER(VLOOKUP(B77,[4]CLOSURES!B:BI,3,FALSE)),TEXT(VLOOKUP(B77,[4]CLOSURES!B:BI,3,FALSE),"ddmmm"),IF(F77&lt;=0,0,IF(I77&lt;=0,0,IF(AND(F77&gt;0,O77&lt;=0),"&gt;52",IF(I77/O77&gt;52,"&gt;52", MAX(0,I77/O77-2))))))</f>
        <v>0</v>
      </c>
    </row>
    <row r="78" spans="1:16" s="2" customFormat="1" ht="10.75" customHeight="1" x14ac:dyDescent="0.25">
      <c r="B78" s="44" t="s">
        <v>88</v>
      </c>
      <c r="C78" s="130">
        <f>'[5]Maj Pel Combined'!$C$33</f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f>IF(C78="*","*",SUM(J78:M78)/4)</f>
        <v>0</v>
      </c>
      <c r="P78" s="41" t="str">
        <f>IF(ISNUMBER(VLOOKUP(B78,[4]CLOSURES!B:BI,3,FALSE)),TEXT(VLOOKUP(B78,[4]CLOSURES!B:BI,3,FALSE),"ddmmm"),IF(F78&lt;=0,0,IF(I78&lt;=0,0,IF(AND(F78&gt;0,O78&lt;=0),"&gt;52",IF(I78/O78&gt;52,"&gt;52", MAX(0,I78/O78-2))))))</f>
        <v>01Jan</v>
      </c>
    </row>
    <row r="79" spans="1:16" s="2" customFormat="1" ht="10.75" customHeight="1" x14ac:dyDescent="0.25">
      <c r="B79" s="44" t="s">
        <v>89</v>
      </c>
      <c r="C79" s="130">
        <f>'[4]Pel Non PO'!C44</f>
        <v>0</v>
      </c>
      <c r="D79" s="200">
        <f>'[4]Pel Non PO'!D44</f>
        <v>0</v>
      </c>
      <c r="E79" s="200">
        <f>F79-C79</f>
        <v>0</v>
      </c>
      <c r="F79" s="201">
        <f>'[4]Pel Non PO'!F44</f>
        <v>0</v>
      </c>
      <c r="G79" s="202">
        <f>'[4]Pel Non PO'!G44</f>
        <v>0</v>
      </c>
      <c r="H79" s="151">
        <f t="shared" si="11"/>
        <v>0</v>
      </c>
      <c r="I79" s="201">
        <f t="shared" si="13"/>
        <v>0</v>
      </c>
      <c r="J79" s="202">
        <f>'[4]Pel Non PO'!J44</f>
        <v>0</v>
      </c>
      <c r="K79" s="202">
        <f>'[4]Pel Non PO'!K44</f>
        <v>0</v>
      </c>
      <c r="L79" s="202">
        <f>'[4]Pel Non PO'!L44</f>
        <v>0</v>
      </c>
      <c r="M79" s="202">
        <f>'[4]Pel Non PO'!M44</f>
        <v>0</v>
      </c>
      <c r="N79" s="11" t="str">
        <f>IF(C79="*","*",IF(C79&gt;0,M79/C79*100,"-"))</f>
        <v>-</v>
      </c>
      <c r="O79" s="202">
        <f>IF(C79="*","*",SUM(J79:M79)/4)</f>
        <v>0</v>
      </c>
      <c r="P79" s="41" t="str">
        <f>IF(ISNUMBER(VLOOKUP(B79,[4]CLOSURES!B:BI,3,FALSE)),TEXT(VLOOKUP(B79,[4]CLOSURES!B:BI,3,FALSE),"ddmmm"),IF(F79&lt;=0,0,IF(I79&lt;=0,0,IF(AND(F79&gt;0,O79&lt;=0),"&gt;52",IF(I79/O79&gt;52,"&gt;52", MAX(0,I79/O79-2))))))</f>
        <v>01Jan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f>'[5]Maj Pel Combined'!$C$41+'[5]Unallocated swaps'!$AI$5</f>
        <v>0</v>
      </c>
      <c r="D81" s="200"/>
      <c r="E81" s="200"/>
      <c r="F81" s="201">
        <f>C81-E81</f>
        <v>0</v>
      </c>
      <c r="G81" s="202"/>
      <c r="H81" s="151"/>
      <c r="I81" s="201">
        <f>F81-G81</f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f>C75+SUM(C77:C81)</f>
        <v>0</v>
      </c>
      <c r="D82" s="131">
        <f>D75+SUM(D77:D81)</f>
        <v>0</v>
      </c>
      <c r="E82" s="131">
        <f>E75+SUM(E77:E81)</f>
        <v>0</v>
      </c>
      <c r="F82" s="132">
        <f>[4]quotas!D79+F81</f>
        <v>2250</v>
      </c>
      <c r="G82" s="131">
        <f>G75+SUM(G77:G81)</f>
        <v>7.2</v>
      </c>
      <c r="H82" s="156">
        <f t="shared" si="11"/>
        <v>0.32</v>
      </c>
      <c r="I82" s="132">
        <f t="shared" si="13"/>
        <v>2242.8000000000002</v>
      </c>
      <c r="J82" s="131">
        <f>J79+J77+J75</f>
        <v>0</v>
      </c>
      <c r="K82" s="131">
        <f>K79+K77+K75</f>
        <v>0</v>
      </c>
      <c r="L82" s="131">
        <f>VLOOKUP(B82,[4]Weeks!$A$44:$X$81,3,FALSE)-VLOOKUP(B82,[4]Weeks!$A$85:$X$121,3,FALSE)</f>
        <v>0</v>
      </c>
      <c r="M82" s="131">
        <f>M79+M77+M75</f>
        <v>0</v>
      </c>
      <c r="N82" s="53" t="str">
        <f>IF(ISTEXT(C82),"*", IF(C82&gt;0,M82/C82*100,"-"))</f>
        <v>-</v>
      </c>
      <c r="O82" s="131">
        <f>SUM(J82:M82)/4</f>
        <v>0</v>
      </c>
      <c r="P82" s="49" t="str">
        <f>IF(ISNUMBER(VLOOKUP(B82,[4]CLOSURES!B:BI,3,FALSE)),TEXT(VLOOKUP(B82,[4]CLOSURES!B:BI,3,FALSE),"ddmmm"),IF(F82&lt;=0,0,IF(I82&lt;=0,0,IF(AND(F82&gt;0,O82&lt;=0),"&gt;52",IF(I82/O82&gt;52,"&gt;52", MAX(0,I82/O82-2))))))</f>
        <v>&gt;52</v>
      </c>
    </row>
    <row r="83" spans="1:254" ht="10.75" customHeight="1" x14ac:dyDescent="0.3">
      <c r="B83" s="163" t="str">
        <f>"Number of Weeks to end of year is "&amp;TEXT(("31-Dec-2022"-'[4]Landings '!$B$2)/7,"0")</f>
        <v>Number of Weeks to end of year is 2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f>$J7</f>
        <v>44895</v>
      </c>
      <c r="K90" s="33">
        <f>$K7</f>
        <v>44902</v>
      </c>
      <c r="L90" s="33">
        <f>$L7</f>
        <v>44909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f>'[5]Maj Pel Combined'!$D$23</f>
        <v>46046.5</v>
      </c>
      <c r="D93" s="200">
        <f>F93-VLOOKUP(B93,[4]quotas!$B$85:$W$120,4,FALSE)</f>
        <v>207</v>
      </c>
      <c r="E93" s="200">
        <f t="shared" ref="E93:E123" si="18">F93-C93</f>
        <v>2502.0999999999985</v>
      </c>
      <c r="F93" s="201">
        <f>VLOOKUP(B93,[4]quotas!$B$46:$W$84,4,FALSE)</f>
        <v>48548.6</v>
      </c>
      <c r="G93" s="202">
        <f>VLOOKUP(B93,[4]Cumulative!$A$56:$X$91,4,FALSE)+VLOOKUP(B93,[4]Cumulative!$A$56:$X$91,6,FALSE)-'[4]Scentific landings'!D6+'[4]Missing WS Mac_Herr'!B2-'[4]Special Conditions stocks'!C156</f>
        <v>49432.430999999997</v>
      </c>
      <c r="H93" s="151">
        <f>IF(AND(F93=0,G93&gt;0),"n/a",IF(F93=0,0,100*G93/F93))</f>
        <v>101.82050769744133</v>
      </c>
      <c r="I93" s="201">
        <f>IF(F93="*","*",F93-G93)</f>
        <v>-883.83099999999831</v>
      </c>
      <c r="J93" s="202">
        <f>VLOOKUP(B93,[4]Weeks!$A$125:$X$161,4,FALSE)-VLOOKUP(B93,[4]Weeks!$A$165:$X$200,4,FALSE)+J133+J858</f>
        <v>438.38999999999942</v>
      </c>
      <c r="K93" s="202">
        <f>VLOOKUP(B93,[4]Weeks!$A$85:$X$121,4,FALSE)-VLOOKUP(B93,[4]Weeks!$A$125:$X$161,4,FALSE)+K133+K858</f>
        <v>0</v>
      </c>
      <c r="L93" s="202">
        <f>VLOOKUP(B93,[4]Weeks!$A$44:$X$81,4,FALSE)-VLOOKUP(B93,[4]Weeks!$A$85:$X$121,4,FALSE)+L133+L858</f>
        <v>11.360000000000582</v>
      </c>
      <c r="M93" s="202">
        <f>VLOOKUP(B93,[4]Weeks!$A$3:$X$39,6,FALSE)-VLOOKUP(B93,[4]Weeks!$A$44:$X$81,6,FALSE)+ VLOOKUP(B93,[4]Weeks!$A$3:$X$39,4,FALSE)-VLOOKUP(B93,[4]Weeks!$A$44:$X$81,4,FALSE)+M858</f>
        <v>0</v>
      </c>
      <c r="N93" s="11">
        <f t="shared" ref="N93:N102" si="19">IF(C93="*","*",IF(C93&gt;0,M93/C93*100,"-"))</f>
        <v>0</v>
      </c>
      <c r="O93" s="202">
        <f t="shared" ref="O93:O102" si="20">IF(C93="*","*",SUM(J93:M93)/4)</f>
        <v>112.4375</v>
      </c>
      <c r="P93" s="41">
        <f>IF(ISNUMBER(VLOOKUP(B93,[4]CLOSURES!B:BI,4,FALSE)),TEXT(VLOOKUP(B93,[4]CLOSURES!B:BI,4,FALSE),"ddmmm"),IF(F93&lt;=0,0,IF(I93&lt;=0,0,IF(AND(F93&gt;0,O93&lt;=0),"&gt;52",IF(I93/O93&gt;52,"&gt;52", MAX(0,I93/O93-2))))))</f>
        <v>0</v>
      </c>
      <c r="Q93" s="158"/>
      <c r="T93" s="4"/>
    </row>
    <row r="94" spans="1:254" ht="10.75" customHeight="1" x14ac:dyDescent="0.3">
      <c r="B94" s="40" t="s">
        <v>63</v>
      </c>
      <c r="C94" s="130">
        <f>'[5]Maj Pel Combined'!$D$16</f>
        <v>7</v>
      </c>
      <c r="D94" s="200">
        <f>F94-VLOOKUP(B94,[4]quotas!$B$85:$W$120,4,FALSE)</f>
        <v>0</v>
      </c>
      <c r="E94" s="200">
        <f t="shared" si="18"/>
        <v>20</v>
      </c>
      <c r="F94" s="201">
        <f>VLOOKUP(B94,[4]quotas!$B$46:$W$84,4,FALSE)</f>
        <v>27</v>
      </c>
      <c r="G94" s="202">
        <f>VLOOKUP(B94,[4]Cumulative!$A$56:$X$91,4,FALSE)+VLOOKUP(B94,[4]Cumulative!$A$56:$X$91,6,FALSE)</f>
        <v>24.4</v>
      </c>
      <c r="H94" s="151">
        <f t="shared" ref="H94:H125" si="21">IF(AND(F94=0,G94&gt;0),"n/a",IF(F94=0,0,100*G94/F94))</f>
        <v>90.370370370370367</v>
      </c>
      <c r="I94" s="201">
        <f t="shared" ref="I94:I123" si="22">IF(F94="*","*",F94-G94)</f>
        <v>2.6000000000000014</v>
      </c>
      <c r="J94" s="202">
        <f>VLOOKUP(B94,[4]Weeks!$A$125:$X$161,4,FALSE)-VLOOKUP(B94,[4]Weeks!$A$165:$X$200,4,FALSE)+J134+J859</f>
        <v>0</v>
      </c>
      <c r="K94" s="202">
        <f>VLOOKUP(B94,[4]Weeks!$A$85:$X$121,4,FALSE)-VLOOKUP(B94,[4]Weeks!$A$125:$X$161,4,FALSE)+K134+K859</f>
        <v>0</v>
      </c>
      <c r="L94" s="202">
        <f>VLOOKUP(B94,[4]Weeks!$A$44:$X$81,4,FALSE)-VLOOKUP(B94,[4]Weeks!$A$85:$X$121,4,FALSE)+L134+L859</f>
        <v>17.47</v>
      </c>
      <c r="M94" s="202">
        <f>VLOOKUP(B94,[4]Weeks!$A$3:$X$39,6,FALSE)-VLOOKUP(B94,[4]Weeks!$A$44:$X$81,6,FALSE)+ VLOOKUP(B94,[4]Weeks!$A$3:$X$39,4,FALSE)-VLOOKUP(B94,[4]Weeks!$A$44:$X$81,4,FALSE)+M859</f>
        <v>0</v>
      </c>
      <c r="N94" s="11">
        <f t="shared" si="19"/>
        <v>0</v>
      </c>
      <c r="O94" s="202">
        <f t="shared" si="20"/>
        <v>4.3674999999999997</v>
      </c>
      <c r="P94" s="41" t="str">
        <f>IF(ISNUMBER(VLOOKUP(B94,[4]CLOSURES!B:BI,4,FALSE)),TEXT(VLOOKUP(B94,[4]CLOSURES!B:BI,4,FALSE),"ddmmm"),IF(F94&lt;=0,0,IF(I94&lt;=0,0,IF(AND(F94&gt;0,O94&lt;=0),"&gt;52",IF(I94/O94&gt;52,"&gt;52", MAX(0,I94/O94-2))))))</f>
        <v>01Jan</v>
      </c>
      <c r="Q94" s="158"/>
      <c r="T94" s="4"/>
    </row>
    <row r="95" spans="1:254" ht="10.75" customHeight="1" x14ac:dyDescent="0.3">
      <c r="B95" s="40" t="s">
        <v>65</v>
      </c>
      <c r="C95" s="130">
        <f>'[5]Maj Pel Combined'!$D$20</f>
        <v>0.5</v>
      </c>
      <c r="D95" s="200">
        <f>F95-VLOOKUP(B95,[4]quotas!$B$85:$W$120,4,FALSE)</f>
        <v>0</v>
      </c>
      <c r="E95" s="200">
        <f t="shared" si="18"/>
        <v>2.2000000000000002</v>
      </c>
      <c r="F95" s="201">
        <f>VLOOKUP(B95,[4]quotas!$B$46:$W$84,4,FALSE)</f>
        <v>2.7</v>
      </c>
      <c r="G95" s="202">
        <f>VLOOKUP(B95,[4]Cumulative!$A$56:$X$91,4,FALSE)+VLOOKUP(B95,[4]Cumulative!$A$56:$X$91,6,FALSE)</f>
        <v>2.1</v>
      </c>
      <c r="H95" s="151">
        <f t="shared" si="21"/>
        <v>77.777777777777771</v>
      </c>
      <c r="I95" s="201">
        <f t="shared" si="22"/>
        <v>0.60000000000000009</v>
      </c>
      <c r="J95" s="202">
        <f>VLOOKUP(B95,[4]Weeks!$A$125:$X$161,4,FALSE)-VLOOKUP(B95,[4]Weeks!$A$165:$X$200,4,FALSE)+J135+J860</f>
        <v>0</v>
      </c>
      <c r="K95" s="202">
        <f>VLOOKUP(B95,[4]Weeks!$A$85:$X$121,4,FALSE)-VLOOKUP(B95,[4]Weeks!$A$125:$X$161,4,FALSE)+K135+K860</f>
        <v>0</v>
      </c>
      <c r="L95" s="202">
        <f>VLOOKUP(B95,[4]Weeks!$A$44:$X$81,4,FALSE)-VLOOKUP(B95,[4]Weeks!$A$85:$X$121,4,FALSE)+L135+L860</f>
        <v>2.0300000000000002</v>
      </c>
      <c r="M95" s="202">
        <f>VLOOKUP(B95,[4]Weeks!$A$3:$X$39,6,FALSE)-VLOOKUP(B95,[4]Weeks!$A$44:$X$81,6,FALSE)+ VLOOKUP(B95,[4]Weeks!$A$3:$X$39,4,FALSE)-VLOOKUP(B95,[4]Weeks!$A$44:$X$81,4,FALSE)+M860</f>
        <v>0</v>
      </c>
      <c r="N95" s="11">
        <f t="shared" si="19"/>
        <v>0</v>
      </c>
      <c r="O95" s="202">
        <f t="shared" si="20"/>
        <v>0.50750000000000006</v>
      </c>
      <c r="P95" s="41" t="str">
        <f>IF(ISNUMBER(VLOOKUP(B95,[4]CLOSURES!B:BI,4,FALSE)),TEXT(VLOOKUP(B95,[4]CLOSURES!B:BI,4,FALSE),"ddmmm"),IF(F95&lt;=0,0,IF(I95&lt;=0,0,IF(AND(F95&gt;0,O95&lt;=0),"&gt;52",IF(I95/O95&gt;52,"&gt;52", MAX(0,I95/O95-2))))))</f>
        <v>01Jan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f>'[5]Maj Pel Combined'!$D$24</f>
        <v>41135</v>
      </c>
      <c r="D96" s="200">
        <f>F96-VLOOKUP(B96,[4]quotas!$B$85:$W$120,4,FALSE)</f>
        <v>0</v>
      </c>
      <c r="E96" s="200">
        <f t="shared" si="18"/>
        <v>374</v>
      </c>
      <c r="F96" s="201">
        <f>VLOOKUP(B96,[4]quotas!$B$46:$W$84,4,FALSE)</f>
        <v>41509</v>
      </c>
      <c r="G96" s="202">
        <f>VLOOKUP(B96,[4]Cumulative!$A$56:$X$91,4,FALSE)+VLOOKUP(B96,[4]Cumulative!$A$56:$X$91,6,FALSE)-'[4]Box-NS tranfers'!B9+'[4]Missing WS Mac_Herr'!B3-'[4]Scentific landings'!D9-'[4]Shet box to NS Mac'!B5</f>
        <v>36202.509000000005</v>
      </c>
      <c r="H96" s="151">
        <f t="shared" si="21"/>
        <v>87.21604712231084</v>
      </c>
      <c r="I96" s="201">
        <f t="shared" si="22"/>
        <v>5306.4909999999945</v>
      </c>
      <c r="J96" s="202">
        <f>VLOOKUP(B96,[4]Weeks!$A$125:$X$161,4,FALSE)-VLOOKUP(B96,[4]Weeks!$A$165:$X$200,4,FALSE)+J136+J861</f>
        <v>538.47999999999593</v>
      </c>
      <c r="K96" s="202">
        <f>VLOOKUP(B96,[4]Weeks!$A$85:$X$121,4,FALSE)-VLOOKUP(B96,[4]Weeks!$A$125:$X$161,4,FALSE)+K136+K861</f>
        <v>3.6900000000023283</v>
      </c>
      <c r="L96" s="202">
        <f>VLOOKUP(B96,[4]Weeks!$A$44:$X$81,4,FALSE)-VLOOKUP(B96,[4]Weeks!$A$85:$X$121,4,FALSE)+L136+L861</f>
        <v>5.9999999997671694E-2</v>
      </c>
      <c r="M96" s="202">
        <f>VLOOKUP(B96,[4]Weeks!$A$3:$X$39,6,FALSE)-VLOOKUP(B96,[4]Weeks!$A$44:$X$81,6,FALSE)+ VLOOKUP(B96,[4]Weeks!$A$3:$X$39,4,FALSE)-VLOOKUP(B96,[4]Weeks!$A$44:$X$81,4,FALSE)+M861</f>
        <v>2.0000000004074536E-2</v>
      </c>
      <c r="N96" s="11">
        <f t="shared" si="19"/>
        <v>4.8620396266134766E-5</v>
      </c>
      <c r="O96" s="202">
        <f t="shared" si="20"/>
        <v>135.5625</v>
      </c>
      <c r="P96" s="41">
        <f>IF(ISNUMBER(VLOOKUP(B96,[4]CLOSURES!B:BI,4,FALSE)),TEXT(VLOOKUP(B96,[4]CLOSURES!B:BI,4,FALSE),"ddmmm"),IF(F96&lt;=0,0,IF(I96&lt;=0,0,IF(AND(F96&gt;0,O96&lt;=0),"&gt;52",IF(I96/O96&gt;52,"&gt;52", MAX(0,I96/O96-2))))))</f>
        <v>37.144239741816463</v>
      </c>
      <c r="Q96" s="158"/>
      <c r="T96" s="4"/>
    </row>
    <row r="97" spans="1:20" ht="10.75" customHeight="1" x14ac:dyDescent="0.3">
      <c r="B97" s="40" t="s">
        <v>67</v>
      </c>
      <c r="C97" s="130">
        <f>'[5]Maj Pel Combined'!$D$17</f>
        <v>1.7</v>
      </c>
      <c r="D97" s="200">
        <f>F97-VLOOKUP(B97,[4]quotas!$B$85:$W$120,4,FALSE)</f>
        <v>0</v>
      </c>
      <c r="E97" s="200">
        <f>F97-C97</f>
        <v>12.9</v>
      </c>
      <c r="F97" s="201">
        <f>VLOOKUP(B97,[4]quotas!$B$46:$W$84,4,FALSE)</f>
        <v>14.6</v>
      </c>
      <c r="G97" s="202">
        <f>VLOOKUP(B97,[4]Cumulative!$A$56:$X$91,4,FALSE)+VLOOKUP(B97,[4]Cumulative!$A$56:$X$91,6,FALSE)</f>
        <v>100.74800014114379</v>
      </c>
      <c r="H97" s="151">
        <f>IF(AND(F97=0,G97&gt;0),"n/a",IF(F97=0,0,100*G97/F97))</f>
        <v>690.05479548728624</v>
      </c>
      <c r="I97" s="201">
        <f>IF(F97="*","*",F97-G97)</f>
        <v>-86.148000141143797</v>
      </c>
      <c r="J97" s="202">
        <f>VLOOKUP(B97,[4]Weeks!$A$125:$X$161,4,FALSE)-VLOOKUP(B97,[4]Weeks!$A$165:$X$200,4,FALSE)+J137+J862</f>
        <v>1.9999999999996021E-2</v>
      </c>
      <c r="K97" s="202">
        <f>VLOOKUP(B97,[4]Weeks!$A$85:$X$121,4,FALSE)-VLOOKUP(B97,[4]Weeks!$A$125:$X$161,4,FALSE)+K137+K862</f>
        <v>1.300000000000523E-2</v>
      </c>
      <c r="L97" s="202">
        <f>VLOOKUP(B97,[4]Weeks!$A$44:$X$81,4,FALSE)-VLOOKUP(B97,[4]Weeks!$A$85:$X$121,4,FALSE)+L137+L862</f>
        <v>7.9999999999998295E-2</v>
      </c>
      <c r="M97" s="202">
        <f>VLOOKUP(B97,[4]Weeks!$A$3:$X$39,6,FALSE)-VLOOKUP(B97,[4]Weeks!$A$44:$X$81,6,FALSE)+ VLOOKUP(B97,[4]Weeks!$A$3:$X$39,4,FALSE)-VLOOKUP(B97,[4]Weeks!$A$44:$X$81,4,FALSE)+M862</f>
        <v>4.0000000000006253E-2</v>
      </c>
      <c r="N97" s="11">
        <f>IF(C97="*","*",IF(C97&gt;0,M97/C97*100,"-"))</f>
        <v>2.352941176470956</v>
      </c>
      <c r="O97" s="202">
        <f t="shared" si="20"/>
        <v>3.825000000000145E-2</v>
      </c>
      <c r="P97" s="41">
        <f>IF(ISNUMBER(VLOOKUP(B97,[4]CLOSURES!B:BI,4,FALSE)),TEXT(VLOOKUP(B97,[4]CLOSURES!B:BI,4,FALSE),"ddmmm"),IF(F97&lt;=0,0,IF(I97&lt;=0,0,IF(AND(F97&gt;0,O97&lt;=0),"&gt;52",IF(I97/O97&gt;52,"&gt;52", MAX(0,I97/O97-2))))))</f>
        <v>0</v>
      </c>
      <c r="Q97" s="158"/>
      <c r="T97" s="4"/>
    </row>
    <row r="98" spans="1:20" ht="10.75" customHeight="1" x14ac:dyDescent="0.3">
      <c r="B98" s="40" t="s">
        <v>68</v>
      </c>
      <c r="C98" s="130">
        <f>'[5]Maj Pel Combined'!$D$25</f>
        <v>16</v>
      </c>
      <c r="D98" s="200">
        <f>F98-VLOOKUP(B98,[4]quotas!$B$85:$W$120,4,FALSE)</f>
        <v>0</v>
      </c>
      <c r="E98" s="200">
        <f t="shared" si="18"/>
        <v>-13.4</v>
      </c>
      <c r="F98" s="201">
        <f>VLOOKUP(B98,[4]quotas!$B$46:$W$84,4,FALSE)</f>
        <v>2.5999999999999996</v>
      </c>
      <c r="G98" s="202">
        <f>VLOOKUP(B98,[4]Cumulative!$A$56:$X$91,4,FALSE)+VLOOKUP(B98,[4]Cumulative!$A$56:$X$91,6,FALSE)</f>
        <v>0</v>
      </c>
      <c r="H98" s="151">
        <f t="shared" si="21"/>
        <v>0</v>
      </c>
      <c r="I98" s="201">
        <f t="shared" si="22"/>
        <v>2.5999999999999996</v>
      </c>
      <c r="J98" s="202">
        <f>VLOOKUP(B98,[4]Weeks!$A$125:$X$161,4,FALSE)-VLOOKUP(B98,[4]Weeks!$A$165:$X$200,4,FALSE)+J138+J863</f>
        <v>0</v>
      </c>
      <c r="K98" s="202">
        <f>VLOOKUP(B98,[4]Weeks!$A$85:$X$121,4,FALSE)-VLOOKUP(B98,[4]Weeks!$A$125:$X$161,4,FALSE)+K138+K863</f>
        <v>0</v>
      </c>
      <c r="L98" s="202">
        <f>VLOOKUP(B98,[4]Weeks!$A$44:$X$81,4,FALSE)-VLOOKUP(B98,[4]Weeks!$A$85:$X$121,4,FALSE)+L138+L863</f>
        <v>0</v>
      </c>
      <c r="M98" s="202">
        <f>VLOOKUP(B98,[4]Weeks!$A$3:$X$39,6,FALSE)-VLOOKUP(B98,[4]Weeks!$A$44:$X$81,6,FALSE)+ VLOOKUP(B98,[4]Weeks!$A$3:$X$39,4,FALSE)-VLOOKUP(B98,[4]Weeks!$A$44:$X$81,4,FALSE)+M863</f>
        <v>0</v>
      </c>
      <c r="N98" s="11">
        <f t="shared" si="19"/>
        <v>0</v>
      </c>
      <c r="O98" s="202">
        <f t="shared" si="20"/>
        <v>0</v>
      </c>
      <c r="P98" s="41" t="str">
        <f>IF(ISNUMBER(VLOOKUP(B98,[4]CLOSURES!B:BI,4,FALSE)),TEXT(VLOOKUP(B98,[4]CLOSURES!B:BI,4,FALSE),"ddmmm"),IF(F98&lt;=0,0,IF(I98&lt;=0,0,IF(AND(F98&gt;0,O98&lt;=0),"&gt;52",IF(I98/O98&gt;52,"&gt;52", MAX(0,I98/O98-2))))))</f>
        <v>&gt;52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f>'[5]Maj Pel Combined'!$D$22</f>
        <v>0.4</v>
      </c>
      <c r="D99" s="200">
        <f>F99-VLOOKUP(B99,[4]quotas!$B$85:$W$120,4,FALSE)</f>
        <v>0</v>
      </c>
      <c r="E99" s="200">
        <f t="shared" si="18"/>
        <v>0</v>
      </c>
      <c r="F99" s="201">
        <f>VLOOKUP(B99,[4]quotas!$B$46:$W$84,4,FALSE)</f>
        <v>0.4</v>
      </c>
      <c r="G99" s="202">
        <f>VLOOKUP(B99,[4]Cumulative!$A$56:$X$91,4,FALSE)+VLOOKUP(B99,[4]Cumulative!$A$56:$X$91,6,FALSE)</f>
        <v>0.22</v>
      </c>
      <c r="H99" s="151">
        <f t="shared" si="21"/>
        <v>55</v>
      </c>
      <c r="I99" s="201">
        <f t="shared" si="22"/>
        <v>0.18000000000000002</v>
      </c>
      <c r="J99" s="202">
        <f>VLOOKUP(B99,[4]Weeks!$A$125:$X$161,4,FALSE)-VLOOKUP(B99,[4]Weeks!$A$165:$X$200,4,FALSE)+J139+J864</f>
        <v>0</v>
      </c>
      <c r="K99" s="202">
        <f>VLOOKUP(B99,[4]Weeks!$A$85:$X$121,4,FALSE)-VLOOKUP(B99,[4]Weeks!$A$125:$X$161,4,FALSE)+K139+K864</f>
        <v>0</v>
      </c>
      <c r="L99" s="202">
        <f>VLOOKUP(B99,[4]Weeks!$A$44:$X$81,4,FALSE)-VLOOKUP(B99,[4]Weeks!$A$85:$X$121,4,FALSE)+L139+L864</f>
        <v>0.09</v>
      </c>
      <c r="M99" s="202">
        <f>VLOOKUP(B99,[4]Weeks!$A$3:$X$39,6,FALSE)-VLOOKUP(B99,[4]Weeks!$A$44:$X$81,6,FALSE)+ VLOOKUP(B99,[4]Weeks!$A$3:$X$39,4,FALSE)-VLOOKUP(B99,[4]Weeks!$A$44:$X$81,4,FALSE)+M864</f>
        <v>0</v>
      </c>
      <c r="N99" s="11">
        <f t="shared" si="19"/>
        <v>0</v>
      </c>
      <c r="O99" s="202">
        <f t="shared" si="20"/>
        <v>2.2499999999999999E-2</v>
      </c>
      <c r="P99" s="41" t="str">
        <f>IF(ISNUMBER(VLOOKUP(B99,[4]CLOSURES!B:BI,4,FALSE)),TEXT(VLOOKUP(B99,[4]CLOSURES!B:BI,4,FALSE),"ddmmm"),IF(F99&lt;=0,0,IF(I99&lt;=0,0,IF(AND(F99&gt;0,O99&lt;=0),"&gt;52",IF(I99/O99&gt;52,"&gt;52", MAX(0,I99/O99-2))))))</f>
        <v>01Jan</v>
      </c>
      <c r="R99" s="153"/>
      <c r="T99" s="4"/>
    </row>
    <row r="100" spans="1:20" ht="10.75" customHeight="1" x14ac:dyDescent="0.3">
      <c r="B100" s="40" t="s">
        <v>70</v>
      </c>
      <c r="C100" s="130">
        <f>'[5]Maj Pel Combined'!$D$21</f>
        <v>6.5</v>
      </c>
      <c r="D100" s="200">
        <f>F100-VLOOKUP(B100,[4]quotas!$B$85:$W$120,4,FALSE)</f>
        <v>0</v>
      </c>
      <c r="E100" s="200">
        <f t="shared" si="18"/>
        <v>0</v>
      </c>
      <c r="F100" s="201">
        <f>VLOOKUP(B100,[4]quotas!$B$46:$W$84,4,FALSE)</f>
        <v>6.5</v>
      </c>
      <c r="G100" s="202">
        <f>VLOOKUP(B100,[4]Cumulative!$A$56:$X$91,4,FALSE)+VLOOKUP(B100,[4]Cumulative!$A$56:$X$91,6,FALSE)</f>
        <v>0</v>
      </c>
      <c r="H100" s="151">
        <f t="shared" si="21"/>
        <v>0</v>
      </c>
      <c r="I100" s="201">
        <f t="shared" si="22"/>
        <v>6.5</v>
      </c>
      <c r="J100" s="202">
        <f>VLOOKUP(B100,[4]Weeks!$A$125:$X$161,4,FALSE)-VLOOKUP(B100,[4]Weeks!$A$165:$X$200,4,FALSE)+J140+J865</f>
        <v>0</v>
      </c>
      <c r="K100" s="202">
        <f>VLOOKUP(B100,[4]Weeks!$A$85:$X$121,4,FALSE)-VLOOKUP(B100,[4]Weeks!$A$125:$X$161,4,FALSE)+K140+K865</f>
        <v>0</v>
      </c>
      <c r="L100" s="202">
        <f>VLOOKUP(B100,[4]Weeks!$A$44:$X$81,4,FALSE)-VLOOKUP(B100,[4]Weeks!$A$85:$X$121,4,FALSE)+L140+L865</f>
        <v>0</v>
      </c>
      <c r="M100" s="202">
        <f>VLOOKUP(B100,[4]Weeks!$A$3:$X$39,6,FALSE)-VLOOKUP(B100,[4]Weeks!$A$44:$X$81,6,FALSE)+ VLOOKUP(B100,[4]Weeks!$A$3:$X$39,4,FALSE)-VLOOKUP(B100,[4]Weeks!$A$44:$X$81,4,FALSE)+M865</f>
        <v>0</v>
      </c>
      <c r="N100" s="11">
        <f t="shared" si="19"/>
        <v>0</v>
      </c>
      <c r="O100" s="202">
        <f t="shared" si="20"/>
        <v>0</v>
      </c>
      <c r="P100" s="41" t="str">
        <f>IF(ISNUMBER(VLOOKUP(B100,[4]CLOSURES!B:BI,4,FALSE)),TEXT(VLOOKUP(B100,[4]CLOSURES!B:BI,4,FALSE),"ddmmm"),IF(F100&lt;=0,0,IF(I100&lt;=0,0,IF(AND(F100&gt;0,O100&lt;=0),"&gt;52",IF(I100/O100&gt;52,"&gt;52", MAX(0,I100/O100-2))))))</f>
        <v>&gt;52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f>'[5]Maj Pel Combined'!$D$18</f>
        <v>26604.9</v>
      </c>
      <c r="D101" s="200">
        <f>F101-VLOOKUP(B101,[4]quotas!$B$85:$W$120,4,FALSE)</f>
        <v>0</v>
      </c>
      <c r="E101" s="200">
        <f t="shared" si="18"/>
        <v>60.799999999999272</v>
      </c>
      <c r="F101" s="201">
        <f>VLOOKUP(B101,[4]quotas!$B$46:$W$84,4,FALSE)</f>
        <v>26665.7</v>
      </c>
      <c r="G101" s="202">
        <f>VLOOKUP(B101,[4]Cumulative!$A$56:$X$91,4,FALSE)+VLOOKUP(B101,[4]Cumulative!$A$56:$X$91,6,FALSE)+'[4]Missing WS Mac_Herr'!B4-'[4]Special Conditions stocks'!C164</f>
        <v>26734.434999999998</v>
      </c>
      <c r="H101" s="151">
        <f t="shared" si="21"/>
        <v>100.25776559400278</v>
      </c>
      <c r="I101" s="201">
        <f t="shared" si="22"/>
        <v>-68.734999999996944</v>
      </c>
      <c r="J101" s="202">
        <f>VLOOKUP(B101,[4]Weeks!$A$125:$X$161,4,FALSE)-VLOOKUP(B101,[4]Weeks!$A$165:$X$200,4,FALSE)+J141+J866</f>
        <v>0</v>
      </c>
      <c r="K101" s="202">
        <f>VLOOKUP(B101,[4]Weeks!$A$85:$X$121,4,FALSE)-VLOOKUP(B101,[4]Weeks!$A$125:$X$161,4,FALSE)+K141+K866</f>
        <v>0</v>
      </c>
      <c r="L101" s="202">
        <f>VLOOKUP(B101,[4]Weeks!$A$44:$X$81,4,FALSE)-VLOOKUP(B101,[4]Weeks!$A$85:$X$121,4,FALSE)+L141+L866</f>
        <v>0</v>
      </c>
      <c r="M101" s="202">
        <f>VLOOKUP(B101,[4]Weeks!$A$3:$X$39,6,FALSE)-VLOOKUP(B101,[4]Weeks!$A$44:$X$81,6,FALSE)+ VLOOKUP(B101,[4]Weeks!$A$3:$X$39,4,FALSE)-VLOOKUP(B101,[4]Weeks!$A$44:$X$81,4,FALSE)+M866</f>
        <v>0</v>
      </c>
      <c r="N101" s="11">
        <f t="shared" si="19"/>
        <v>0</v>
      </c>
      <c r="O101" s="202">
        <f t="shared" si="20"/>
        <v>0</v>
      </c>
      <c r="P101" s="41">
        <f>IF(ISNUMBER(VLOOKUP(B101,[4]CLOSURES!B:BI,4,FALSE)),TEXT(VLOOKUP(B101,[4]CLOSURES!B:BI,4,FALSE),"ddmmm"),IF(F101&lt;=0,0,IF(I101&lt;=0,0,IF(AND(F101&gt;0,O101&lt;=0),"&gt;52",IF(I101/O101&gt;52,"&gt;52", MAX(0,I101/O101-2))))))</f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f>'[5]Maj Pel Combined'!$D$19</f>
        <v>23888.799999999999</v>
      </c>
      <c r="D102" s="200">
        <f>F102-VLOOKUP(B102,[4]quotas!$B$85:$W$120,4,FALSE)</f>
        <v>0</v>
      </c>
      <c r="E102" s="200">
        <f t="shared" si="18"/>
        <v>-274.40000000000146</v>
      </c>
      <c r="F102" s="201">
        <f>VLOOKUP(B102,[4]quotas!$B$46:$W$84,4,FALSE)</f>
        <v>23614.399999999998</v>
      </c>
      <c r="G102" s="202">
        <f>VLOOKUP(B102,[4]Cumulative!$A$56:$X$91,4,FALSE)+VLOOKUP(B102,[4]Cumulative!$A$56:$X$91,6,FALSE)+G8675-'[4]Scentific landings'!D15-'[4]Special Conditions stocks'!C165-'[4]Shet box to NS Mac'!B4</f>
        <v>23839.559999999998</v>
      </c>
      <c r="H102" s="151">
        <f t="shared" si="21"/>
        <v>100.95348600853717</v>
      </c>
      <c r="I102" s="201">
        <f t="shared" si="22"/>
        <v>-225.15999999999985</v>
      </c>
      <c r="J102" s="202">
        <f>VLOOKUP(B102,[4]Weeks!$A$125:$X$161,4,FALSE)-VLOOKUP(B102,[4]Weeks!$A$165:$X$200,4,FALSE)+J142+J867</f>
        <v>1168.2999999999993</v>
      </c>
      <c r="K102" s="202">
        <f>VLOOKUP(B102,[4]Weeks!$A$85:$X$121,4,FALSE)-VLOOKUP(B102,[4]Weeks!$A$125:$X$161,4,FALSE)+K142+K867</f>
        <v>0</v>
      </c>
      <c r="L102" s="202">
        <f>VLOOKUP(B102,[4]Weeks!$A$44:$X$81,4,FALSE)-VLOOKUP(B102,[4]Weeks!$A$85:$X$121,4,FALSE)+L142+L867</f>
        <v>9.069999999999709</v>
      </c>
      <c r="M102" s="202">
        <f>VLOOKUP(B102,[4]Weeks!$A$3:$X$39,6,FALSE)-VLOOKUP(B102,[4]Weeks!$A$44:$X$81,6,FALSE)+ VLOOKUP(B102,[4]Weeks!$A$3:$X$39,4,FALSE)-VLOOKUP(B102,[4]Weeks!$A$44:$X$81,4,FALSE)+M867</f>
        <v>0</v>
      </c>
      <c r="N102" s="11">
        <f t="shared" si="19"/>
        <v>0</v>
      </c>
      <c r="O102" s="202">
        <f t="shared" si="20"/>
        <v>294.34249999999975</v>
      </c>
      <c r="P102" s="41">
        <f>IF(ISNUMBER(VLOOKUP(B102,[4]CLOSURES!B:BI,4,FALSE)),TEXT(VLOOKUP(B102,[4]CLOSURES!B:BI,4,FALSE),"ddmmm"),IF(F102&lt;=0,0,IF(I102&lt;=0,0,IF(AND(F102&gt;0,O102&lt;=0),"&gt;52",IF(I102/O102&gt;52,"&gt;52", MAX(0,I102/O102-2))))))</f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f>SUM(C93:C102)</f>
        <v>137707.29999999999</v>
      </c>
      <c r="D103" s="200">
        <f>SUM(D93:D102)</f>
        <v>207</v>
      </c>
      <c r="E103" s="200">
        <f t="shared" si="18"/>
        <v>2684.2000000000116</v>
      </c>
      <c r="F103" s="201">
        <f>SUM(F93:F102)</f>
        <v>140391.5</v>
      </c>
      <c r="G103" s="202">
        <f>SUM(G93:G102)</f>
        <v>136336.40300014114</v>
      </c>
      <c r="H103" s="151">
        <f t="shared" si="21"/>
        <v>97.111579404836576</v>
      </c>
      <c r="I103" s="201">
        <f t="shared" si="22"/>
        <v>4055.0969998588553</v>
      </c>
      <c r="J103" s="202">
        <f t="shared" ref="J103:O103" si="23">SUM(J93:J102)</f>
        <v>2145.1899999999946</v>
      </c>
      <c r="K103" s="202">
        <f t="shared" si="23"/>
        <v>3.7030000000023335</v>
      </c>
      <c r="L103" s="202">
        <f t="shared" si="23"/>
        <v>40.159999999997964</v>
      </c>
      <c r="M103" s="202">
        <f t="shared" si="23"/>
        <v>6.0000000004080789E-2</v>
      </c>
      <c r="N103" s="11">
        <f t="shared" si="23"/>
        <v>2.352989796867222</v>
      </c>
      <c r="O103" s="202">
        <f t="shared" si="23"/>
        <v>547.27824999999973</v>
      </c>
      <c r="P103" s="41">
        <f>IF(ISNUMBER(VLOOKUP(B103,[4]CLOSURES!B:BI,4,FALSE)),TEXT(VLOOKUP(B103,[4]CLOSURES!B:BI,4,FALSE),"ddmmm"),IF(F103&lt;=0,0,IF(I103&lt;=0,0,IF(AND(F103&gt;0,O103&lt;=0),"&gt;52",IF(I103/O103&gt;52,"&gt;52", MAX(0,I103/O103-2))))))</f>
        <v>5.4095709081419869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f>'[5]Maj Pel Combined'!$D$5</f>
        <v>0.878</v>
      </c>
      <c r="D105" s="200">
        <f>F105-VLOOKUP(B105,[4]quotas!$B$85:$W$120,4,FALSE)</f>
        <v>0</v>
      </c>
      <c r="E105" s="200">
        <f t="shared" si="18"/>
        <v>-0.9</v>
      </c>
      <c r="F105" s="201">
        <f>VLOOKUP(B105,[4]quotas!$B$46:$W$84,4,FALSE)</f>
        <v>-2.200000000000002E-2</v>
      </c>
      <c r="G105" s="202">
        <f>VLOOKUP(B105,[4]Cumulative!$A$56:$X$91,4,FALSE)+VLOOKUP(B105,[4]Cumulative!$A$56:$X$91,6,FALSE)-'[4]Shet box to NS Mac'!B6</f>
        <v>0</v>
      </c>
      <c r="H105" s="151">
        <f t="shared" si="21"/>
        <v>0</v>
      </c>
      <c r="I105" s="201">
        <f t="shared" si="22"/>
        <v>-2.200000000000002E-2</v>
      </c>
      <c r="J105" s="202">
        <f>VLOOKUP(B105,[4]Weeks!$A$125:$X$161,4,FALSE)-VLOOKUP(B105,[4]Weeks!$A$165:$X$200,4,FALSE)+J145+J870</f>
        <v>0</v>
      </c>
      <c r="K105" s="202">
        <f>VLOOKUP(B105,[4]Weeks!$A$85:$X$121,4,FALSE)-VLOOKUP(B105,[4]Weeks!$A$125:$X$161,4,FALSE)+K145+K870</f>
        <v>0</v>
      </c>
      <c r="L105" s="202">
        <f>VLOOKUP(B105,[4]Weeks!$A$44:$X$81,4,FALSE)-VLOOKUP(B105,[4]Weeks!$A$85:$X$121,4,FALSE)+L145+L870</f>
        <v>1.17</v>
      </c>
      <c r="M105" s="202">
        <f>VLOOKUP(B105,[4]Weeks!$A$3:$X$39,6,FALSE)-VLOOKUP(B105,[4]Weeks!$A$44:$X$81,6,FALSE)+ VLOOKUP(B105,[4]Weeks!$A$3:$X$39,4,FALSE)-VLOOKUP(B105,[4]Weeks!$A$44:$X$81,4,FALSE)+M870</f>
        <v>0</v>
      </c>
      <c r="N105" s="11">
        <f t="shared" ref="N105:N116" si="24">IF(C105="*","*",IF(C105&gt;0,M105/C105*100,"-"))</f>
        <v>0</v>
      </c>
      <c r="O105" s="202">
        <f t="shared" ref="O105:O116" si="25">IF(C105="*","*",SUM(J105:M105)/4)</f>
        <v>0.29249999999999998</v>
      </c>
      <c r="P105" s="41">
        <f>IF(ISNUMBER(VLOOKUP(B105,[4]CLOSURES!B:BI,4,FALSE)),TEXT(VLOOKUP(B105,[4]CLOSURES!B:BI,4,FALSE),"ddmmm"),IF(F105&lt;=0,0,IF(I105&lt;=0,0,IF(AND(F105&gt;0,O105&lt;=0),"&gt;52",IF(I105/O105&gt;52,"&gt;52", MAX(0,I105/O105-2))))))</f>
        <v>0</v>
      </c>
      <c r="Q105" s="158"/>
      <c r="T105" s="4"/>
    </row>
    <row r="106" spans="1:20" ht="10.75" customHeight="1" x14ac:dyDescent="0.3">
      <c r="B106" s="40" t="s">
        <v>75</v>
      </c>
      <c r="C106" s="130">
        <f>'[5]Maj Pel Combined'!$D$7</f>
        <v>264.75599999999997</v>
      </c>
      <c r="D106" s="200">
        <f>F106-VLOOKUP(B106,[4]quotas!$B$85:$W$120,4,FALSE)</f>
        <v>0</v>
      </c>
      <c r="E106" s="200">
        <f>F106-C106</f>
        <v>-262.10000000000002</v>
      </c>
      <c r="F106" s="201">
        <f>VLOOKUP(B106,[4]quotas!$B$46:$W$84,4,FALSE)</f>
        <v>2.6559999999999491</v>
      </c>
      <c r="G106" s="202">
        <f>VLOOKUP(B106,[4]Cumulative!$A$56:$X$91,4,FALSE)+VLOOKUP(B106,[4]Cumulative!$A$56:$X$91,6,FALSE)</f>
        <v>0.25</v>
      </c>
      <c r="H106" s="151">
        <f>IF(AND(F106=0,G106&gt;0),"n/a",IF(F106=0,0,100*G106/F106))</f>
        <v>9.4126506024098191</v>
      </c>
      <c r="I106" s="201">
        <f>IF(F106="*","*",F106-G106)</f>
        <v>2.4059999999999491</v>
      </c>
      <c r="J106" s="202">
        <f>VLOOKUP(B106,[4]Weeks!$A$125:$X$161,4,FALSE)-VLOOKUP(B106,[4]Weeks!$A$165:$X$200,4,FALSE)+J146+J871</f>
        <v>0</v>
      </c>
      <c r="K106" s="202">
        <f>VLOOKUP(B106,[4]Weeks!$A$85:$X$121,4,FALSE)-VLOOKUP(B106,[4]Weeks!$A$125:$X$161,4,FALSE)+K146+K871</f>
        <v>0</v>
      </c>
      <c r="L106" s="202">
        <f>VLOOKUP(B106,[4]Weeks!$A$44:$X$81,4,FALSE)-VLOOKUP(B106,[4]Weeks!$A$85:$X$121,4,FALSE)+L146+L871</f>
        <v>4.9999999999999989E-2</v>
      </c>
      <c r="M106" s="202">
        <f>VLOOKUP(B106,[4]Weeks!$A$3:$X$39,6,FALSE)-VLOOKUP(B106,[4]Weeks!$A$44:$X$81,6,FALSE)+ VLOOKUP(B106,[4]Weeks!$A$3:$X$39,4,FALSE)-VLOOKUP(B106,[4]Weeks!$A$44:$X$81,4,FALSE)+M871</f>
        <v>0</v>
      </c>
      <c r="N106" s="11">
        <f>IF(C106="*","*",IF(C106&gt;0,M106/C106*100,"-"))</f>
        <v>0</v>
      </c>
      <c r="O106" s="202">
        <f>IF(C106="*","*",SUM(J106:M106)/4)</f>
        <v>1.2499999999999997E-2</v>
      </c>
      <c r="P106" s="41" t="str">
        <f>IF(ISNUMBER(VLOOKUP(B106,[4]CLOSURES!B:BI,4,FALSE)),TEXT(VLOOKUP(B106,[4]CLOSURES!B:BI,4,FALSE),"ddmmm"),IF(F106&lt;=0,0,IF(I106&lt;=0,0,IF(AND(F106&gt;0,O106&lt;=0),"&gt;52",IF(I106/O106&gt;52,"&gt;52", MAX(0,I106/O106-2))))))</f>
        <v>&gt;52</v>
      </c>
      <c r="Q106" s="158"/>
      <c r="T106" s="4"/>
    </row>
    <row r="107" spans="1:20" ht="10.75" customHeight="1" x14ac:dyDescent="0.3">
      <c r="B107" s="40" t="s">
        <v>152</v>
      </c>
      <c r="C107" s="130">
        <f>'[5]Maj Pel Combined'!$D$8</f>
        <v>4.5579999999999998</v>
      </c>
      <c r="D107" s="200">
        <f>F107-VLOOKUP(B107,[4]quotas!$B$85:$W$120,4,FALSE)</f>
        <v>0</v>
      </c>
      <c r="E107" s="200">
        <f>F107-C107</f>
        <v>9.9999999999909051E-2</v>
      </c>
      <c r="F107" s="201">
        <f>VLOOKUP(B107,[4]quotas!$B$46:$W$84,4,FALSE)</f>
        <v>4.6579999999999089</v>
      </c>
      <c r="G107" s="202">
        <f>VLOOKUP(B107,[4]Cumulative!$A$56:$X$91,4,FALSE)+VLOOKUP(B107,[4]Cumulative!$A$56:$X$91,6,FALSE)</f>
        <v>0.18240000161714859</v>
      </c>
      <c r="H107" s="151">
        <f>IF(AND(F107=0,G107&gt;0),"n/a",IF(F107=0,0,100*G107/F107))</f>
        <v>3.915843744464409</v>
      </c>
      <c r="I107" s="201">
        <f>IF(F107="*","*",F107-G107)</f>
        <v>4.4755999983827603</v>
      </c>
      <c r="J107" s="202">
        <f>VLOOKUP(B107,[4]Weeks!$A$125:$X$161,4,FALSE)-VLOOKUP(B107,[4]Weeks!$A$165:$X$200,4,FALSE)+J147+J872</f>
        <v>1.1000000238418628E-3</v>
      </c>
      <c r="K107" s="202">
        <f>VLOOKUP(B107,[4]Weeks!$A$85:$X$121,4,FALSE)-VLOOKUP(B107,[4]Weeks!$A$125:$X$161,4,FALSE)+K147+K872</f>
        <v>1.1286041140556868E-4</v>
      </c>
      <c r="L107" s="202">
        <f>VLOOKUP(B107,[4]Weeks!$A$44:$X$81,4,FALSE)-VLOOKUP(B107,[4]Weeks!$A$85:$X$121,4,FALSE)+L147+L872</f>
        <v>0</v>
      </c>
      <c r="M107" s="202">
        <f>VLOOKUP(B107,[4]Weeks!$A$3:$X$39,6,FALSE)-VLOOKUP(B107,[4]Weeks!$A$44:$X$81,6,FALSE)+ VLOOKUP(B107,[4]Weeks!$A$3:$X$39,4,FALSE)-VLOOKUP(B107,[4]Weeks!$A$44:$X$81,4,FALSE)+M872</f>
        <v>2.8825913555916016E-4</v>
      </c>
      <c r="N107" s="11">
        <f>IF(C107="*","*",IF(C107&gt;0,M107/C107*100,"-"))</f>
        <v>6.3242460631671819E-3</v>
      </c>
      <c r="O107" s="202">
        <f>IF(C107="*","*",SUM(J107:M107)/4)</f>
        <v>3.7527989270164791E-4</v>
      </c>
      <c r="P107" s="41" t="str">
        <f>IF(ISNUMBER(VLOOKUP(B107,[4]CLOSURES!B:BI,4,FALSE)),TEXT(VLOOKUP(B107,[4]CLOSURES!B:BI,4,FALSE),"ddmmm"),IF(F107&lt;=0,0,IF(I107&lt;=0,0,IF(AND(F107&gt;0,O107&lt;=0),"&gt;52",IF(I107/O107&gt;52,"&gt;52", MAX(0,I107/O107-2))))))</f>
        <v>&gt;52</v>
      </c>
      <c r="Q107" s="158"/>
      <c r="T107" s="4"/>
    </row>
    <row r="108" spans="1:20" ht="10.75" customHeight="1" x14ac:dyDescent="0.3">
      <c r="B108" s="40" t="s">
        <v>76</v>
      </c>
      <c r="C108" s="130">
        <f>'[5]Maj Pel Combined'!$D$9</f>
        <v>17.138999999999999</v>
      </c>
      <c r="D108" s="200">
        <f>F108-VLOOKUP(B108,[4]quotas!$B$85:$W$120,4,FALSE)</f>
        <v>0</v>
      </c>
      <c r="E108" s="200">
        <f t="shared" si="18"/>
        <v>0.19999999999999929</v>
      </c>
      <c r="F108" s="201">
        <f>VLOOKUP(B108,[4]quotas!$B$46:$W$84,4,FALSE)</f>
        <v>17.338999999999999</v>
      </c>
      <c r="G108" s="202">
        <f>VLOOKUP(B108,[4]Cumulative!$A$56:$X$91,4,FALSE)+VLOOKUP(B108,[4]Cumulative!$A$56:$X$91,6,FALSE)</f>
        <v>0.26671999966353183</v>
      </c>
      <c r="H108" s="151">
        <f t="shared" si="21"/>
        <v>1.5382663340650087</v>
      </c>
      <c r="I108" s="201">
        <f t="shared" si="22"/>
        <v>17.072280000336466</v>
      </c>
      <c r="J108" s="202">
        <f>VLOOKUP(B108,[4]Weeks!$A$125:$X$161,4,FALSE)-VLOOKUP(B108,[4]Weeks!$A$165:$X$200,4,FALSE)+J148+J873</f>
        <v>0</v>
      </c>
      <c r="K108" s="202">
        <f>VLOOKUP(B108,[4]Weeks!$A$85:$X$121,4,FALSE)-VLOOKUP(B108,[4]Weeks!$A$125:$X$161,4,FALSE)+K148+K873</f>
        <v>0</v>
      </c>
      <c r="L108" s="202">
        <f>VLOOKUP(B108,[4]Weeks!$A$44:$X$81,4,FALSE)-VLOOKUP(B108,[4]Weeks!$A$85:$X$121,4,FALSE)+L148+L873</f>
        <v>0</v>
      </c>
      <c r="M108" s="202">
        <f>VLOOKUP(B108,[4]Weeks!$A$3:$X$39,6,FALSE)-VLOOKUP(B108,[4]Weeks!$A$44:$X$81,6,FALSE)+ VLOOKUP(B108,[4]Weeks!$A$3:$X$39,4,FALSE)-VLOOKUP(B108,[4]Weeks!$A$44:$X$81,4,FALSE)+M873</f>
        <v>1.0000000149013033E-4</v>
      </c>
      <c r="N108" s="11">
        <f t="shared" si="24"/>
        <v>5.8346462156561257E-4</v>
      </c>
      <c r="O108" s="202">
        <f t="shared" si="25"/>
        <v>2.5000000372532583E-5</v>
      </c>
      <c r="P108" s="41" t="str">
        <f>IF(ISNUMBER(VLOOKUP(B108,[4]CLOSURES!B:BI,4,FALSE)),TEXT(VLOOKUP(B108,[4]CLOSURES!B:BI,4,FALSE),"ddmmm"),IF(F108&lt;=0,0,IF(I108&lt;=0,0,IF(AND(F108&gt;0,O108&lt;=0),"&gt;52",IF(I108/O108&gt;52,"&gt;52", MAX(0,I108/O108-2))))))</f>
        <v>&gt;52</v>
      </c>
      <c r="Q108" s="158"/>
      <c r="T108" s="4"/>
    </row>
    <row r="109" spans="1:20" ht="10.75" customHeight="1" x14ac:dyDescent="0.3">
      <c r="B109" s="40" t="s">
        <v>77</v>
      </c>
      <c r="C109" s="130">
        <f>'[5]Maj Pel Combined'!$D$27</f>
        <v>1116.4690000000001</v>
      </c>
      <c r="D109" s="200">
        <f>F109-VLOOKUP(B109,[4]quotas!$B$85:$W$120,4,FALSE)</f>
        <v>0</v>
      </c>
      <c r="E109" s="200">
        <f t="shared" si="18"/>
        <v>763.09999999999991</v>
      </c>
      <c r="F109" s="201">
        <f>VLOOKUP(B109,[4]quotas!$B$46:$W$84,4,FALSE)</f>
        <v>1879.569</v>
      </c>
      <c r="G109" s="202">
        <f>VLOOKUP(B109,[4]Cumulative!$A$56:$X$91,4,FALSE)+VLOOKUP(B109,[4]Cumulative!$A$56:$X$91,6,FALSE)-'[4]Box-NS tranfers'!B22</f>
        <v>1879.6089845048189</v>
      </c>
      <c r="H109" s="151">
        <f t="shared" si="21"/>
        <v>100.00212732306284</v>
      </c>
      <c r="I109" s="201">
        <f t="shared" si="22"/>
        <v>-3.9984504818903588E-2</v>
      </c>
      <c r="J109" s="202">
        <f>VLOOKUP(B109,[4]Weeks!$A$125:$X$161,4,FALSE)-VLOOKUP(B109,[4]Weeks!$A$165:$X$200,4,FALSE)+J149+J874</f>
        <v>0</v>
      </c>
      <c r="K109" s="202">
        <f>VLOOKUP(B109,[4]Weeks!$A$85:$X$121,4,FALSE)-VLOOKUP(B109,[4]Weeks!$A$125:$X$161,4,FALSE)+K149+K874</f>
        <v>3.9999999046358425E-2</v>
      </c>
      <c r="L109" s="202">
        <f>VLOOKUP(B109,[4]Weeks!$A$44:$X$81,4,FALSE)-VLOOKUP(B109,[4]Weeks!$A$85:$X$121,4,FALSE)+L149+L874</f>
        <v>4.0000000476766218E-2</v>
      </c>
      <c r="M109" s="202">
        <f>VLOOKUP(B109,[4]Weeks!$A$3:$X$39,6,FALSE)-VLOOKUP(B109,[4]Weeks!$A$44:$X$81,6,FALSE)+ VLOOKUP(B109,[4]Weeks!$A$3:$X$39,4,FALSE)-VLOOKUP(B109,[4]Weeks!$A$44:$X$81,4,FALSE)+M874</f>
        <v>0</v>
      </c>
      <c r="N109" s="11">
        <f t="shared" si="24"/>
        <v>0</v>
      </c>
      <c r="O109" s="202">
        <f t="shared" si="25"/>
        <v>1.9999999880781161E-2</v>
      </c>
      <c r="P109" s="41">
        <f>IF(ISNUMBER(VLOOKUP(B109,[4]CLOSURES!B:BI,4,FALSE)),TEXT(VLOOKUP(B109,[4]CLOSURES!B:BI,4,FALSE),"ddmmm"),IF(F109&lt;=0,0,IF(I109&lt;=0,0,IF(AND(F109&gt;0,O109&lt;=0),"&gt;52",IF(I109/O109&gt;52,"&gt;52", MAX(0,I109/O109-2))))))</f>
        <v>0</v>
      </c>
      <c r="Q109" s="158"/>
      <c r="T109" s="4"/>
    </row>
    <row r="110" spans="1:20" ht="10.75" customHeight="1" x14ac:dyDescent="0.3">
      <c r="B110" s="40" t="s">
        <v>78</v>
      </c>
      <c r="C110" s="130">
        <f>'[5]Maj Pel Combined'!$D$26</f>
        <v>14637.931</v>
      </c>
      <c r="D110" s="200">
        <f>F110-VLOOKUP(B110,[4]quotas!$B$85:$W$120,4,FALSE)</f>
        <v>0</v>
      </c>
      <c r="E110" s="200">
        <f t="shared" si="18"/>
        <v>-316</v>
      </c>
      <c r="F110" s="201">
        <f>VLOOKUP(B110,[4]quotas!$B$46:$W$84,4,FALSE)</f>
        <v>14321.931</v>
      </c>
      <c r="G110" s="202">
        <f>VLOOKUP(B110,[4]Cumulative!$A$56:$X$91,4,FALSE)+VLOOKUP(B110,[4]Cumulative!$A$56:$X$91,6,FALSE)+G875</f>
        <v>14892.869007816391</v>
      </c>
      <c r="H110" s="151">
        <f t="shared" si="21"/>
        <v>103.98645970167284</v>
      </c>
      <c r="I110" s="201">
        <f t="shared" si="22"/>
        <v>-570.93800781639038</v>
      </c>
      <c r="J110" s="202">
        <f>VLOOKUP(B110,[4]Weeks!$A$125:$X$161,4,FALSE)-VLOOKUP(B110,[4]Weeks!$A$165:$X$200,4,FALSE)+J150+J875</f>
        <v>0</v>
      </c>
      <c r="K110" s="202">
        <f>VLOOKUP(B110,[4]Weeks!$A$85:$X$121,4,FALSE)-VLOOKUP(B110,[4]Weeks!$A$125:$X$161,4,FALSE)+K150+K875</f>
        <v>0</v>
      </c>
      <c r="L110" s="202">
        <f>VLOOKUP(B110,[4]Weeks!$A$44:$X$81,4,FALSE)-VLOOKUP(B110,[4]Weeks!$A$85:$X$121,4,FALSE)+L150+L875</f>
        <v>0</v>
      </c>
      <c r="M110" s="202">
        <f>VLOOKUP(B110,[4]Weeks!$A$3:$X$39,6,FALSE)-VLOOKUP(B110,[4]Weeks!$A$44:$X$81,6,FALSE)+ VLOOKUP(B110,[4]Weeks!$A$3:$X$39,4,FALSE)-VLOOKUP(B110,[4]Weeks!$A$44:$X$81,4,FALSE)+M875</f>
        <v>0</v>
      </c>
      <c r="N110" s="11">
        <f t="shared" si="24"/>
        <v>0</v>
      </c>
      <c r="O110" s="202">
        <f t="shared" si="25"/>
        <v>0</v>
      </c>
      <c r="P110" s="41">
        <f>IF(ISNUMBER(VLOOKUP(B110,[4]CLOSURES!B:BI,4,FALSE)),TEXT(VLOOKUP(B110,[4]CLOSURES!B:BI,4,FALSE),"ddmmm"),IF(F110&lt;=0,0,IF(I110&lt;=0,0,IF(AND(F110&gt;0,O110&lt;=0),"&gt;52",IF(I110/O110&gt;52,"&gt;52", MAX(0,I110/O110-2))))))</f>
        <v>0</v>
      </c>
      <c r="Q110" s="158"/>
      <c r="T110" s="4"/>
    </row>
    <row r="111" spans="1:20" ht="10.75" customHeight="1" x14ac:dyDescent="0.3">
      <c r="B111" s="40" t="s">
        <v>79</v>
      </c>
      <c r="C111" s="130">
        <f>'[5]Maj Pel Combined'!$D$6</f>
        <v>17.038</v>
      </c>
      <c r="D111" s="200">
        <f>F111-VLOOKUP(B111,[4]quotas!$B$85:$W$120,4,FALSE)</f>
        <v>-157</v>
      </c>
      <c r="E111" s="200">
        <f t="shared" si="18"/>
        <v>13</v>
      </c>
      <c r="F111" s="201">
        <f>VLOOKUP(B111,[4]quotas!$B$46:$W$84,4,FALSE)</f>
        <v>30.038</v>
      </c>
      <c r="G111" s="202">
        <f>VLOOKUP(B111,[4]Cumulative!$A$56:$X$91,4,FALSE)+VLOOKUP(B111,[4]Cumulative!$A$56:$X$91,6,FALSE)</f>
        <v>37.252130382607277</v>
      </c>
      <c r="H111" s="151">
        <f t="shared" si="21"/>
        <v>124.01668014717116</v>
      </c>
      <c r="I111" s="201">
        <f t="shared" si="22"/>
        <v>-7.2141303826072765</v>
      </c>
      <c r="J111" s="202">
        <f>VLOOKUP(B111,[4]Weeks!$A$125:$X$161,4,FALSE)-VLOOKUP(B111,[4]Weeks!$A$165:$X$200,4,FALSE)+J151+J876</f>
        <v>0.69390000003576446</v>
      </c>
      <c r="K111" s="202">
        <f>VLOOKUP(B111,[4]Weeks!$A$85:$X$121,4,FALSE)-VLOOKUP(B111,[4]Weeks!$A$125:$X$161,4,FALSE)+K151+K876</f>
        <v>4.5021999969482387</v>
      </c>
      <c r="L111" s="202">
        <f>VLOOKUP(B111,[4]Weeks!$A$44:$X$81,4,FALSE)-VLOOKUP(B111,[4]Weeks!$A$85:$X$121,4,FALSE)+L151+L876</f>
        <v>1.8604804868251144</v>
      </c>
      <c r="M111" s="202">
        <f>VLOOKUP(B111,[4]Weeks!$A$3:$X$39,6,FALSE)-VLOOKUP(B111,[4]Weeks!$A$44:$X$81,6,FALSE)+ VLOOKUP(B111,[4]Weeks!$A$3:$X$39,4,FALSE)-VLOOKUP(B111,[4]Weeks!$A$44:$X$81,4,FALSE)+M876</f>
        <v>1.5347304240414026</v>
      </c>
      <c r="N111" s="11">
        <f t="shared" si="24"/>
        <v>9.007691184654318</v>
      </c>
      <c r="O111" s="202">
        <f t="shared" si="25"/>
        <v>2.14782772696263</v>
      </c>
      <c r="P111" s="41">
        <f>IF(ISNUMBER(VLOOKUP(B111,[4]CLOSURES!B:BI,4,FALSE)),TEXT(VLOOKUP(B111,[4]CLOSURES!B:BI,4,FALSE),"ddmmm"),IF(F111&lt;=0,0,IF(I111&lt;=0,0,IF(AND(F111&gt;0,O111&lt;=0),"&gt;52",IF(I111/O111&gt;52,"&gt;52", MAX(0,I111/O111-2))))))</f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f>'[5]Maj Pel Combined'!$D$14</f>
        <v>10.185</v>
      </c>
      <c r="D112" s="200">
        <f>F112-VLOOKUP(B112,[4]quotas!$B$85:$W$120,4,FALSE)</f>
        <v>0</v>
      </c>
      <c r="E112" s="200">
        <f t="shared" si="18"/>
        <v>-7.4</v>
      </c>
      <c r="F112" s="201">
        <f>VLOOKUP(B112,[4]quotas!$B$46:$W$84,4,FALSE)</f>
        <v>2.7850000000000001</v>
      </c>
      <c r="G112" s="202">
        <f>VLOOKUP(B112,[4]Cumulative!$A$56:$X$91,4,FALSE)+VLOOKUP(B112,[4]Cumulative!$A$56:$X$91,6,FALSE)</f>
        <v>0.9145999976284801</v>
      </c>
      <c r="H112" s="151">
        <f t="shared" si="21"/>
        <v>32.840215354703055</v>
      </c>
      <c r="I112" s="201">
        <f t="shared" si="22"/>
        <v>1.8704000023715199</v>
      </c>
      <c r="J112" s="202">
        <f>VLOOKUP(B112,[4]Weeks!$A$125:$X$161,4,FALSE)-VLOOKUP(B112,[4]Weeks!$A$165:$X$200,4,FALSE)+J152+J877</f>
        <v>0</v>
      </c>
      <c r="K112" s="202">
        <f>VLOOKUP(B112,[4]Weeks!$A$85:$X$121,4,FALSE)-VLOOKUP(B112,[4]Weeks!$A$125:$X$161,4,FALSE)+K152+K877</f>
        <v>4.9999997615813863E-3</v>
      </c>
      <c r="L112" s="202">
        <f>VLOOKUP(B112,[4]Weeks!$A$44:$X$81,4,FALSE)-VLOOKUP(B112,[4]Weeks!$A$85:$X$121,4,FALSE)+L152+L877</f>
        <v>1.1799999833106978E-2</v>
      </c>
      <c r="M112" s="202">
        <f>VLOOKUP(B112,[4]Weeks!$A$3:$X$39,6,FALSE)-VLOOKUP(B112,[4]Weeks!$A$44:$X$81,6,FALSE)+ VLOOKUP(B112,[4]Weeks!$A$3:$X$39,4,FALSE)-VLOOKUP(B112,[4]Weeks!$A$44:$X$81,4,FALSE)+M877</f>
        <v>2.9475938640534105E-3</v>
      </c>
      <c r="N112" s="11">
        <f t="shared" si="24"/>
        <v>2.8940538675045757E-2</v>
      </c>
      <c r="O112" s="202">
        <f t="shared" si="25"/>
        <v>4.9368983646854436E-3</v>
      </c>
      <c r="P112" s="41" t="str">
        <f>IF(ISNUMBER(VLOOKUP(B112,[4]CLOSURES!B:BI,4,FALSE)),TEXT(VLOOKUP(B112,[4]CLOSURES!B:BI,4,FALSE),"ddmmm"),IF(F112&lt;=0,0,IF(I112&lt;=0,0,IF(AND(F112&gt;0,O112&lt;=0),"&gt;52",IF(I112/O112&gt;52,"&gt;52", MAX(0,I112/O112-2))))))</f>
        <v>&gt;52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f>'[5]Maj Pel Combined'!$D$13</f>
        <v>0.3</v>
      </c>
      <c r="D113" s="200">
        <f>F113-VLOOKUP(B113,[4]quotas!$B$85:$W$120,4,FALSE)</f>
        <v>0</v>
      </c>
      <c r="E113" s="200">
        <f t="shared" si="18"/>
        <v>40</v>
      </c>
      <c r="F113" s="201">
        <f>VLOOKUP(B113,[4]quotas!$B$46:$W$84,4,FALSE)</f>
        <v>40.299999999999997</v>
      </c>
      <c r="G113" s="202">
        <f>VLOOKUP(B113,[4]Cumulative!$A$56:$X$91,4,FALSE)+VLOOKUP(B113,[4]Cumulative!$A$56:$X$91,6,FALSE)</f>
        <v>32.681999921083438</v>
      </c>
      <c r="H113" s="151">
        <f t="shared" si="21"/>
        <v>81.096773997725663</v>
      </c>
      <c r="I113" s="201">
        <f t="shared" si="22"/>
        <v>7.6180000789165589</v>
      </c>
      <c r="J113" s="202">
        <f>VLOOKUP(B113,[4]Weeks!$A$125:$X$161,4,FALSE)-VLOOKUP(B113,[4]Weeks!$A$165:$X$200,4,FALSE)+J153+J878</f>
        <v>0</v>
      </c>
      <c r="K113" s="202">
        <f>VLOOKUP(B113,[4]Weeks!$A$85:$X$121,4,FALSE)-VLOOKUP(B113,[4]Weeks!$A$125:$X$161,4,FALSE)+K153+K878</f>
        <v>0</v>
      </c>
      <c r="L113" s="202">
        <f>VLOOKUP(B113,[4]Weeks!$A$44:$X$81,4,FALSE)-VLOOKUP(B113,[4]Weeks!$A$85:$X$121,4,FALSE)+L153+L878</f>
        <v>0</v>
      </c>
      <c r="M113" s="202">
        <f>VLOOKUP(B113,[4]Weeks!$A$3:$X$39,6,FALSE)-VLOOKUP(B113,[4]Weeks!$A$44:$X$81,6,FALSE)+ VLOOKUP(B113,[4]Weeks!$A$3:$X$39,4,FALSE)-VLOOKUP(B113,[4]Weeks!$A$44:$X$81,4,FALSE)+M878</f>
        <v>0</v>
      </c>
      <c r="N113" s="11">
        <f t="shared" si="24"/>
        <v>0</v>
      </c>
      <c r="O113" s="202">
        <f t="shared" si="25"/>
        <v>0</v>
      </c>
      <c r="P113" s="41" t="str">
        <f>IF(ISNUMBER(VLOOKUP(B113,[4]CLOSURES!B:BI,4,FALSE)),TEXT(VLOOKUP(B113,[4]CLOSURES!B:BI,4,FALSE),"ddmmm"),IF(F113&lt;=0,0,IF(I113&lt;=0,0,IF(AND(F113&gt;0,O113&lt;=0),"&gt;52",IF(I113/O113&gt;52,"&gt;52", MAX(0,I113/O113-2))))))</f>
        <v>&gt;52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f>'[5]Maj Pel Combined'!$D$11</f>
        <v>0.2</v>
      </c>
      <c r="D114" s="200">
        <f>F114-VLOOKUP(B114,[4]quotas!$B$85:$W$120,4,FALSE)</f>
        <v>0</v>
      </c>
      <c r="E114" s="200">
        <f>F114-C114</f>
        <v>313.80000000000007</v>
      </c>
      <c r="F114" s="201">
        <f>VLOOKUP(B114,[4]quotas!$B$46:$W$84,4,FALSE)</f>
        <v>314.00000000000006</v>
      </c>
      <c r="G114" s="202">
        <f>VLOOKUP(B114,[4]Cumulative!$A$56:$X$91,4,FALSE)+VLOOKUP(B114,[4]Cumulative!$A$56:$X$91,6,FALSE)</f>
        <v>66.151999795913724</v>
      </c>
      <c r="H114" s="151">
        <f>IF(AND(F114=0,G114&gt;0),"n/a",IF(F114=0,0,100*G114/F114))</f>
        <v>21.067515858571245</v>
      </c>
      <c r="I114" s="201">
        <f>IF(F114="*","*",F114-G114)</f>
        <v>247.84800020408633</v>
      </c>
      <c r="J114" s="202">
        <f>VLOOKUP(B114,[4]Weeks!$A$125:$X$161,4,FALSE)-VLOOKUP(B114,[4]Weeks!$A$165:$X$200,4,FALSE)+J154+J879</f>
        <v>0.26100000000000989</v>
      </c>
      <c r="K114" s="202">
        <f>VLOOKUP(B114,[4]Weeks!$A$85:$X$121,4,FALSE)-VLOOKUP(B114,[4]Weeks!$A$125:$X$161,4,FALSE)+K154+K879</f>
        <v>0</v>
      </c>
      <c r="L114" s="202">
        <f>VLOOKUP(B114,[4]Weeks!$A$44:$X$81,4,FALSE)-VLOOKUP(B114,[4]Weeks!$A$85:$X$121,4,FALSE)+L154+L879</f>
        <v>8.5999999999998522E-2</v>
      </c>
      <c r="M114" s="202">
        <f>VLOOKUP(B114,[4]Weeks!$A$3:$X$39,6,FALSE)-VLOOKUP(B114,[4]Weeks!$A$44:$X$81,6,FALSE)+ VLOOKUP(B114,[4]Weeks!$A$3:$X$39,4,FALSE)-VLOOKUP(B114,[4]Weeks!$A$44:$X$81,4,FALSE)+M879</f>
        <v>0.68800000000000239</v>
      </c>
      <c r="N114" s="11">
        <f>IF(C114="*","*",IF(C114&gt;0,M114/C114*100,"-"))</f>
        <v>344.00000000000119</v>
      </c>
      <c r="O114" s="202">
        <f>IF(C114="*","*",SUM(J114:M114)/4)</f>
        <v>0.2587500000000027</v>
      </c>
      <c r="P114" s="41" t="str">
        <f>IF(ISNUMBER(VLOOKUP(B114,[4]CLOSURES!B:BI,4,FALSE)),TEXT(VLOOKUP(B114,[4]CLOSURES!B:BI,4,FALSE),"ddmmm"),IF(F114&lt;=0,0,IF(I114&lt;=0,0,IF(AND(F114&gt;0,O114&lt;=0),"&gt;52",IF(I114/O114&gt;52,"&gt;52", MAX(0,I114/O114-2))))))</f>
        <v>&gt;52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f>'[5]Maj Pel Combined'!$D$15</f>
        <v>0.98899999999999999</v>
      </c>
      <c r="D115" s="200">
        <f>F115-VLOOKUP(B115,[4]quotas!$B$85:$W$120,4,FALSE)</f>
        <v>0</v>
      </c>
      <c r="E115" s="200">
        <f>F115-C115</f>
        <v>0</v>
      </c>
      <c r="F115" s="201">
        <f>VLOOKUP(B115,[4]quotas!$B$46:$W$84,4,FALSE)</f>
        <v>0.98899999999999999</v>
      </c>
      <c r="G115" s="202">
        <f>VLOOKUP(B115,[4]Cumulative!$A$56:$X$91,4,FALSE)+VLOOKUP(B115,[4]Cumulative!$A$56:$X$91,6,FALSE)</f>
        <v>0</v>
      </c>
      <c r="H115" s="151">
        <f>IF(AND(F115=0,G115&gt;0),"n/a",IF(F115=0,0,100*G115/F115))</f>
        <v>0</v>
      </c>
      <c r="I115" s="201">
        <f>IF(F115="*","*",F115-G115)</f>
        <v>0.98899999999999999</v>
      </c>
      <c r="J115" s="202">
        <f>VLOOKUP(B115,[4]Weeks!$A$125:$X$161,4,FALSE)-VLOOKUP(B115,[4]Weeks!$A$165:$X$200,4,FALSE)+J155+J880</f>
        <v>0</v>
      </c>
      <c r="K115" s="202">
        <f>VLOOKUP(B115,[4]Weeks!$A$85:$X$121,4,FALSE)-VLOOKUP(B115,[4]Weeks!$A$125:$X$161,4,FALSE)+K155+K880</f>
        <v>0</v>
      </c>
      <c r="L115" s="202">
        <f>VLOOKUP(B115,[4]Weeks!$A$44:$X$81,4,FALSE)-VLOOKUP(B115,[4]Weeks!$A$85:$X$121,4,FALSE)+L155+L880</f>
        <v>0</v>
      </c>
      <c r="M115" s="202">
        <f>VLOOKUP(B115,[4]Weeks!$A$3:$X$39,6,FALSE)-VLOOKUP(B115,[4]Weeks!$A$44:$X$81,6,FALSE)+ VLOOKUP(B115,[4]Weeks!$A$3:$X$39,4,FALSE)-VLOOKUP(B115,[4]Weeks!$A$44:$X$81,4,FALSE)+M880</f>
        <v>0</v>
      </c>
      <c r="N115" s="11">
        <f>IF(C115="*","*",IF(C115&gt;0,M115/C115*100,"-"))</f>
        <v>0</v>
      </c>
      <c r="O115" s="202">
        <f t="shared" si="25"/>
        <v>0</v>
      </c>
      <c r="P115" s="41" t="str">
        <f>IF(ISNUMBER(VLOOKUP(B115,[4]CLOSURES!B:BI,4,FALSE)),TEXT(VLOOKUP(B115,[4]CLOSURES!B:BI,4,FALSE),"ddmmm"),IF(F115&lt;=0,0,IF(I115&lt;=0,0,IF(AND(F115&gt;0,O115&lt;=0),"&gt;52",IF(I115/O115&gt;52,"&gt;52", MAX(0,I115/O115-2))))))</f>
        <v>&gt;52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f>'[5]Maj Pel Combined'!$D$10</f>
        <v>23817.004000000001</v>
      </c>
      <c r="D116" s="200">
        <f>F116-VLOOKUP(B116,[4]quotas!$B$85:$W$120,4,FALSE)</f>
        <v>0</v>
      </c>
      <c r="E116" s="200">
        <f t="shared" si="18"/>
        <v>240.70000000000073</v>
      </c>
      <c r="F116" s="201">
        <f>VLOOKUP(B116,[4]quotas!$B$46:$W$84,4,FALSE)</f>
        <v>24057.704000000002</v>
      </c>
      <c r="G116" s="202">
        <f>VLOOKUP(B116,[4]Cumulative!$A$56:$X$91,4,FALSE)+VLOOKUP(B116,[4]Cumulative!$A$56:$X$91,6,FALSE)-'[4]Scentific landings'!D29-'[4]Box-NS tranfers'!B29</f>
        <v>26186.900820000734</v>
      </c>
      <c r="H116" s="151">
        <f t="shared" si="21"/>
        <v>108.85037416704742</v>
      </c>
      <c r="I116" s="201">
        <f>IF(F116="*","*",F116-G116)</f>
        <v>-2129.1968200007323</v>
      </c>
      <c r="J116" s="202">
        <f>VLOOKUP(B116,[4]Weeks!$A$125:$X$161,4,FALSE)-VLOOKUP(B116,[4]Weeks!$A$165:$X$200,4,FALSE)+J156+J881</f>
        <v>0.64649999999999963</v>
      </c>
      <c r="K116" s="202">
        <f>VLOOKUP(B116,[4]Weeks!$A$85:$X$121,4,FALSE)-VLOOKUP(B116,[4]Weeks!$A$125:$X$161,4,FALSE)+K156+K881</f>
        <v>0.23569999998807933</v>
      </c>
      <c r="L116" s="202">
        <f>VLOOKUP(B116,[4]Weeks!$A$44:$X$81,4,FALSE)-VLOOKUP(B116,[4]Weeks!$A$85:$X$121,4,FALSE)+L156+L881</f>
        <v>18.88089999997441</v>
      </c>
      <c r="M116" s="202">
        <f>VLOOKUP(B116,[4]Weeks!$A$3:$X$39,6,FALSE)-VLOOKUP(B116,[4]Weeks!$A$44:$X$81,6,FALSE)+ VLOOKUP(B116,[4]Weeks!$A$3:$X$39,4,FALSE)-VLOOKUP(B116,[4]Weeks!$A$44:$X$81,4,FALSE)+M881</f>
        <v>0.19782000005245237</v>
      </c>
      <c r="N116" s="11">
        <f t="shared" si="24"/>
        <v>8.305830576022592E-4</v>
      </c>
      <c r="O116" s="202">
        <f t="shared" si="25"/>
        <v>4.9902300000037352</v>
      </c>
      <c r="P116" s="41">
        <f>IF(ISNUMBER(VLOOKUP(B116,[4]CLOSURES!B:BI,4,FALSE)),TEXT(VLOOKUP(B116,[4]CLOSURES!B:BI,4,FALSE),"ddmmm"),IF(F116&lt;=0,0,IF(I116&lt;=0,0,IF(AND(F116&gt;0,O116&lt;=0),"&gt;52",IF(I116/O116&gt;52,"&gt;52", MAX(0,I116/O116-2))))))</f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f>'[5]Maj Pel Combined'!$D$12</f>
        <v>23041.185000000001</v>
      </c>
      <c r="D117" s="200">
        <f>F117-VLOOKUP(B117,[4]quotas!$B$85:$W$120,4,FALSE)</f>
        <v>-100</v>
      </c>
      <c r="E117" s="200">
        <f>F117-C117</f>
        <v>-781.40000000000146</v>
      </c>
      <c r="F117" s="201">
        <f>VLOOKUP(B117,[4]quotas!$B$46:$W$84,4,FALSE)</f>
        <v>22259.785</v>
      </c>
      <c r="G117" s="202">
        <f>VLOOKUP(B117,[4]Cumulative!$A$56:$X$91,4,FALSE)+VLOOKUP(B117,[4]Cumulative!$A$56:$X$91,6,FALSE)-'[4]Scentific landings'!D29-'[4]Box-NS tranfers'!B30</f>
        <v>20975.877264544688</v>
      </c>
      <c r="H117" s="151">
        <f t="shared" si="21"/>
        <v>94.232164706643346</v>
      </c>
      <c r="I117" s="201">
        <f>IF(F117="*","*",F117-G117)</f>
        <v>1283.9077354553119</v>
      </c>
      <c r="J117" s="202">
        <f>VLOOKUP(B117,[4]Weeks!$A$125:$X$161,4,FALSE)-VLOOKUP(B117,[4]Weeks!$A$165:$X$200,4,FALSE)+J157+J882</f>
        <v>237.52199999999903</v>
      </c>
      <c r="K117" s="202">
        <f>VLOOKUP(B117,[4]Weeks!$A$85:$X$121,4,FALSE)-VLOOKUP(B117,[4]Weeks!$A$125:$X$161,4,FALSE)+K157+K882</f>
        <v>3892.4901884765623</v>
      </c>
      <c r="L117" s="202">
        <f>VLOOKUP(B117,[4]Weeks!$A$44:$X$81,4,FALSE)-VLOOKUP(B117,[4]Weeks!$A$85:$X$121,4,FALSE)+L157+L882</f>
        <v>1.5009999694830185</v>
      </c>
      <c r="M117" s="202">
        <f>VLOOKUP(B117,[4]Weeks!$A$3:$X$39,6,FALSE)-VLOOKUP(B117,[4]Weeks!$A$44:$X$81,6,FALSE)+ VLOOKUP(B117,[4]Weeks!$A$3:$X$39,4,FALSE)-VLOOKUP(B117,[4]Weeks!$A$44:$X$81,4,FALSE)+M882</f>
        <v>1.356004801715244</v>
      </c>
      <c r="N117" s="11">
        <f>IF(C117="*","*",IF(C117&gt;0,M117/C117*100,"-"))</f>
        <v>5.8851348214739993E-3</v>
      </c>
      <c r="O117" s="202">
        <f>IF(C117="*","*",SUM(J117:M117)/4)</f>
        <v>1033.2172983119399</v>
      </c>
      <c r="P117" s="41">
        <f>IF(ISNUMBER(VLOOKUP(B117,[4]CLOSURES!B:BI,4,FALSE)),TEXT(VLOOKUP(B117,[4]CLOSURES!B:BI,4,FALSE),"ddmmm"),IF(F117&lt;=0,0,IF(I117&lt;=0,0,IF(AND(F117&gt;0,O117&lt;=0),"&gt;52",IF(I117/O117&gt;52,"&gt;52", MAX(0,I117/O117-2))))))</f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f>SUM(C93:C102)+SUM(C105:C117)</f>
        <v>200635.93199999997</v>
      </c>
      <c r="D118" s="202">
        <f>SUM(D93:D102)+SUM(D105:D117)</f>
        <v>-50</v>
      </c>
      <c r="E118" s="200">
        <f t="shared" si="18"/>
        <v>2687.3000000000466</v>
      </c>
      <c r="F118" s="201">
        <f>SUM(F93:F102)+SUM(F105:F117)</f>
        <v>203323.23200000002</v>
      </c>
      <c r="G118" s="202">
        <f>G103+SUM(G105:G117)</f>
        <v>200409.35892710628</v>
      </c>
      <c r="H118" s="151">
        <f t="shared" si="21"/>
        <v>98.566876473371366</v>
      </c>
      <c r="I118" s="201">
        <f>IF(F118="*","*",F118-G118)</f>
        <v>2913.8730728937371</v>
      </c>
      <c r="J118" s="202">
        <f>SUM(J93:J102)+SUM(J105:J117)</f>
        <v>2384.3145000000532</v>
      </c>
      <c r="K118" s="202">
        <f>SUM(K93:K102)+SUM(K105:K117)</f>
        <v>3900.9762013327199</v>
      </c>
      <c r="L118" s="202">
        <f>SUM(L93:L102)+SUM(L105:L117)</f>
        <v>63.760180456590376</v>
      </c>
      <c r="M118" s="202">
        <f>SUM(M93:M102)+SUM(M105:M117)</f>
        <v>3.8398910788142846</v>
      </c>
      <c r="N118" s="11">
        <f>IF(C118="*","*",IF(C118&gt;0,M118/C118*100,"-"))</f>
        <v>1.9138601149540277E-3</v>
      </c>
      <c r="O118" s="202">
        <f>IF(C118="*","*",SUM(J118:M118)/4)</f>
        <v>1588.2226932170445</v>
      </c>
      <c r="P118" s="41">
        <f>IF(ISNUMBER(VLOOKUP(B118,[4]CLOSURES!B:BI,4,FALSE)),TEXT(VLOOKUP(B118,[4]CLOSURES!B:BI,4,FALSE),"ddmmm"),IF(F118&lt;=0,0,IF(I118&lt;=0,0,IF(AND(F118&gt;0,O118&lt;=0),"&gt;52",IF(I118/O118&gt;52,"&gt;52", MAX(0,I118/O118-2))))))</f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f>'[4]Pel Non PO'!C59</f>
        <v>492.96600000000001</v>
      </c>
      <c r="D120" s="200">
        <f>'[4]Pel Non PO'!D59</f>
        <v>0</v>
      </c>
      <c r="E120" s="200">
        <f t="shared" si="18"/>
        <v>-479</v>
      </c>
      <c r="F120" s="201">
        <f>'[4]Pel Non PO'!F59</f>
        <v>13.96599999999998</v>
      </c>
      <c r="G120" s="202">
        <f>'[4]Pel Non PO'!G59</f>
        <v>0</v>
      </c>
      <c r="H120" s="151">
        <f t="shared" si="21"/>
        <v>0</v>
      </c>
      <c r="I120" s="201">
        <f t="shared" si="22"/>
        <v>13.96599999999998</v>
      </c>
      <c r="J120" s="202">
        <f>'[4]Pel Non PO'!J59</f>
        <v>0</v>
      </c>
      <c r="K120" s="202">
        <f>'[4]Pel Non PO'!K59</f>
        <v>0</v>
      </c>
      <c r="L120" s="202">
        <f>'[4]Pel Non PO'!L59</f>
        <v>0</v>
      </c>
      <c r="M120" s="202">
        <f>'[4]Pel Non PO'!M59</f>
        <v>0</v>
      </c>
      <c r="N120" s="11">
        <f>IF(C120="*","*",IF(C120&gt;0,M120/C120*100,"-"))</f>
        <v>0</v>
      </c>
      <c r="O120" s="202">
        <f>IF(C120="*","*",SUM(J120:M120)/4)</f>
        <v>0</v>
      </c>
      <c r="P120" s="41" t="str">
        <f>IF(ISNUMBER(VLOOKUP(B120,[4]CLOSURES!B:BI,4,FALSE)),TEXT(VLOOKUP(B120,[4]CLOSURES!B:BI,4,FALSE),"ddmmm"),IF(F120&lt;=0,0,IF(I120&lt;=0,0,IF(AND(F120&gt;0,O120&lt;=0),"&gt;52",IF(I120/O120&gt;52,"&gt;52", MAX(0,I120/O120-2))))))</f>
        <v>&gt;52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f>'[5]Maj Pel Combined'!$D$33</f>
        <v>0</v>
      </c>
      <c r="D121" s="200">
        <f>F121-VLOOKUP(B121,[4]quotas!$B$85:$W$120,4,FALSE)</f>
        <v>0</v>
      </c>
      <c r="E121" s="200">
        <f t="shared" si="18"/>
        <v>0</v>
      </c>
      <c r="F121" s="201">
        <f>VLOOKUP(B121,[4]quotas!$B$46:$W$84,4,FALSE)</f>
        <v>0</v>
      </c>
      <c r="G121" s="202"/>
      <c r="H121" s="151">
        <f t="shared" si="21"/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f>IF(C121="*","*",SUM(J121:M121)/4)</f>
        <v>0</v>
      </c>
      <c r="P121" s="41">
        <f>IF(ISNUMBER(VLOOKUP(B121,[4]CLOSURES!B:BI,4,FALSE)),TEXT(VLOOKUP(B121,[4]CLOSURES!B:BI,4,FALSE),"ddmmm"),IF(F121&lt;=0,0,IF(I121&lt;=0,0,IF(AND(F121&gt;0,O121&lt;=0),"&gt;52",IF(I121/O121&gt;52,"&gt;52", MAX(0,I121/O121-2))))))</f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f>'[4]Pel Non PO'!C66</f>
        <v>1605.1189999999999</v>
      </c>
      <c r="D122" s="200">
        <f>'[4]Pel Non PO'!D66</f>
        <v>-50</v>
      </c>
      <c r="E122" s="200">
        <f t="shared" si="18"/>
        <v>-1083.2999999999997</v>
      </c>
      <c r="F122" s="201">
        <f>'[4]Pel Non PO'!F66</f>
        <v>521.81900000000007</v>
      </c>
      <c r="G122" s="202">
        <f>'[4]Pel Non PO'!G66</f>
        <v>238.87792301050075</v>
      </c>
      <c r="H122" s="151">
        <f t="shared" si="21"/>
        <v>45.777927405958906</v>
      </c>
      <c r="I122" s="201">
        <f t="shared" si="22"/>
        <v>282.94107698949932</v>
      </c>
      <c r="J122" s="202">
        <f>'[4]Pel Non PO'!J66</f>
        <v>0.20295999848841006</v>
      </c>
      <c r="K122" s="202">
        <f>'[4]Pel Non PO'!K66</f>
        <v>0.36473999886220554</v>
      </c>
      <c r="L122" s="202">
        <f>'[4]Pel Non PO'!L66</f>
        <v>2.9170700061395962</v>
      </c>
      <c r="M122" s="202">
        <f>'[4]Pel Non PO'!M66</f>
        <v>2.1994402906251072</v>
      </c>
      <c r="N122" s="11">
        <f>IF(C122="*","*",IF(C122&gt;0,M122/C122*100,"-"))</f>
        <v>0.13702661862610233</v>
      </c>
      <c r="O122" s="202">
        <f>IF(C122="*","*",SUM(J122:M122)/4)</f>
        <v>1.4210525735288297</v>
      </c>
      <c r="P122" s="41" t="str">
        <f>IF(ISNUMBER(VLOOKUP(B122,[4]CLOSURES!B:BI,4,FALSE)),TEXT(VLOOKUP(B122,[4]CLOSURES!B:BI,4,FALSE),"ddmmm"),IF(F122&lt;=0,0,IF(I122&lt;=0,0,IF(AND(F122&gt;0,O122&lt;=0),"&gt;52",IF(I122/O122&gt;52,"&gt;52", MAX(0,I122/O122-2))))))</f>
        <v>&gt;52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f>'[5]Maj Pel Combined'!$D$34</f>
        <v>1750</v>
      </c>
      <c r="D123" s="200">
        <f>F123-VLOOKUP(B123,[4]quotas!$B$85:$W$120,4,FALSE)</f>
        <v>0</v>
      </c>
      <c r="E123" s="200">
        <f t="shared" si="18"/>
        <v>-710</v>
      </c>
      <c r="F123" s="201">
        <f>VLOOKUP(B123,[4]quotas!$B$46:$W$84,4,FALSE)</f>
        <v>1040</v>
      </c>
      <c r="G123" s="202">
        <f>IF(C109="*","*",SUM([4]Cumulative!E57:E88))</f>
        <v>321.27990804250368</v>
      </c>
      <c r="H123" s="151">
        <f t="shared" si="21"/>
        <v>30.892298850240739</v>
      </c>
      <c r="I123" s="201">
        <f t="shared" si="22"/>
        <v>718.72009195749638</v>
      </c>
      <c r="J123" s="202">
        <f>[4]Weeks!E153-[4]Weeks!E193+J163</f>
        <v>0.39590000009525284</v>
      </c>
      <c r="K123" s="202">
        <f>[4]Weeks!E113-[4]Weeks!E153+K163</f>
        <v>0.68827500048280399</v>
      </c>
      <c r="L123" s="202">
        <f>[4]Weeks!E73-[4]Weeks!E113+L163</f>
        <v>9.6821299917699548</v>
      </c>
      <c r="M123" s="202">
        <f>[4]Weeks!E33-[4]Weeks!E73+M163</f>
        <v>9.8514150028750578</v>
      </c>
      <c r="N123" s="11">
        <f>IF(C123="*","*",IF(C123&gt;0,M123/C123*100,"-"))</f>
        <v>0.56293800016428908</v>
      </c>
      <c r="O123" s="202">
        <f>IF(C123="*","*",SUM(J123:M123)/4)</f>
        <v>5.1544299988057674</v>
      </c>
      <c r="P123" s="41" t="str">
        <f>IF(ISNUMBER(VLOOKUP(B123,[4]CLOSURES!B:BI,4,FALSE)),TEXT(VLOOKUP(B123,[4]CLOSURES!B:BI,4,FALSE),"ddmmm"),IF(F123&lt;=0,0,IF(I123&lt;=0,0,IF(AND(F123&gt;0,O123&lt;=0),"&gt;52",IF(I123/O123&gt;52,"&gt;52", MAX(0,I123/O123-2))))))</f>
        <v>&gt;52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f>'[5]Maj Pel Combined'!$D$41</f>
        <v>50</v>
      </c>
      <c r="D124" s="202"/>
      <c r="E124" s="200"/>
      <c r="F124" s="201">
        <f>C124</f>
        <v>50</v>
      </c>
      <c r="G124" s="202"/>
      <c r="H124" s="151"/>
      <c r="I124" s="201">
        <f>C124</f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f>C118+SUM(C120:C124)</f>
        <v>204534.01699999996</v>
      </c>
      <c r="D125" s="131">
        <f>D118+SUM(D120:D124)</f>
        <v>-100</v>
      </c>
      <c r="E125" s="135">
        <f>E118+SUM(E120:E123)</f>
        <v>415.00000000004684</v>
      </c>
      <c r="F125" s="132">
        <f>[4]quotas!E79+F124</f>
        <v>204949.01699999999</v>
      </c>
      <c r="G125" s="131">
        <f>G118+SUM(G120:G124)</f>
        <v>200969.5167581593</v>
      </c>
      <c r="H125" s="156">
        <f t="shared" si="21"/>
        <v>98.058297473151228</v>
      </c>
      <c r="I125" s="132">
        <f t="shared" ref="I125" si="26">IF(F125="*","*",F125-G125)</f>
        <v>3979.5002418406948</v>
      </c>
      <c r="J125" s="131">
        <f>J118+J120+J122+J123</f>
        <v>2384.9133599986371</v>
      </c>
      <c r="K125" s="131">
        <f>K118+K120+K122+K123</f>
        <v>3902.0292163320651</v>
      </c>
      <c r="L125" s="131">
        <f>L118+L120+L122+L123</f>
        <v>76.359380454499927</v>
      </c>
      <c r="M125" s="131">
        <f>M118+M120+M122+M123</f>
        <v>15.89074637231445</v>
      </c>
      <c r="N125" s="53">
        <f>IF(C125="*","*",IF(C125&gt;0,M125/C125*100,"-"))</f>
        <v>7.7692437695165645E-3</v>
      </c>
      <c r="O125" s="131">
        <f>IF(C125="*","*",SUM(J125:M125)/4)</f>
        <v>1594.7981757893792</v>
      </c>
      <c r="P125" s="49">
        <f>IF(ISNUMBER(VLOOKUP(B125,[4]CLOSURES!B:BI,4,FALSE)),TEXT(VLOOKUP(B125,[4]CLOSURES!B:BI,4,FALSE),"ddmmm"),IF(F125&lt;=0,0,IF(I125&lt;=0,0,IF(AND(F125&gt;0,O125&lt;=0),"&gt;52",IF(I125/O125&gt;52,"&gt;52", MAX(0,I125/O125-2))))))</f>
        <v>0.49530022184215028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f>$J7</f>
        <v>44895</v>
      </c>
      <c r="K130" s="33">
        <f>$K7</f>
        <v>44902</v>
      </c>
      <c r="L130" s="33">
        <f>$L7</f>
        <v>44909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f>'[5]Maj Pel Combined'!$E$23</f>
        <v>46046.5</v>
      </c>
      <c r="D133" s="200">
        <f>F133-VLOOKUP(B133,[4]quotas!$B$85:$W$120,5,FALSE)</f>
        <v>0</v>
      </c>
      <c r="E133" s="200">
        <f t="shared" ref="E133:E162" si="27">F133-C133</f>
        <v>70</v>
      </c>
      <c r="F133" s="201">
        <f>VLOOKUP(B133,[4]quotas!$B$46:$W$84,5,FALSE)</f>
        <v>46116.5</v>
      </c>
      <c r="G133" s="202">
        <f>VLOOKUP(B133,[4]Cumulative!$A$56:$X$91,6,FALSE)+'[4]Missing WS Mac_Herr'!B2-'[4]Special Conditions stocks'!C156</f>
        <v>48565.640999999996</v>
      </c>
      <c r="H133" s="151">
        <f>IF(AND(F133=0,G133&gt;0),"n/a",IF(F133=0,0,100*G133/F133))</f>
        <v>105.31076946429151</v>
      </c>
      <c r="I133" s="201">
        <f>IF(F133="*","*",F133-G133)</f>
        <v>-2449.140999999996</v>
      </c>
      <c r="J133" s="202">
        <f>VLOOKUP(B133,[4]Weeks!$A$125:$X$161,6,FALSE)-VLOOKUP(B133,[4]Weeks!$A$165:$X$200,6,FALSE)</f>
        <v>438.38999999999942</v>
      </c>
      <c r="K133" s="202">
        <f>VLOOKUP(B133,[4]Weeks!$A$85:$X$121,6,FALSE)-VLOOKUP(B133,[4]Weeks!$A$125:$X$161,6,FALSE)</f>
        <v>0</v>
      </c>
      <c r="L133" s="202">
        <f>VLOOKUP(B133,[4]Weeks!$A$44:$X$81,6,FALSE)-VLOOKUP(B133,[4]Weeks!$A$85:$X$121,6,FALSE)</f>
        <v>11.360000000000582</v>
      </c>
      <c r="M133" s="202">
        <f>VLOOKUP(B133,[4]Weeks!$A$3:$X$39,6,FALSE)-VLOOKUP(B133,[4]Weeks!$A$44:$X$81,6,FALSE)</f>
        <v>0</v>
      </c>
      <c r="N133" s="11">
        <f>IF(C133="*","*",IF(C133&gt;0,M133/C133*100,"-"))</f>
        <v>0</v>
      </c>
      <c r="O133" s="202">
        <f t="shared" ref="O133:O142" si="28">IF(C133="*","*",SUM(J133:M133)/4)</f>
        <v>112.4375</v>
      </c>
      <c r="P133" s="41">
        <f>IF(ISNUMBER(VLOOKUP(B133,[4]CLOSURES!B:BI,5,FALSE)),TEXT(VLOOKUP(B133,[4]CLOSURES!B:BI,5,FALSE),"ddmmm"),IF(F133&lt;=0,0,IF(I133&lt;=0,0,IF(AND(F133&gt;0,O133&lt;=0),"&gt;52",IF(I133/O133&gt;52,"&gt;52", MAX(0,I133/O133-2))))))</f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f>'[5]Maj Pel Combined'!$E$16</f>
        <v>7</v>
      </c>
      <c r="D134" s="200">
        <f>F134-VLOOKUP(B134,[4]quotas!$B$85:$W$120,5,FALSE)</f>
        <v>0</v>
      </c>
      <c r="E134" s="200">
        <f t="shared" si="27"/>
        <v>100</v>
      </c>
      <c r="F134" s="201">
        <f>VLOOKUP(B134,[4]quotas!$B$46:$W$84,5,FALSE)</f>
        <v>107</v>
      </c>
      <c r="G134" s="202">
        <f>VLOOKUP(B134,[4]Cumulative!$A$56:$X$91,6,FALSE)</f>
        <v>23.79</v>
      </c>
      <c r="H134" s="151">
        <f t="shared" ref="H134:H165" si="29">IF(AND(F134=0,G134&gt;0),"n/a",IF(F134=0,0,100*G134/F134))</f>
        <v>22.233644859813083</v>
      </c>
      <c r="I134" s="201">
        <f t="shared" ref="I134:I162" si="30">IF(F134="*","*",F134-G134)</f>
        <v>83.210000000000008</v>
      </c>
      <c r="J134" s="202">
        <f>VLOOKUP(B134,[4]Weeks!$A$125:$X$161,6,FALSE)-VLOOKUP(B134,[4]Weeks!$A$165:$X$200,6,FALSE)</f>
        <v>0</v>
      </c>
      <c r="K134" s="202">
        <f>VLOOKUP(B134,[4]Weeks!$A$85:$X$121,6,FALSE)-VLOOKUP(B134,[4]Weeks!$A$125:$X$161,6,FALSE)</f>
        <v>0</v>
      </c>
      <c r="L134" s="202">
        <f>VLOOKUP(B134,[4]Weeks!$A$44:$X$81,6,FALSE)-VLOOKUP(B134,[4]Weeks!$A$85:$X$121,6,FALSE)</f>
        <v>17.47</v>
      </c>
      <c r="M134" s="202">
        <f>VLOOKUP(B134,[4]Weeks!$A$3:$X$39,6,FALSE)-VLOOKUP(B134,[4]Weeks!$A$44:$X$81,6,FALSE)</f>
        <v>0</v>
      </c>
      <c r="N134" s="11">
        <v>0</v>
      </c>
      <c r="O134" s="202">
        <f t="shared" si="28"/>
        <v>4.3674999999999997</v>
      </c>
      <c r="P134" s="41" t="str">
        <f>IF(ISNUMBER(VLOOKUP(B134,[4]CLOSURES!B:BI,5,FALSE)),TEXT(VLOOKUP(B134,[4]CLOSURES!B:BI,5,FALSE),"ddmmm"),IF(F134&lt;=0,0,IF(I134&lt;=0,0,IF(AND(F134&gt;0,O134&lt;=0),"&gt;52",IF(I134/O134&gt;52,"&gt;52", MAX(0,I134/O134-2))))))</f>
        <v>01Jan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f>'[5]Maj Pel Combined'!$E$20</f>
        <v>0.5</v>
      </c>
      <c r="D135" s="200">
        <f>F135-VLOOKUP(B135,[4]quotas!$B$85:$W$120,5,FALSE)</f>
        <v>0</v>
      </c>
      <c r="E135" s="200">
        <f t="shared" si="27"/>
        <v>0</v>
      </c>
      <c r="F135" s="201">
        <f>VLOOKUP(B135,[4]quotas!$B$46:$W$84,5,FALSE)</f>
        <v>0.5</v>
      </c>
      <c r="G135" s="202">
        <f>VLOOKUP(B135,[4]Cumulative!$A$56:$X$91,6,FALSE)</f>
        <v>2.1</v>
      </c>
      <c r="H135" s="151">
        <f t="shared" si="29"/>
        <v>420</v>
      </c>
      <c r="I135" s="201">
        <f t="shared" si="30"/>
        <v>-1.6</v>
      </c>
      <c r="J135" s="202">
        <f>VLOOKUP(B135,[4]Weeks!$A$125:$X$161,6,FALSE)-VLOOKUP(B135,[4]Weeks!$A$165:$X$200,6,FALSE)</f>
        <v>0</v>
      </c>
      <c r="K135" s="202">
        <f>VLOOKUP(B135,[4]Weeks!$A$85:$X$121,6,FALSE)-VLOOKUP(B135,[4]Weeks!$A$125:$X$161,6,FALSE)</f>
        <v>0</v>
      </c>
      <c r="L135" s="202">
        <f>VLOOKUP(B135,[4]Weeks!$A$44:$X$81,6,FALSE)-VLOOKUP(B135,[4]Weeks!$A$85:$X$121,6,FALSE)</f>
        <v>2.0300000000000002</v>
      </c>
      <c r="M135" s="202">
        <f>VLOOKUP(B135,[4]Weeks!$A$3:$X$39,6,FALSE)-VLOOKUP(B135,[4]Weeks!$A$44:$X$81,6,FALSE)</f>
        <v>0</v>
      </c>
      <c r="N135" s="11">
        <f t="shared" ref="N135:N142" si="31">IF(C135="*","*",IF(C135&gt;0,M135/C135*100,"-"))</f>
        <v>0</v>
      </c>
      <c r="O135" s="202">
        <f t="shared" si="28"/>
        <v>0.50750000000000006</v>
      </c>
      <c r="P135" s="41" t="str">
        <f>IF(ISNUMBER(VLOOKUP(B135,[4]CLOSURES!B:BI,5,FALSE)),TEXT(VLOOKUP(B135,[4]CLOSURES!B:BI,5,FALSE),"ddmmm"),IF(F135&lt;=0,0,IF(I135&lt;=0,0,IF(AND(F135&gt;0,O135&lt;=0),"&gt;52",IF(I135/O135&gt;52,"&gt;52", MAX(0,I135/O135-2))))))</f>
        <v>01Jan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f>'[5]Maj Pel Combined'!$E$24</f>
        <v>41135</v>
      </c>
      <c r="D136" s="200">
        <f>F136-VLOOKUP(B136,[4]quotas!$B$85:$W$120,5,FALSE)</f>
        <v>0</v>
      </c>
      <c r="E136" s="200">
        <f t="shared" si="27"/>
        <v>0</v>
      </c>
      <c r="F136" s="201">
        <f>VLOOKUP(B136,[4]quotas!$B$46:$W$84,5,FALSE)</f>
        <v>41135</v>
      </c>
      <c r="G136" s="202">
        <f>VLOOKUP(B136,[4]Cumulative!$A$56:$X$91,6,FALSE)-'[4]Shet box to NS Mac'!B5</f>
        <v>35087.379000000008</v>
      </c>
      <c r="H136" s="151">
        <f t="shared" si="29"/>
        <v>85.298113528625279</v>
      </c>
      <c r="I136" s="201">
        <f t="shared" si="30"/>
        <v>6047.6209999999919</v>
      </c>
      <c r="J136" s="202">
        <f>VLOOKUP(B136,[4]Weeks!$A$125:$X$161,6,FALSE)-VLOOKUP(B136,[4]Weeks!$A$165:$X$200,6,FALSE)</f>
        <v>538.47999999999593</v>
      </c>
      <c r="K136" s="202">
        <f>VLOOKUP(B136,[4]Weeks!$A$85:$X$121,6,FALSE)-VLOOKUP(B136,[4]Weeks!$A$125:$X$161,6,FALSE)</f>
        <v>3.6900000000023283</v>
      </c>
      <c r="L136" s="202">
        <f>VLOOKUP(B136,[4]Weeks!$A$44:$X$81,6,FALSE)-VLOOKUP(B136,[4]Weeks!$A$85:$X$121,6,FALSE)</f>
        <v>5.9999999997671694E-2</v>
      </c>
      <c r="M136" s="202">
        <f>VLOOKUP(B136,[4]Weeks!$A$3:$X$39,6,FALSE)-VLOOKUP(B136,[4]Weeks!$A$44:$X$81,6,FALSE)</f>
        <v>2.0000000004074536E-2</v>
      </c>
      <c r="N136" s="11">
        <f t="shared" si="31"/>
        <v>4.8620396266134766E-5</v>
      </c>
      <c r="O136" s="202">
        <f t="shared" si="28"/>
        <v>135.5625</v>
      </c>
      <c r="P136" s="41">
        <f>IF(ISNUMBER(VLOOKUP(B136,[4]CLOSURES!B:BI,5,FALSE)),TEXT(VLOOKUP(B136,[4]CLOSURES!B:BI,5,FALSE),"ddmmm"),IF(F136&lt;=0,0,IF(I136&lt;=0,0,IF(AND(F136&gt;0,O136&lt;=0),"&gt;52",IF(I136/O136&gt;52,"&gt;52", MAX(0,I136/O136-2))))))</f>
        <v>42.611312125403352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f>'[5]Maj Pel Combined'!$E$17</f>
        <v>1.7</v>
      </c>
      <c r="D137" s="200">
        <f>F137-VLOOKUP(B137,[4]quotas!$B$85:$W$120,5,FALSE)</f>
        <v>0</v>
      </c>
      <c r="E137" s="200">
        <f>F137-C137</f>
        <v>0</v>
      </c>
      <c r="F137" s="201">
        <f>VLOOKUP(B137,[4]quotas!$B$46:$W$84,5,FALSE)</f>
        <v>1.7</v>
      </c>
      <c r="G137" s="202">
        <f>VLOOKUP(B137,[4]Cumulative!$A$56:$X$91,6,FALSE)</f>
        <v>0</v>
      </c>
      <c r="H137" s="151">
        <f>IF(AND(F137=0,G137&gt;0),"n/a",IF(F137=0,0,100*G137/F137))</f>
        <v>0</v>
      </c>
      <c r="I137" s="201">
        <f>IF(F137="*","*",F137-G137)</f>
        <v>1.7</v>
      </c>
      <c r="J137" s="202">
        <f>VLOOKUP(B137,[4]Weeks!$A$125:$X$161,6,FALSE)-VLOOKUP(B137,[4]Weeks!$A$165:$X$200,6,FALSE)</f>
        <v>0</v>
      </c>
      <c r="K137" s="202">
        <f>VLOOKUP(B137,[4]Weeks!$A$85:$X$121,6,FALSE)-VLOOKUP(B137,[4]Weeks!$A$125:$X$161,6,FALSE)</f>
        <v>0</v>
      </c>
      <c r="L137" s="202">
        <f>VLOOKUP(B137,[4]Weeks!$A$44:$X$81,6,FALSE)-VLOOKUP(B137,[4]Weeks!$A$85:$X$121,6,FALSE)</f>
        <v>0</v>
      </c>
      <c r="M137" s="202">
        <f>VLOOKUP(B137,[4]Weeks!$A$3:$X$39,6,FALSE)-VLOOKUP(B137,[4]Weeks!$A$44:$X$81,6,FALSE)</f>
        <v>0</v>
      </c>
      <c r="N137" s="11">
        <f>IF(C137="*","*",IF(C137&gt;0,M137/C137*100,"-"))</f>
        <v>0</v>
      </c>
      <c r="O137" s="202">
        <f t="shared" si="28"/>
        <v>0</v>
      </c>
      <c r="P137" s="41" t="str">
        <f>IF(ISNUMBER(VLOOKUP(B137,[4]CLOSURES!B:BI,5,FALSE)),TEXT(VLOOKUP(B137,[4]CLOSURES!B:BI,5,FALSE),"ddmmm"),IF(F137&lt;=0,0,IF(I137&lt;=0,0,IF(AND(F137&gt;0,O137&lt;=0),"&gt;52",IF(I137/O137&gt;52,"&gt;52", MAX(0,I137/O137-2))))))</f>
        <v>01Jan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f>'[5]Maj Pel Combined'!$E$25</f>
        <v>16</v>
      </c>
      <c r="D138" s="200">
        <f>F138-VLOOKUP(B138,[4]quotas!$B$85:$W$120,5,FALSE)</f>
        <v>0</v>
      </c>
      <c r="E138" s="200">
        <f t="shared" si="27"/>
        <v>0</v>
      </c>
      <c r="F138" s="201">
        <f>VLOOKUP(B138,[4]quotas!$B$46:$W$84,5,FALSE)</f>
        <v>16</v>
      </c>
      <c r="G138" s="202">
        <f>VLOOKUP(B138,[4]Cumulative!$A$56:$X$91,6,FALSE)</f>
        <v>0</v>
      </c>
      <c r="H138" s="151">
        <f t="shared" si="29"/>
        <v>0</v>
      </c>
      <c r="I138" s="201">
        <f t="shared" si="30"/>
        <v>16</v>
      </c>
      <c r="J138" s="202">
        <f>VLOOKUP(B138,[4]Weeks!$A$125:$X$161,6,FALSE)-VLOOKUP(B138,[4]Weeks!$A$165:$X$200,6,FALSE)</f>
        <v>0</v>
      </c>
      <c r="K138" s="202">
        <f>VLOOKUP(B138,[4]Weeks!$A$85:$X$121,6,FALSE)-VLOOKUP(B138,[4]Weeks!$A$125:$X$161,6,FALSE)</f>
        <v>0</v>
      </c>
      <c r="L138" s="202">
        <f>VLOOKUP(B138,[4]Weeks!$A$44:$X$81,6,FALSE)-VLOOKUP(B138,[4]Weeks!$A$85:$X$121,6,FALSE)</f>
        <v>0</v>
      </c>
      <c r="M138" s="202">
        <f>VLOOKUP(B138,[4]Weeks!$A$3:$X$39,6,FALSE)-VLOOKUP(B138,[4]Weeks!$A$44:$X$81,6,FALSE)</f>
        <v>0</v>
      </c>
      <c r="N138" s="11">
        <f t="shared" si="31"/>
        <v>0</v>
      </c>
      <c r="O138" s="202">
        <f t="shared" si="28"/>
        <v>0</v>
      </c>
      <c r="P138" s="41" t="str">
        <f>IF(ISNUMBER(VLOOKUP(B138,[4]CLOSURES!B:BI,5,FALSE)),TEXT(VLOOKUP(B138,[4]CLOSURES!B:BI,5,FALSE),"ddmmm"),IF(F138&lt;=0,0,IF(I138&lt;=0,0,IF(AND(F138&gt;0,O138&lt;=0),"&gt;52",IF(I138/O138&gt;52,"&gt;52", MAX(0,I138/O138-2))))))</f>
        <v>01Jan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f>'[5]Maj Pel Combined'!$E$22</f>
        <v>0.4</v>
      </c>
      <c r="D139" s="200">
        <f>F139-VLOOKUP(B139,[4]quotas!$B$85:$W$120,5,FALSE)</f>
        <v>0</v>
      </c>
      <c r="E139" s="200">
        <f t="shared" si="27"/>
        <v>0</v>
      </c>
      <c r="F139" s="201">
        <f>VLOOKUP(B139,[4]quotas!$B$46:$W$84,5,FALSE)</f>
        <v>0.4</v>
      </c>
      <c r="G139" s="202">
        <f>VLOOKUP(B139,[4]Cumulative!$A$56:$X$91,6,FALSE)</f>
        <v>0.13</v>
      </c>
      <c r="H139" s="151">
        <f t="shared" si="29"/>
        <v>32.5</v>
      </c>
      <c r="I139" s="201">
        <f t="shared" si="30"/>
        <v>0.27</v>
      </c>
      <c r="J139" s="202">
        <f>VLOOKUP(B139,[4]Weeks!$A$125:$X$161,6,FALSE)-VLOOKUP(B139,[4]Weeks!$A$165:$X$200,6,FALSE)</f>
        <v>0</v>
      </c>
      <c r="K139" s="202">
        <f>VLOOKUP(B139,[4]Weeks!$A$85:$X$121,6,FALSE)-VLOOKUP(B139,[4]Weeks!$A$125:$X$161,6,FALSE)</f>
        <v>0</v>
      </c>
      <c r="L139" s="202">
        <f>VLOOKUP(B139,[4]Weeks!$A$44:$X$81,6,FALSE)-VLOOKUP(B139,[4]Weeks!$A$85:$X$121,6,FALSE)</f>
        <v>0.09</v>
      </c>
      <c r="M139" s="202">
        <f>VLOOKUP(B139,[4]Weeks!$A$3:$X$39,6,FALSE)-VLOOKUP(B139,[4]Weeks!$A$44:$X$81,6,FALSE)</f>
        <v>0</v>
      </c>
      <c r="N139" s="11">
        <f t="shared" si="31"/>
        <v>0</v>
      </c>
      <c r="O139" s="202">
        <f t="shared" si="28"/>
        <v>2.2499999999999999E-2</v>
      </c>
      <c r="P139" s="41" t="str">
        <f>IF(ISNUMBER(VLOOKUP(B139,[4]CLOSURES!B:BI,5,FALSE)),TEXT(VLOOKUP(B139,[4]CLOSURES!B:BI,5,FALSE),"ddmmm"),IF(F139&lt;=0,0,IF(I139&lt;=0,0,IF(AND(F139&gt;0,O139&lt;=0),"&gt;52",IF(I139/O139&gt;52,"&gt;52", MAX(0,I139/O139-2))))))</f>
        <v>01Jan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f>'[5]Maj Pel Combined'!$E$21</f>
        <v>6.5</v>
      </c>
      <c r="D140" s="200">
        <f>F140-VLOOKUP(B140,[4]quotas!$B$85:$W$120,5,FALSE)</f>
        <v>0</v>
      </c>
      <c r="E140" s="200">
        <f t="shared" si="27"/>
        <v>0</v>
      </c>
      <c r="F140" s="201">
        <f>VLOOKUP(B140,[4]quotas!$B$46:$W$84,5,FALSE)</f>
        <v>6.5</v>
      </c>
      <c r="G140" s="202">
        <f>VLOOKUP(B140,[4]Cumulative!$A$56:$X$91,6,FALSE)</f>
        <v>0</v>
      </c>
      <c r="H140" s="151">
        <f t="shared" si="29"/>
        <v>0</v>
      </c>
      <c r="I140" s="201">
        <f t="shared" si="30"/>
        <v>6.5</v>
      </c>
      <c r="J140" s="202">
        <f>VLOOKUP(B140,[4]Weeks!$A$125:$X$161,6,FALSE)-VLOOKUP(B140,[4]Weeks!$A$165:$X$200,6,FALSE)</f>
        <v>0</v>
      </c>
      <c r="K140" s="202">
        <f>VLOOKUP(B140,[4]Weeks!$A$85:$X$121,6,FALSE)-VLOOKUP(B140,[4]Weeks!$A$125:$X$161,6,FALSE)</f>
        <v>0</v>
      </c>
      <c r="L140" s="202">
        <f>VLOOKUP(B140,[4]Weeks!$A$44:$X$81,6,FALSE)-VLOOKUP(B140,[4]Weeks!$A$85:$X$121,6,FALSE)</f>
        <v>0</v>
      </c>
      <c r="M140" s="202">
        <f>VLOOKUP(B140,[4]Weeks!$A$3:$X$39,6,FALSE)-VLOOKUP(B140,[4]Weeks!$A$44:$X$81,6,FALSE)</f>
        <v>0</v>
      </c>
      <c r="N140" s="11">
        <f t="shared" si="31"/>
        <v>0</v>
      </c>
      <c r="O140" s="202">
        <f t="shared" si="28"/>
        <v>0</v>
      </c>
      <c r="P140" s="41" t="str">
        <f>IF(ISNUMBER(VLOOKUP(B140,[4]CLOSURES!B:BI,5,FALSE)),TEXT(VLOOKUP(B140,[4]CLOSURES!B:BI,5,FALSE),"ddmmm"),IF(F140&lt;=0,0,IF(I140&lt;=0,0,IF(AND(F140&gt;0,O140&lt;=0),"&gt;52",IF(I140/O140&gt;52,"&gt;52", MAX(0,I140/O140-2))))))</f>
        <v>01Jan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f>'[5]Maj Pel Combined'!$E$18</f>
        <v>26604.9</v>
      </c>
      <c r="D141" s="200">
        <f>F141-VLOOKUP(B141,[4]quotas!$B$85:$W$120,5,FALSE)</f>
        <v>0</v>
      </c>
      <c r="E141" s="200">
        <f t="shared" si="27"/>
        <v>0</v>
      </c>
      <c r="F141" s="201">
        <f>VLOOKUP(B141,[4]quotas!$B$46:$W$84,5,FALSE)</f>
        <v>26604.9</v>
      </c>
      <c r="G141" s="202">
        <f>VLOOKUP(B141,[4]Cumulative!$A$56:$X$91,6,FALSE)+'[4]Missing WS Mac_Herr'!B4</f>
        <v>21915.524999999998</v>
      </c>
      <c r="H141" s="151">
        <f t="shared" si="29"/>
        <v>82.374017568192315</v>
      </c>
      <c r="I141" s="201">
        <f t="shared" si="30"/>
        <v>4689.3750000000036</v>
      </c>
      <c r="J141" s="202">
        <f>VLOOKUP(B141,[4]Weeks!$A$125:$X$161,6,FALSE)-VLOOKUP(B141,[4]Weeks!$A$165:$X$200,6,FALSE)</f>
        <v>0</v>
      </c>
      <c r="K141" s="202">
        <f>VLOOKUP(B141,[4]Weeks!$A$85:$X$121,6,FALSE)-VLOOKUP(B141,[4]Weeks!$A$125:$X$161,6,FALSE)</f>
        <v>0</v>
      </c>
      <c r="L141" s="202">
        <f>VLOOKUP(B141,[4]Weeks!$A$44:$X$81,6,FALSE)-VLOOKUP(B141,[4]Weeks!$A$85:$X$121,6,FALSE)</f>
        <v>0</v>
      </c>
      <c r="M141" s="202">
        <f>VLOOKUP(B141,[4]Weeks!$A$3:$X$39,6,FALSE)-VLOOKUP(B141,[4]Weeks!$A$44:$X$81,6,FALSE)</f>
        <v>0</v>
      </c>
      <c r="N141" s="11">
        <f t="shared" si="31"/>
        <v>0</v>
      </c>
      <c r="O141" s="202">
        <f t="shared" si="28"/>
        <v>0</v>
      </c>
      <c r="P141" s="41" t="str">
        <f>IF(ISNUMBER(VLOOKUP(B141,[4]CLOSURES!B:BI,5,FALSE)),TEXT(VLOOKUP(B141,[4]CLOSURES!B:BI,5,FALSE),"ddmmm"),IF(F141&lt;=0,0,IF(I141&lt;=0,0,IF(AND(F141&gt;0,O141&lt;=0),"&gt;52",IF(I141/O141&gt;52,"&gt;52", MAX(0,I141/O141-2))))))</f>
        <v>&gt;52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f>'[5]Maj Pel Combined'!$E$19</f>
        <v>23888.799999999999</v>
      </c>
      <c r="D142" s="200">
        <f>F142-VLOOKUP(B142,[4]quotas!$B$85:$W$120,5,FALSE)</f>
        <v>0</v>
      </c>
      <c r="E142" s="200">
        <f t="shared" si="27"/>
        <v>-16.900000000001455</v>
      </c>
      <c r="F142" s="201">
        <f>VLOOKUP(B142,[4]quotas!$B$46:$W$84,5,FALSE)</f>
        <v>23871.899999999998</v>
      </c>
      <c r="G142" s="202">
        <f>VLOOKUP(B142,[4]Cumulative!$A$56:$X$91,6,FALSE)-'[4]Special Conditions stocks'!C165-'[4]Shet box to NS Mac'!B4</f>
        <v>19835.979999999996</v>
      </c>
      <c r="H142" s="151">
        <f t="shared" si="29"/>
        <v>83.093427837750653</v>
      </c>
      <c r="I142" s="201">
        <f t="shared" si="30"/>
        <v>4035.9200000000019</v>
      </c>
      <c r="J142" s="202">
        <f>VLOOKUP(B142,[4]Weeks!$A$125:$X$161,6,FALSE)-VLOOKUP(B142,[4]Weeks!$A$165:$X$200,6,FALSE)</f>
        <v>1168.2999999999993</v>
      </c>
      <c r="K142" s="202">
        <f>VLOOKUP(B142,[4]Weeks!$A$85:$X$121,6,FALSE)-VLOOKUP(B142,[4]Weeks!$A$125:$X$161,6,FALSE)</f>
        <v>0</v>
      </c>
      <c r="L142" s="202">
        <f>VLOOKUP(B142,[4]Weeks!$A$44:$X$81,6,FALSE)-VLOOKUP(B142,[4]Weeks!$A$85:$X$121,6,FALSE)</f>
        <v>9.069999999999709</v>
      </c>
      <c r="M142" s="202">
        <f>VLOOKUP(B142,[4]Weeks!$A$3:$X$39,6,FALSE)-VLOOKUP(B142,[4]Weeks!$A$44:$X$81,6,FALSE)</f>
        <v>0</v>
      </c>
      <c r="N142" s="11">
        <f t="shared" si="31"/>
        <v>0</v>
      </c>
      <c r="O142" s="202">
        <f t="shared" si="28"/>
        <v>294.34249999999975</v>
      </c>
      <c r="P142" s="41">
        <f>IF(ISNUMBER(VLOOKUP(B142,[4]CLOSURES!B:BI,5,FALSE)),TEXT(VLOOKUP(B142,[4]CLOSURES!B:BI,5,FALSE),"ddmmm"),IF(F142&lt;=0,0,IF(I142&lt;=0,0,IF(AND(F142&gt;0,O142&lt;=0),"&gt;52",IF(I142/O142&gt;52,"&gt;52", MAX(0,I142/O142-2))))))</f>
        <v>11.711645447055744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f>SUM(C133:C142)</f>
        <v>137707.29999999999</v>
      </c>
      <c r="D143" s="200">
        <f>SUM(D133:D142)</f>
        <v>0</v>
      </c>
      <c r="E143" s="200">
        <f t="shared" si="27"/>
        <v>153.10000000000582</v>
      </c>
      <c r="F143" s="201">
        <f>SUM(F133:F142)</f>
        <v>137860.4</v>
      </c>
      <c r="G143" s="202">
        <f>SUM(G133:G142)</f>
        <v>125430.545</v>
      </c>
      <c r="H143" s="151">
        <f t="shared" si="29"/>
        <v>90.98373789717715</v>
      </c>
      <c r="I143" s="201">
        <f t="shared" si="30"/>
        <v>12429.854999999996</v>
      </c>
      <c r="J143" s="202">
        <f t="shared" ref="J143:O143" si="32">SUM(J133:J142)</f>
        <v>2145.1699999999946</v>
      </c>
      <c r="K143" s="202">
        <f t="shared" si="32"/>
        <v>3.6900000000023283</v>
      </c>
      <c r="L143" s="202">
        <f t="shared" si="32"/>
        <v>40.079999999997966</v>
      </c>
      <c r="M143" s="202">
        <f t="shared" si="32"/>
        <v>2.0000000004074536E-2</v>
      </c>
      <c r="N143" s="11">
        <f t="shared" si="32"/>
        <v>4.8620396266134766E-5</v>
      </c>
      <c r="O143" s="202">
        <f t="shared" si="32"/>
        <v>547.23999999999978</v>
      </c>
      <c r="P143" s="41">
        <f>IF(ISNUMBER(VLOOKUP(B143,[4]CLOSURES!B:BI,5,FALSE)),TEXT(VLOOKUP(B143,[4]CLOSURES!B:BI,5,FALSE),"ddmmm"),IF(F143&lt;=0,0,IF(I143&lt;=0,0,IF(AND(F143&gt;0,O143&lt;=0),"&gt;52",IF(I143/O143&gt;52,"&gt;52", MAX(0,I143/O143-2))))))</f>
        <v>20.713717929975882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f>'[5]Maj Pel Combined'!$E$5</f>
        <v>0.878</v>
      </c>
      <c r="D145" s="200">
        <f>F145-VLOOKUP(B145,[4]quotas!$B$85:$W$120,5,FALSE)</f>
        <v>0</v>
      </c>
      <c r="E145" s="200">
        <f t="shared" si="27"/>
        <v>0</v>
      </c>
      <c r="F145" s="201">
        <f>VLOOKUP(B145,[4]quotas!$B$46:$W$84,5,FALSE)</f>
        <v>0.878</v>
      </c>
      <c r="G145" s="202">
        <f>VLOOKUP(B145,[4]Cumulative!$A$56:$X$91,6,FALSE)-'[4]Shet box to NS Mac'!B6</f>
        <v>0</v>
      </c>
      <c r="H145" s="151">
        <f t="shared" si="29"/>
        <v>0</v>
      </c>
      <c r="I145" s="201">
        <f t="shared" si="30"/>
        <v>0.878</v>
      </c>
      <c r="J145" s="202">
        <f>VLOOKUP(B145,[4]Weeks!$A$125:$X$161,6,FALSE)-VLOOKUP(B145,[4]Weeks!$A$165:$X$200,6,FALSE)</f>
        <v>0</v>
      </c>
      <c r="K145" s="202">
        <f>VLOOKUP(B145,[4]Weeks!$A$85:$X$121,6,FALSE)-VLOOKUP(B145,[4]Weeks!$A$125:$X$161,6,FALSE)</f>
        <v>0</v>
      </c>
      <c r="L145" s="202">
        <f>VLOOKUP(B145,[4]Weeks!$A$44:$X$81,6,FALSE)-VLOOKUP(B145,[4]Weeks!$A$85:$X$121,6,FALSE)</f>
        <v>1.17</v>
      </c>
      <c r="M145" s="202">
        <f>VLOOKUP(B145,[4]Weeks!$A$3:$X$39,6,FALSE)-VLOOKUP(B145,[4]Weeks!$A$44:$X$81,6,FALSE)</f>
        <v>0</v>
      </c>
      <c r="N145" s="11">
        <f t="shared" ref="N145:N156" si="33">IF(C145="*","*",IF(C145&gt;0,M145/C145*100,"-"))</f>
        <v>0</v>
      </c>
      <c r="O145" s="202">
        <f t="shared" ref="O145:O156" si="34">IF(C145="*","*",SUM(J145:M145)/4)</f>
        <v>0.29249999999999998</v>
      </c>
      <c r="P145" s="41" t="str">
        <f>IF(ISNUMBER(VLOOKUP(B145,[4]CLOSURES!B:BI,5,FALSE)),TEXT(VLOOKUP(B145,[4]CLOSURES!B:BI,5,FALSE),"ddmmm"),IF(F145&lt;=0,0,IF(I145&lt;=0,0,IF(AND(F145&gt;0,O145&lt;=0),"&gt;52",IF(I145/O145&gt;52,"&gt;52", MAX(0,I145/O145-2))))))</f>
        <v>01Jan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f>'[5]Maj Pel Combined'!$E$7</f>
        <v>264.75599999999997</v>
      </c>
      <c r="D146" s="200">
        <f>F146-VLOOKUP(B146,[4]quotas!$B$85:$W$120,5,FALSE)</f>
        <v>0</v>
      </c>
      <c r="E146" s="200">
        <f>F146-C146</f>
        <v>325</v>
      </c>
      <c r="F146" s="201">
        <f>VLOOKUP(B146,[4]quotas!$B$46:$W$84,5,FALSE)</f>
        <v>589.75599999999997</v>
      </c>
      <c r="G146" s="202">
        <f>VLOOKUP(B146,[4]Cumulative!$A$56:$X$91,6,FALSE)</f>
        <v>0.25</v>
      </c>
      <c r="H146" s="151">
        <f>IF(AND(F146=0,G146&gt;0),"n/a",IF(F146=0,0,100*G146/F146))</f>
        <v>4.2390412306106254E-2</v>
      </c>
      <c r="I146" s="201">
        <f>IF(F146="*","*",F146-G146)</f>
        <v>589.50599999999997</v>
      </c>
      <c r="J146" s="202">
        <f>VLOOKUP(B146,[4]Weeks!$A$125:$X$161,6,FALSE)-VLOOKUP(B146,[4]Weeks!$A$165:$X$200,6,FALSE)</f>
        <v>0</v>
      </c>
      <c r="K146" s="202">
        <f>VLOOKUP(B146,[4]Weeks!$A$85:$X$121,6,FALSE)-VLOOKUP(B146,[4]Weeks!$A$125:$X$161,6,FALSE)</f>
        <v>0</v>
      </c>
      <c r="L146" s="202">
        <f>VLOOKUP(B146,[4]Weeks!$A$44:$X$81,6,FALSE)-VLOOKUP(B146,[4]Weeks!$A$85:$X$121,6,FALSE)</f>
        <v>4.9999999999999989E-2</v>
      </c>
      <c r="M146" s="202">
        <f>VLOOKUP(B146,[4]Weeks!$A$3:$X$39,6,FALSE)-VLOOKUP(B146,[4]Weeks!$A$44:$X$81,6,FALSE)</f>
        <v>0</v>
      </c>
      <c r="N146" s="11">
        <f>IF(C146="*","*",IF(C146&gt;0,M146/C146*100,"-"))</f>
        <v>0</v>
      </c>
      <c r="O146" s="202">
        <f>IF(C146="*","*",SUM(J146:M146)/4)</f>
        <v>1.2499999999999997E-2</v>
      </c>
      <c r="P146" s="41" t="str">
        <f>IF(ISNUMBER(VLOOKUP(B146,[4]CLOSURES!B:BI,5,FALSE)),TEXT(VLOOKUP(B146,[4]CLOSURES!B:BI,5,FALSE),"ddmmm"),IF(F146&lt;=0,0,IF(I146&lt;=0,0,IF(AND(F146&gt;0,O146&lt;=0),"&gt;52",IF(I146/O146&gt;52,"&gt;52", MAX(0,I146/O146-2))))))</f>
        <v>&gt;52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f>'[5]Maj Pel Combined'!$E$8</f>
        <v>4.5579999999999998</v>
      </c>
      <c r="D147" s="200">
        <f>F147-VLOOKUP(B147,[4]quotas!$B$85:$W$120,5,FALSE)</f>
        <v>0</v>
      </c>
      <c r="E147" s="200">
        <f>F147-C147</f>
        <v>0</v>
      </c>
      <c r="F147" s="201">
        <f>VLOOKUP(B147,[4]quotas!$B$46:$W$84,5,FALSE)</f>
        <v>4.5579999999999998</v>
      </c>
      <c r="G147" s="202">
        <f>VLOOKUP(B147,[4]Cumulative!$A$56:$X$91,6,FALSE)</f>
        <v>0</v>
      </c>
      <c r="H147" s="151">
        <f>IF(AND(F147=0,G147&gt;0),"n/a",IF(F147=0,0,100*G147/F147))</f>
        <v>0</v>
      </c>
      <c r="I147" s="201">
        <f>IF(F147="*","*",F147-G147)</f>
        <v>4.5579999999999998</v>
      </c>
      <c r="J147" s="202">
        <f>VLOOKUP(B147,[4]Weeks!$A$125:$X$161,6,FALSE)-VLOOKUP(B147,[4]Weeks!$A$165:$X$200,6,FALSE)</f>
        <v>0</v>
      </c>
      <c r="K147" s="202">
        <f>VLOOKUP(B147,[4]Weeks!$A$85:$X$121,6,FALSE)-VLOOKUP(B147,[4]Weeks!$A$125:$X$161,6,FALSE)</f>
        <v>0</v>
      </c>
      <c r="L147" s="202">
        <f>VLOOKUP(B147,[4]Weeks!$A$44:$X$81,6,FALSE)-VLOOKUP(B147,[4]Weeks!$A$85:$X$121,6,FALSE)</f>
        <v>0</v>
      </c>
      <c r="M147" s="202">
        <f>VLOOKUP(B147,[4]Weeks!$A$3:$X$39,6,FALSE)-VLOOKUP(B147,[4]Weeks!$A$44:$X$81,6,FALSE)</f>
        <v>0</v>
      </c>
      <c r="N147" s="11">
        <f>IF(C147="*","*",IF(C147&gt;0,M147/C147*100,"-"))</f>
        <v>0</v>
      </c>
      <c r="O147" s="202">
        <f>IF(C147="*","*",SUM(J147:M147)/4)</f>
        <v>0</v>
      </c>
      <c r="P147" s="41" t="str">
        <f>IF(ISNUMBER(VLOOKUP(B147,[4]CLOSURES!B:BI,5,FALSE)),TEXT(VLOOKUP(B147,[4]CLOSURES!B:BI,5,FALSE),"ddmmm"),IF(F147&lt;=0,0,IF(I147&lt;=0,0,IF(AND(F147&gt;0,O147&lt;=0),"&gt;52",IF(I147/O147&gt;52,"&gt;52", MAX(0,I147/O147-2))))))</f>
        <v>&gt;52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f>'[5]Maj Pel Combined'!$E$9</f>
        <v>17.138999999999999</v>
      </c>
      <c r="D148" s="200">
        <f>F148-VLOOKUP(B148,[4]quotas!$B$85:$W$120,5,FALSE)</f>
        <v>0</v>
      </c>
      <c r="E148" s="200">
        <f t="shared" si="27"/>
        <v>0</v>
      </c>
      <c r="F148" s="201">
        <f>VLOOKUP(B148,[4]quotas!$B$46:$W$84,5,FALSE)</f>
        <v>17.138999999999999</v>
      </c>
      <c r="G148" s="202">
        <f>VLOOKUP(B148,[4]Cumulative!$A$56:$X$91,6,FALSE)</f>
        <v>0</v>
      </c>
      <c r="H148" s="151">
        <f t="shared" si="29"/>
        <v>0</v>
      </c>
      <c r="I148" s="201">
        <f t="shared" si="30"/>
        <v>17.138999999999999</v>
      </c>
      <c r="J148" s="202">
        <f>VLOOKUP(B148,[4]Weeks!$A$125:$X$161,6,FALSE)-VLOOKUP(B148,[4]Weeks!$A$165:$X$200,6,FALSE)</f>
        <v>0</v>
      </c>
      <c r="K148" s="202">
        <f>VLOOKUP(B148,[4]Weeks!$A$85:$X$121,6,FALSE)-VLOOKUP(B148,[4]Weeks!$A$125:$X$161,6,FALSE)</f>
        <v>0</v>
      </c>
      <c r="L148" s="202">
        <f>VLOOKUP(B148,[4]Weeks!$A$44:$X$81,6,FALSE)-VLOOKUP(B148,[4]Weeks!$A$85:$X$121,6,FALSE)</f>
        <v>0</v>
      </c>
      <c r="M148" s="202">
        <f>VLOOKUP(B148,[4]Weeks!$A$3:$X$39,6,FALSE)-VLOOKUP(B148,[4]Weeks!$A$44:$X$81,6,FALSE)</f>
        <v>0</v>
      </c>
      <c r="N148" s="11">
        <f t="shared" si="33"/>
        <v>0</v>
      </c>
      <c r="O148" s="202">
        <f t="shared" si="34"/>
        <v>0</v>
      </c>
      <c r="P148" s="41" t="str">
        <f>IF(ISNUMBER(VLOOKUP(B148,[4]CLOSURES!B:BI,5,FALSE)),TEXT(VLOOKUP(B148,[4]CLOSURES!B:BI,5,FALSE),"ddmmm"),IF(F148&lt;=0,0,IF(I148&lt;=0,0,IF(AND(F148&gt;0,O148&lt;=0),"&gt;52",IF(I148/O148&gt;52,"&gt;52", MAX(0,I148/O148-2))))))</f>
        <v>&gt;52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f>'[5]Maj Pel Combined'!$E$27</f>
        <v>1116.4690000000001</v>
      </c>
      <c r="D149" s="200">
        <f>F149-VLOOKUP(B149,[4]quotas!$B$85:$W$120,5,FALSE)</f>
        <v>0</v>
      </c>
      <c r="E149" s="200">
        <f t="shared" si="27"/>
        <v>0</v>
      </c>
      <c r="F149" s="201">
        <f>VLOOKUP(B149,[4]quotas!$B$46:$W$84,5,FALSE)</f>
        <v>1116.4690000000001</v>
      </c>
      <c r="G149" s="202">
        <f>VLOOKUP(B149,[4]Cumulative!$A$56:$X$91,6,FALSE)-'[4]Box-NS tranfers'!B22</f>
        <v>576.04200011742114</v>
      </c>
      <c r="H149" s="151">
        <f t="shared" si="29"/>
        <v>51.594983838997869</v>
      </c>
      <c r="I149" s="201">
        <f t="shared" si="30"/>
        <v>540.42699988257891</v>
      </c>
      <c r="J149" s="202">
        <f>VLOOKUP(B149,[4]Weeks!$A$125:$X$161,6,FALSE)-VLOOKUP(B149,[4]Weeks!$A$165:$X$200,6,FALSE)</f>
        <v>0</v>
      </c>
      <c r="K149" s="202">
        <f>VLOOKUP(B149,[4]Weeks!$A$85:$X$121,6,FALSE)-VLOOKUP(B149,[4]Weeks!$A$125:$X$161,6,FALSE)</f>
        <v>3.9999999046358425E-2</v>
      </c>
      <c r="L149" s="202">
        <f>VLOOKUP(B149,[4]Weeks!$A$44:$X$81,6,FALSE)-VLOOKUP(B149,[4]Weeks!$A$85:$X$121,6,FALSE)</f>
        <v>0</v>
      </c>
      <c r="M149" s="202">
        <f>VLOOKUP(B149,[4]Weeks!$A$3:$X$39,6,FALSE)-VLOOKUP(B149,[4]Weeks!$A$44:$X$81,6,FALSE)</f>
        <v>0</v>
      </c>
      <c r="N149" s="11">
        <f t="shared" si="33"/>
        <v>0</v>
      </c>
      <c r="O149" s="202">
        <f t="shared" si="34"/>
        <v>9.9999997615896064E-3</v>
      </c>
      <c r="P149" s="41" t="str">
        <f>IF(ISNUMBER(VLOOKUP(B149,[4]CLOSURES!B:BI,5,FALSE)),TEXT(VLOOKUP(B149,[4]CLOSURES!B:BI,5,FALSE),"ddmmm"),IF(F149&lt;=0,0,IF(I149&lt;=0,0,IF(AND(F149&gt;0,O149&lt;=0),"&gt;52",IF(I149/O149&gt;52,"&gt;52", MAX(0,I149/O149-2))))))</f>
        <v>&gt;52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f>'[5]Maj Pel Combined'!$E$26</f>
        <v>14637.931</v>
      </c>
      <c r="D150" s="200">
        <f>F150-VLOOKUP(B150,[4]quotas!$B$85:$W$120,5,FALSE)</f>
        <v>0</v>
      </c>
      <c r="E150" s="200">
        <f t="shared" si="27"/>
        <v>0</v>
      </c>
      <c r="F150" s="201">
        <f>VLOOKUP(B150,[4]quotas!$B$46:$W$84,5,FALSE)</f>
        <v>14637.931</v>
      </c>
      <c r="G150" s="202">
        <f>VLOOKUP(B150,[4]Cumulative!$A$56:$X$91,6,FALSE)</f>
        <v>11909.071007812501</v>
      </c>
      <c r="H150" s="151">
        <f t="shared" si="29"/>
        <v>81.357611316876003</v>
      </c>
      <c r="I150" s="201">
        <f t="shared" si="30"/>
        <v>2728.8599921874993</v>
      </c>
      <c r="J150" s="202">
        <f>VLOOKUP(B150,[4]Weeks!$A$125:$X$161,6,FALSE)-VLOOKUP(B150,[4]Weeks!$A$165:$X$200,6,FALSE)</f>
        <v>0</v>
      </c>
      <c r="K150" s="202">
        <f>VLOOKUP(B150,[4]Weeks!$A$85:$X$121,6,FALSE)-VLOOKUP(B150,[4]Weeks!$A$125:$X$161,6,FALSE)</f>
        <v>0</v>
      </c>
      <c r="L150" s="202">
        <f>VLOOKUP(B150,[4]Weeks!$A$44:$X$81,6,FALSE)-VLOOKUP(B150,[4]Weeks!$A$85:$X$121,6,FALSE)</f>
        <v>0</v>
      </c>
      <c r="M150" s="202">
        <f>VLOOKUP(B150,[4]Weeks!$A$3:$X$39,6,FALSE)-VLOOKUP(B150,[4]Weeks!$A$44:$X$81,6,FALSE)</f>
        <v>0</v>
      </c>
      <c r="N150" s="11">
        <f t="shared" si="33"/>
        <v>0</v>
      </c>
      <c r="O150" s="202">
        <f t="shared" si="34"/>
        <v>0</v>
      </c>
      <c r="P150" s="41" t="str">
        <f>IF(ISNUMBER(VLOOKUP(B150,[4]CLOSURES!B:BI,5,FALSE)),TEXT(VLOOKUP(B150,[4]CLOSURES!B:BI,5,FALSE),"ddmmm"),IF(F150&lt;=0,0,IF(I150&lt;=0,0,IF(AND(F150&gt;0,O150&lt;=0),"&gt;52",IF(I150/O150&gt;52,"&gt;52", MAX(0,I150/O150-2))))))</f>
        <v>&gt;52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f>'[5]Maj Pel Combined'!$E$6</f>
        <v>17.038</v>
      </c>
      <c r="D151" s="200">
        <f>F151-VLOOKUP(B151,[4]quotas!$B$85:$W$120,5,FALSE)</f>
        <v>0</v>
      </c>
      <c r="E151" s="200">
        <f t="shared" si="27"/>
        <v>0</v>
      </c>
      <c r="F151" s="201">
        <f>VLOOKUP(B151,[4]quotas!$B$46:$W$84,5,FALSE)</f>
        <v>17.038</v>
      </c>
      <c r="G151" s="202">
        <f>VLOOKUP(B151,[4]Cumulative!$A$56:$X$91,6,FALSE)</f>
        <v>5.1699999694824168</v>
      </c>
      <c r="H151" s="151">
        <f t="shared" si="29"/>
        <v>30.343936902702293</v>
      </c>
      <c r="I151" s="201">
        <f t="shared" si="30"/>
        <v>11.868000030517583</v>
      </c>
      <c r="J151" s="202">
        <f>VLOOKUP(B151,[4]Weeks!$A$125:$X$161,6,FALSE)-VLOOKUP(B151,[4]Weeks!$A$165:$X$200,6,FALSE)</f>
        <v>0</v>
      </c>
      <c r="K151" s="202">
        <f>VLOOKUP(B151,[4]Weeks!$A$85:$X$121,6,FALSE)-VLOOKUP(B151,[4]Weeks!$A$125:$X$161,6,FALSE)</f>
        <v>0</v>
      </c>
      <c r="L151" s="202">
        <f>VLOOKUP(B151,[4]Weeks!$A$44:$X$81,6,FALSE)-VLOOKUP(B151,[4]Weeks!$A$85:$X$121,6,FALSE)</f>
        <v>0</v>
      </c>
      <c r="M151" s="202">
        <f>VLOOKUP(B151,[4]Weeks!$A$3:$X$39,6,FALSE)-VLOOKUP(B151,[4]Weeks!$A$44:$X$81,6,FALSE)</f>
        <v>0</v>
      </c>
      <c r="N151" s="11">
        <f t="shared" si="33"/>
        <v>0</v>
      </c>
      <c r="O151" s="202">
        <f t="shared" si="34"/>
        <v>0</v>
      </c>
      <c r="P151" s="41" t="str">
        <f>IF(ISNUMBER(VLOOKUP(B151,[4]CLOSURES!B:BI,5,FALSE)),TEXT(VLOOKUP(B151,[4]CLOSURES!B:BI,5,FALSE),"ddmmm"),IF(F151&lt;=0,0,IF(I151&lt;=0,0,IF(AND(F151&gt;0,O151&lt;=0),"&gt;52",IF(I151/O151&gt;52,"&gt;52", MAX(0,I151/O151-2))))))</f>
        <v>&gt;52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f>'[5]Maj Pel Combined'!$E$14</f>
        <v>10.185</v>
      </c>
      <c r="D152" s="200">
        <f>F152-VLOOKUP(B152,[4]quotas!$B$85:$W$120,5,FALSE)</f>
        <v>0</v>
      </c>
      <c r="E152" s="200">
        <f t="shared" si="27"/>
        <v>0</v>
      </c>
      <c r="F152" s="201">
        <f>VLOOKUP(B152,[4]quotas!$B$46:$W$84,5,FALSE)</f>
        <v>10.185</v>
      </c>
      <c r="G152" s="202">
        <f>VLOOKUP(B152,[4]Cumulative!$A$56:$X$91,6,FALSE)</f>
        <v>0</v>
      </c>
      <c r="H152" s="151">
        <f t="shared" si="29"/>
        <v>0</v>
      </c>
      <c r="I152" s="201">
        <f t="shared" si="30"/>
        <v>10.185</v>
      </c>
      <c r="J152" s="202">
        <f>VLOOKUP(B152,[4]Weeks!$A$125:$X$161,6,FALSE)-VLOOKUP(B152,[4]Weeks!$A$165:$X$200,6,FALSE)</f>
        <v>0</v>
      </c>
      <c r="K152" s="202">
        <f>VLOOKUP(B152,[4]Weeks!$A$85:$X$121,6,FALSE)-VLOOKUP(B152,[4]Weeks!$A$125:$X$161,6,FALSE)</f>
        <v>0</v>
      </c>
      <c r="L152" s="202">
        <f>VLOOKUP(B152,[4]Weeks!$A$44:$X$81,6,FALSE)-VLOOKUP(B152,[4]Weeks!$A$85:$X$121,6,FALSE)</f>
        <v>0</v>
      </c>
      <c r="M152" s="202">
        <f>VLOOKUP(B152,[4]Weeks!$A$3:$X$39,6,FALSE)-VLOOKUP(B152,[4]Weeks!$A$44:$X$81,6,FALSE)</f>
        <v>0</v>
      </c>
      <c r="N152" s="11">
        <f t="shared" si="33"/>
        <v>0</v>
      </c>
      <c r="O152" s="202">
        <f t="shared" si="34"/>
        <v>0</v>
      </c>
      <c r="P152" s="41" t="str">
        <f>IF(ISNUMBER(VLOOKUP(B152,[4]CLOSURES!B:BI,5,FALSE)),TEXT(VLOOKUP(B152,[4]CLOSURES!B:BI,5,FALSE),"ddmmm"),IF(F152&lt;=0,0,IF(I152&lt;=0,0,IF(AND(F152&gt;0,O152&lt;=0),"&gt;52",IF(I152/O152&gt;52,"&gt;52", MAX(0,I152/O152-2))))))</f>
        <v>&gt;52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f>'[5]Maj Pel Combined'!$E$13</f>
        <v>0.3</v>
      </c>
      <c r="D153" s="200">
        <f>F153-VLOOKUP(B153,[4]quotas!$B$85:$W$120,5,FALSE)</f>
        <v>0</v>
      </c>
      <c r="E153" s="200">
        <f t="shared" si="27"/>
        <v>0</v>
      </c>
      <c r="F153" s="201">
        <f>VLOOKUP(B153,[4]quotas!$B$46:$W$84,5,FALSE)</f>
        <v>0.3</v>
      </c>
      <c r="G153" s="202">
        <f>VLOOKUP(B153,[4]Cumulative!$A$56:$X$91,6,FALSE)</f>
        <v>0</v>
      </c>
      <c r="H153" s="151">
        <f t="shared" si="29"/>
        <v>0</v>
      </c>
      <c r="I153" s="201">
        <f t="shared" si="30"/>
        <v>0.3</v>
      </c>
      <c r="J153" s="202">
        <f>VLOOKUP(B153,[4]Weeks!$A$125:$X$161,6,FALSE)-VLOOKUP(B153,[4]Weeks!$A$165:$X$200,6,FALSE)</f>
        <v>0</v>
      </c>
      <c r="K153" s="202">
        <f>VLOOKUP(B153,[4]Weeks!$A$85:$X$121,6,FALSE)-VLOOKUP(B153,[4]Weeks!$A$125:$X$161,6,FALSE)</f>
        <v>0</v>
      </c>
      <c r="L153" s="202">
        <f>VLOOKUP(B153,[4]Weeks!$A$44:$X$81,6,FALSE)-VLOOKUP(B153,[4]Weeks!$A$85:$X$121,6,FALSE)</f>
        <v>0</v>
      </c>
      <c r="M153" s="202">
        <f>VLOOKUP(B153,[4]Weeks!$A$3:$X$39,6,FALSE)-VLOOKUP(B153,[4]Weeks!$A$44:$X$81,6,FALSE)</f>
        <v>0</v>
      </c>
      <c r="N153" s="11">
        <f t="shared" si="33"/>
        <v>0</v>
      </c>
      <c r="O153" s="202">
        <f t="shared" si="34"/>
        <v>0</v>
      </c>
      <c r="P153" s="41" t="str">
        <f>IF(ISNUMBER(VLOOKUP(B153,[4]CLOSURES!B:BI,5,FALSE)),TEXT(VLOOKUP(B153,[4]CLOSURES!B:BI,5,FALSE),"ddmmm"),IF(F153&lt;=0,0,IF(I153&lt;=0,0,IF(AND(F153&gt;0,O153&lt;=0),"&gt;52",IF(I153/O153&gt;52,"&gt;52", MAX(0,I153/O153-2))))))</f>
        <v>&gt;52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f>'[5]Maj Pel Combined'!$E$11</f>
        <v>0.2</v>
      </c>
      <c r="D154" s="200">
        <f>F154-VLOOKUP(B154,[4]quotas!$B$85:$W$120,5,FALSE)</f>
        <v>0</v>
      </c>
      <c r="E154" s="200">
        <f>F154-C154</f>
        <v>0</v>
      </c>
      <c r="F154" s="201">
        <f>VLOOKUP(B154,[4]quotas!$B$46:$W$84,5,FALSE)</f>
        <v>0.2</v>
      </c>
      <c r="G154" s="202">
        <f>VLOOKUP(B154,[4]Cumulative!$A$56:$X$91,6,FALSE)</f>
        <v>0</v>
      </c>
      <c r="H154" s="151">
        <f>IF(AND(F154=0,G154&gt;0),"n/a",IF(F154=0,0,100*G154/F154))</f>
        <v>0</v>
      </c>
      <c r="I154" s="201">
        <f>IF(F154="*","*",F154-G154)</f>
        <v>0.2</v>
      </c>
      <c r="J154" s="202">
        <f>VLOOKUP(B154,[4]Weeks!$A$125:$X$161,6,FALSE)-VLOOKUP(B154,[4]Weeks!$A$165:$X$200,6,FALSE)</f>
        <v>0</v>
      </c>
      <c r="K154" s="202">
        <f>VLOOKUP(B154,[4]Weeks!$A$85:$X$121,6,FALSE)-VLOOKUP(B154,[4]Weeks!$A$125:$X$161,6,FALSE)</f>
        <v>0</v>
      </c>
      <c r="L154" s="202">
        <f>VLOOKUP(B154,[4]Weeks!$A$44:$X$81,6,FALSE)-VLOOKUP(B154,[4]Weeks!$A$85:$X$121,6,FALSE)</f>
        <v>0</v>
      </c>
      <c r="M154" s="202">
        <f>VLOOKUP(B154,[4]Weeks!$A$3:$X$39,6,FALSE)-VLOOKUP(B154,[4]Weeks!$A$44:$X$81,6,FALSE)</f>
        <v>0</v>
      </c>
      <c r="N154" s="11">
        <f>IF(C154="*","*",IF(C154&gt;0,M154/C154*100,"-"))</f>
        <v>0</v>
      </c>
      <c r="O154" s="202">
        <f>IF(C154="*","*",SUM(J154:M154)/4)</f>
        <v>0</v>
      </c>
      <c r="P154" s="41" t="str">
        <f>IF(ISNUMBER(VLOOKUP(B154,[4]CLOSURES!B:BI,5,FALSE)),TEXT(VLOOKUP(B154,[4]CLOSURES!B:BI,5,FALSE),"ddmmm"),IF(F154&lt;=0,0,IF(I154&lt;=0,0,IF(AND(F154&gt;0,O154&lt;=0),"&gt;52",IF(I154/O154&gt;52,"&gt;52", MAX(0,I154/O154-2))))))</f>
        <v>&gt;52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f>'[5]Maj Pel Combined'!$E$15</f>
        <v>0.98899999999999999</v>
      </c>
      <c r="D155" s="200">
        <f>F155-VLOOKUP(B155,[4]quotas!$B$85:$W$120,5,FALSE)</f>
        <v>0</v>
      </c>
      <c r="E155" s="200">
        <f>F155-C155</f>
        <v>0</v>
      </c>
      <c r="F155" s="201">
        <f>VLOOKUP(B155,[4]quotas!$B$46:$W$84,5,FALSE)</f>
        <v>0.98899999999999999</v>
      </c>
      <c r="G155" s="202">
        <f>VLOOKUP(B155,[4]Cumulative!$A$56:$X$91,6,FALSE)</f>
        <v>0</v>
      </c>
      <c r="H155" s="151">
        <f>IF(AND(F155=0,G155&gt;0),"n/a",IF(F155=0,0,100*G155/F155))</f>
        <v>0</v>
      </c>
      <c r="I155" s="201">
        <f>IF(F155="*","*",F155-G155)</f>
        <v>0.98899999999999999</v>
      </c>
      <c r="J155" s="202">
        <f>VLOOKUP(B155,[4]Weeks!$A$125:$X$161,6,FALSE)-VLOOKUP(B155,[4]Weeks!$A$165:$X$200,6,FALSE)</f>
        <v>0</v>
      </c>
      <c r="K155" s="202">
        <f>VLOOKUP(B155,[4]Weeks!$A$85:$X$121,6,FALSE)-VLOOKUP(B155,[4]Weeks!$A$125:$X$161,6,FALSE)</f>
        <v>0</v>
      </c>
      <c r="L155" s="202">
        <f>VLOOKUP(B155,[4]Weeks!$A$44:$X$81,6,FALSE)-VLOOKUP(B155,[4]Weeks!$A$85:$X$121,6,FALSE)</f>
        <v>0</v>
      </c>
      <c r="M155" s="202">
        <f>VLOOKUP(B155,[4]Weeks!$A$3:$X$39,6,FALSE)-VLOOKUP(B155,[4]Weeks!$A$44:$X$81,6,FALSE)</f>
        <v>0</v>
      </c>
      <c r="N155" s="11">
        <f>IF(C155="*","*",IF(C155&gt;0,M155/C155*100,"-"))</f>
        <v>0</v>
      </c>
      <c r="O155" s="202">
        <f t="shared" si="34"/>
        <v>0</v>
      </c>
      <c r="P155" s="41" t="str">
        <f>IF(ISNUMBER(VLOOKUP(B155,[4]CLOSURES!B:BI,5,FALSE)),TEXT(VLOOKUP(B155,[4]CLOSURES!B:BI,5,FALSE),"ddmmm"),IF(F155&lt;=0,0,IF(I155&lt;=0,0,IF(AND(F155&gt;0,O155&lt;=0),"&gt;52",IF(I155/O155&gt;52,"&gt;52", MAX(0,I155/O155-2))))))</f>
        <v>01Jan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f>'[5]Maj Pel Combined'!$E$10</f>
        <v>23817.004000000001</v>
      </c>
      <c r="D156" s="200">
        <f>F156-VLOOKUP(B156,[4]quotas!$B$85:$W$120,5,FALSE)</f>
        <v>0</v>
      </c>
      <c r="E156" s="200">
        <f t="shared" si="27"/>
        <v>21.799999999999272</v>
      </c>
      <c r="F156" s="201">
        <f>VLOOKUP(B156,[4]quotas!$B$46:$W$84,5,FALSE)</f>
        <v>23838.804</v>
      </c>
      <c r="G156" s="202">
        <f>VLOOKUP(B156,[4]Cumulative!$A$56:$X$91,6,FALSE)-'[4]Box-NS tranfers'!B29-'[4]Scentific landings'!D29</f>
        <v>26178.879999999997</v>
      </c>
      <c r="H156" s="151">
        <f t="shared" si="29"/>
        <v>109.81624749295307</v>
      </c>
      <c r="I156" s="201">
        <f>IF(F156="*","*",F156-G156)</f>
        <v>-2340.0759999999973</v>
      </c>
      <c r="J156" s="202">
        <f>VLOOKUP(B156,[4]Weeks!$A$125:$X$161,6,FALSE)-VLOOKUP(B156,[4]Weeks!$A$165:$X$200,6,FALSE)</f>
        <v>0</v>
      </c>
      <c r="K156" s="202">
        <f>VLOOKUP(B156,[4]Weeks!$A$85:$X$121,6,FALSE)-VLOOKUP(B156,[4]Weeks!$A$125:$X$161,6,FALSE)</f>
        <v>0</v>
      </c>
      <c r="L156" s="202">
        <f>VLOOKUP(B156,[4]Weeks!$A$44:$X$81,6,FALSE)-VLOOKUP(B156,[4]Weeks!$A$85:$X$121,6,FALSE)</f>
        <v>18.669999999998254</v>
      </c>
      <c r="M156" s="202">
        <f>VLOOKUP(B156,[4]Weeks!$A$3:$X$39,6,FALSE)-VLOOKUP(B156,[4]Weeks!$A$44:$X$81,6,FALSE)</f>
        <v>0</v>
      </c>
      <c r="N156" s="11">
        <f t="shared" si="33"/>
        <v>0</v>
      </c>
      <c r="O156" s="202">
        <f t="shared" si="34"/>
        <v>4.6674999999995634</v>
      </c>
      <c r="P156" s="41">
        <f>IF(ISNUMBER(VLOOKUP(B156,[4]CLOSURES!B:BI,5,FALSE)),TEXT(VLOOKUP(B156,[4]CLOSURES!B:BI,5,FALSE),"ddmmm"),IF(F156&lt;=0,0,IF(I156&lt;=0,0,IF(AND(F156&gt;0,O156&lt;=0),"&gt;52",IF(I156/O156&gt;52,"&gt;52", MAX(0,I156/O156-2))))))</f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f>'[5]Maj Pel Combined'!$E$12</f>
        <v>23041.185000000001</v>
      </c>
      <c r="D157" s="200">
        <f>F157-VLOOKUP(B157,[4]quotas!$B$85:$W$120,5,FALSE)</f>
        <v>0</v>
      </c>
      <c r="E157" s="200">
        <f>F157-C157</f>
        <v>-104.90000000000146</v>
      </c>
      <c r="F157" s="201">
        <f>VLOOKUP(B157,[4]quotas!$B$46:$W$84,5,FALSE)</f>
        <v>22936.285</v>
      </c>
      <c r="G157" s="202">
        <f>VLOOKUP(B157,[4]Cumulative!$A$56:$X$91,6,FALSE)</f>
        <v>13467.881182418823</v>
      </c>
      <c r="H157" s="151">
        <f t="shared" si="29"/>
        <v>58.718668617951096</v>
      </c>
      <c r="I157" s="201">
        <f>IF(F157="*","*",F157-G157)</f>
        <v>9468.4038175811766</v>
      </c>
      <c r="J157" s="202">
        <f>VLOOKUP(B157,[4]Weeks!$A$125:$X$161,6,FALSE)-VLOOKUP(B157,[4]Weeks!$A$165:$X$200,6,FALSE)</f>
        <v>237.52199999999903</v>
      </c>
      <c r="K157" s="202">
        <f>VLOOKUP(B157,[4]Weeks!$A$85:$X$121,6,FALSE)-VLOOKUP(B157,[4]Weeks!$A$125:$X$161,6,FALSE)</f>
        <v>3891.9101884765623</v>
      </c>
      <c r="L157" s="202">
        <f>VLOOKUP(B157,[4]Weeks!$A$44:$X$81,6,FALSE)-VLOOKUP(B157,[4]Weeks!$A$85:$X$121,6,FALSE)</f>
        <v>0</v>
      </c>
      <c r="M157" s="202">
        <f>VLOOKUP(B157,[4]Weeks!$A$3:$X$39,6,FALSE)-VLOOKUP(B157,[4]Weeks!$A$44:$X$81,6,FALSE)</f>
        <v>0</v>
      </c>
      <c r="N157" s="11">
        <f>IF(C157="*","*",IF(C157&gt;0,M157/C157*100,"-"))</f>
        <v>0</v>
      </c>
      <c r="O157" s="202">
        <f>IF(C157="*","*",SUM(J157:M157)/4)</f>
        <v>1032.3580471191403</v>
      </c>
      <c r="P157" s="41">
        <f>IF(ISNUMBER(VLOOKUP(B157,[4]CLOSURES!B:BI,5,FALSE)),TEXT(VLOOKUP(B157,[4]CLOSURES!B:BI,5,FALSE),"ddmmm"),IF(F157&lt;=0,0,IF(I157&lt;=0,0,IF(AND(F157&gt;0,O157&lt;=0),"&gt;52",IF(I157/O157&gt;52,"&gt;52", MAX(0,I157/O157-2))))))</f>
        <v>7.1716278514061571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f>SUM(C133:C142)+SUM(C145:C157)</f>
        <v>200635.93199999997</v>
      </c>
      <c r="D158" s="202">
        <f>SUM(D133:D142)+SUM(D145:D157)</f>
        <v>0</v>
      </c>
      <c r="E158" s="200">
        <f t="shared" si="27"/>
        <v>395.0000000000291</v>
      </c>
      <c r="F158" s="201">
        <f>SUM(F133:F142)+SUM(F145:F157)</f>
        <v>201030.932</v>
      </c>
      <c r="G158" s="202">
        <f>SUM(G133:G142)+SUM(G145:G157)</f>
        <v>177567.83919031822</v>
      </c>
      <c r="H158" s="151">
        <f t="shared" si="29"/>
        <v>88.328615613401325</v>
      </c>
      <c r="I158" s="201">
        <f>IF(F158="*","*",F158-G158)</f>
        <v>23463.092809681781</v>
      </c>
      <c r="J158" s="202">
        <f>SUM(J133:J142)+SUM(J145:J157)</f>
        <v>2382.6919999999936</v>
      </c>
      <c r="K158" s="202">
        <f>SUM(K133:K142)+SUM(K145:K157)</f>
        <v>3895.640188475611</v>
      </c>
      <c r="L158" s="202">
        <f>SUM(L133:L142)+SUM(L145:L157)</f>
        <v>59.969999999996219</v>
      </c>
      <c r="M158" s="202">
        <f>SUM(M133:M142)+SUM(M145:M157)</f>
        <v>2.0000000004074536E-2</v>
      </c>
      <c r="N158" s="11">
        <f>IF(C158="*","*",IF(C158&gt;0,M158/C158*100,"-"))</f>
        <v>9.9683041839557119E-6</v>
      </c>
      <c r="O158" s="202">
        <f>IF(C158="*","*",SUM(J158:M158)/4)</f>
        <v>1584.5805471189012</v>
      </c>
      <c r="P158" s="41">
        <f>IF(ISNUMBER(VLOOKUP(B158,[4]CLOSURES!B:BI,5,FALSE)),TEXT(VLOOKUP(B158,[4]CLOSURES!B:BI,5,FALSE),"ddmmm"),IF(F158&lt;=0,0,IF(I158&lt;=0,0,IF(AND(F158&gt;0,O158&lt;=0),"&gt;52",IF(I158/O158&gt;52,"&gt;52", MAX(0,I158/O158-2))))))</f>
        <v>12.807131674273416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f>'[4]Pel Non PO'!C84</f>
        <v>492.96600000000001</v>
      </c>
      <c r="D160" s="200">
        <f>'[4]Pel Non PO'!D84</f>
        <v>0</v>
      </c>
      <c r="E160" s="200">
        <f t="shared" si="27"/>
        <v>0</v>
      </c>
      <c r="F160" s="201">
        <f>'[4]Pel Non PO'!F84</f>
        <v>492.96600000000001</v>
      </c>
      <c r="G160" s="202">
        <f>'[4]Pel Non PO'!G84</f>
        <v>0</v>
      </c>
      <c r="H160" s="151">
        <f t="shared" si="29"/>
        <v>0</v>
      </c>
      <c r="I160" s="201">
        <f t="shared" si="30"/>
        <v>492.96600000000001</v>
      </c>
      <c r="J160" s="202">
        <f>'[4]Pel Non PO'!J84</f>
        <v>0</v>
      </c>
      <c r="K160" s="202">
        <f>'[4]Pel Non PO'!K84</f>
        <v>0</v>
      </c>
      <c r="L160" s="202">
        <f>'[4]Pel Non PO'!L84</f>
        <v>0</v>
      </c>
      <c r="M160" s="202">
        <f>'[4]Pel Non PO'!M84</f>
        <v>0</v>
      </c>
      <c r="O160" s="202"/>
      <c r="P160" s="41" t="str">
        <f>IF(ISNUMBER(VLOOKUP(B160,[4]CLOSURES!B:BI,5,FALSE)),TEXT(VLOOKUP(B160,[4]CLOSURES!B:BI,5,FALSE),"ddmmm"),IF(F160&lt;=0,0,IF(I160&lt;=0,0,IF(AND(F160&gt;0,O160&lt;=0),"&gt;52",IF(I160/O160&gt;52,"&gt;52", MAX(0,I160/O160-2))))))</f>
        <v>01Jan</v>
      </c>
      <c r="Q160" s="158"/>
    </row>
    <row r="161" spans="1:254" ht="10.75" customHeight="1" x14ac:dyDescent="0.3">
      <c r="B161" s="44" t="s">
        <v>88</v>
      </c>
      <c r="C161" s="130">
        <f>'[5]Maj Pel Combined'!$E$33</f>
        <v>0</v>
      </c>
      <c r="D161" s="200" t="s">
        <v>64</v>
      </c>
      <c r="E161" s="200" t="s">
        <v>64</v>
      </c>
      <c r="F161" s="201">
        <f>C161</f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f>IF(C161="*","*",SUM(J161:M161)/4)</f>
        <v>0</v>
      </c>
      <c r="P161" s="41" t="str">
        <f>IF(ISNUMBER(VLOOKUP(B161,[4]CLOSURES!B:BI,5,FALSE)),TEXT(VLOOKUP(B161,[4]CLOSURES!B:BI,5,FALSE),"ddmmm"),IF(F161&lt;=0,0,IF(I161&lt;=0,0,IF(AND(F161&gt;0,O161&lt;=0),"&gt;52",IF(I161/O161&gt;52,"&gt;52", MAX(0,I161/O161-2))))))</f>
        <v>01Jan</v>
      </c>
      <c r="Q161" s="158"/>
    </row>
    <row r="162" spans="1:254" ht="10.75" customHeight="1" x14ac:dyDescent="0.3">
      <c r="B162" s="44" t="s">
        <v>89</v>
      </c>
      <c r="C162" s="130">
        <f>'[4]Pel Non PO'!C91</f>
        <v>1605.1189999999999</v>
      </c>
      <c r="D162" s="200">
        <f>'[4]Pel Non PO'!D91</f>
        <v>0</v>
      </c>
      <c r="E162" s="200">
        <f t="shared" si="27"/>
        <v>30</v>
      </c>
      <c r="F162" s="201">
        <f>'[4]Pel Non PO'!F91</f>
        <v>1635.1189999999999</v>
      </c>
      <c r="G162" s="202">
        <f>'[4]Pel Non PO'!G91</f>
        <v>150</v>
      </c>
      <c r="H162" s="151">
        <f t="shared" si="29"/>
        <v>9.173644242406823</v>
      </c>
      <c r="I162" s="201">
        <f t="shared" si="30"/>
        <v>1485.1189999999999</v>
      </c>
      <c r="J162" s="202">
        <f>'[4]Pel Non PO'!J91</f>
        <v>0</v>
      </c>
      <c r="K162" s="202">
        <f>'[4]Pel Non PO'!K91</f>
        <v>0</v>
      </c>
      <c r="L162" s="202">
        <f>'[4]Pel Non PO'!L91</f>
        <v>0</v>
      </c>
      <c r="M162" s="202">
        <f>'[4]Pel Non PO'!M91</f>
        <v>0</v>
      </c>
      <c r="O162" s="202"/>
      <c r="P162" s="41" t="str">
        <f>IF(ISNUMBER(VLOOKUP(B162,[4]CLOSURES!B:BI,5,FALSE)),TEXT(VLOOKUP(B162,[4]CLOSURES!B:BI,5,FALSE),"ddmmm"),IF(F162&lt;=0,0,IF(I162&lt;=0,0,IF(AND(F162&gt;0,O162&lt;=0),"&gt;52",IF(I162/O162&gt;52,"&gt;52", MAX(0,I162/O162-2))))))</f>
        <v>&gt;52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f>'[5]Maj Pel Combined'!$E$34</f>
        <v>1750</v>
      </c>
      <c r="D163" s="200">
        <f>F163-VLOOKUP(B163,[4]quotas!$B$85:$W$120,5,FALSE)</f>
        <v>0</v>
      </c>
      <c r="E163" s="200">
        <v>0</v>
      </c>
      <c r="F163" s="201">
        <f>C163</f>
        <v>1750</v>
      </c>
      <c r="G163" s="202">
        <v>0</v>
      </c>
      <c r="H163" s="151">
        <v>0</v>
      </c>
      <c r="I163" s="201">
        <f>F163-G163</f>
        <v>1750</v>
      </c>
      <c r="J163" s="202">
        <v>0</v>
      </c>
      <c r="K163" s="202"/>
      <c r="L163" s="202">
        <v>0</v>
      </c>
      <c r="M163" s="202">
        <v>0</v>
      </c>
      <c r="N163" s="11">
        <f>IF(C163="*","*",IF(C163&gt;0,M163/C163*100,"-"))</f>
        <v>0</v>
      </c>
      <c r="O163" s="202">
        <f>IF(C163="*","*",SUM(J163:M163)/4)</f>
        <v>0</v>
      </c>
      <c r="P163" s="41" t="str">
        <f>IF(ISNUMBER(VLOOKUP(B163,[4]CLOSURES!B:BI,5,FALSE)),TEXT(VLOOKUP(B163,[4]CLOSURES!B:BI,5,FALSE),"ddmmm"),IF(F163&lt;=0,0,IF(I163&lt;=0,0,IF(AND(F163&gt;0,O163&lt;=0),"&gt;52",IF(I163/O163&gt;52,"&gt;52", MAX(0,I163/O163-2))))))</f>
        <v>&gt;52</v>
      </c>
      <c r="R163" s="153"/>
    </row>
    <row r="164" spans="1:254" ht="10.75" customHeight="1" x14ac:dyDescent="0.3">
      <c r="B164" s="40" t="s">
        <v>90</v>
      </c>
      <c r="C164" s="130">
        <f>'[5]Maj Pel Combined'!$E$41</f>
        <v>50</v>
      </c>
      <c r="D164" s="200"/>
      <c r="E164" s="200"/>
      <c r="F164" s="201">
        <f>'[5]Maj Pel Combined'!$E$41</f>
        <v>50</v>
      </c>
      <c r="G164" s="202"/>
      <c r="H164" s="151"/>
      <c r="I164" s="201">
        <f>C164</f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f>C158+SUM(C160:C164)</f>
        <v>204534.01699999996</v>
      </c>
      <c r="D165" s="131">
        <f>D158+SUM(D160:D164)</f>
        <v>0</v>
      </c>
      <c r="E165" s="131">
        <f>E158+SUM(E160:E164)</f>
        <v>425.0000000000291</v>
      </c>
      <c r="F165" s="132">
        <f>F158+SUM(F160:F164)</f>
        <v>204959.01699999999</v>
      </c>
      <c r="G165" s="131">
        <f>G158+SUM(G160:G164)</f>
        <v>177717.83919031822</v>
      </c>
      <c r="H165" s="156">
        <f t="shared" si="29"/>
        <v>86.708963475521657</v>
      </c>
      <c r="I165" s="132">
        <f t="shared" ref="I165" si="35">IF(F165="*","*",F165-G165)</f>
        <v>27241.177809681772</v>
      </c>
      <c r="J165" s="131">
        <f>J158+J160+J162+J163</f>
        <v>2382.6919999999936</v>
      </c>
      <c r="K165" s="131">
        <f>K158+K160+K162+K163</f>
        <v>3895.640188475611</v>
      </c>
      <c r="L165" s="131">
        <f>VLOOKUP(B165,[4]Weeks!$A$44:$X$81,6,FALSE)-VLOOKUP(B165,[4]Weeks!$A$85:$X$121,6,FALSE)</f>
        <v>59.970000000030268</v>
      </c>
      <c r="M165" s="131">
        <f>M158+M160+M162+M163</f>
        <v>2.0000000004074536E-2</v>
      </c>
      <c r="N165" s="53">
        <f>IF(C165="*","*",IF(C165&gt;0,M165/C165*100,"-"))</f>
        <v>9.7783245532573401E-6</v>
      </c>
      <c r="O165" s="131">
        <f>IF(C165="*","*",SUM(J165:M165)/4)</f>
        <v>1584.5805471189096</v>
      </c>
      <c r="P165" s="49">
        <f>IF(ISNUMBER(VLOOKUP(B165,[4]CLOSURES!B:BI,5,FALSE)),TEXT(VLOOKUP(B165,[4]CLOSURES!B:BI,5,FALSE),"ddmmm"),IF(F165&lt;=0,0,IF(I165&lt;=0,0,IF(AND(F165&gt;0,O165&lt;=0),"&gt;52",IF(I165/O165&gt;52,"&gt;52", MAX(0,I165/O165-2))))))</f>
        <v>15.191412490334926</v>
      </c>
      <c r="Q165" s="158"/>
    </row>
    <row r="166" spans="1:254" ht="10.75" customHeight="1" x14ac:dyDescent="0.3">
      <c r="B166" s="163" t="str">
        <f>B83</f>
        <v>Number of Weeks to end of year is 2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tr">
        <f>B84</f>
        <v>Estimated weeks left after applying 4 week average to amount left, and subtracting 2 weeks to account for lags in recording.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f>$J7</f>
        <v>44895</v>
      </c>
      <c r="K173" s="33">
        <f>$K7</f>
        <v>44902</v>
      </c>
      <c r="L173" s="33">
        <f>$L7</f>
        <v>44909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f>'[5]Maj Pel Combined'!$F$23</f>
        <v>51.72</v>
      </c>
      <c r="D176" s="200">
        <f>F176-VLOOKUP(B176,[4]quotas!$B$85:$W$120,6,FALSE)</f>
        <v>0</v>
      </c>
      <c r="E176" s="200">
        <f t="shared" ref="E176:E207" si="36">F176-C176</f>
        <v>-2.4000000000000057</v>
      </c>
      <c r="F176" s="201">
        <f>VLOOKUP(B176,[4]quotas!$B$46:$W$84,6,FALSE)</f>
        <v>49.319999999999993</v>
      </c>
      <c r="G176" s="202">
        <f>VLOOKUP(B176,[4]Cumulative!$A$56:$X$91,7,FALSE)+VLOOKUP(B216,[4]Cumulative!$A$56:$X$91,8,FALSE)+'[4]Special Conditions stocks'!C156</f>
        <v>1.9</v>
      </c>
      <c r="H176" s="151">
        <f>IF(AND(F176=0,G176&gt;0),"n/a",IF(F176=0,0,100*G176/F176))</f>
        <v>3.8523925385239259</v>
      </c>
      <c r="I176" s="201">
        <f>IF(F176="*","*",F176-G176)</f>
        <v>47.419999999999995</v>
      </c>
      <c r="J176" s="202">
        <f>VLOOKUP(B176,[4]Weeks!$A$125:$X$161,7,FALSE)-VLOOKUP(B176,[4]Weeks!$A$165:$X$200,7,FALSE)+J216</f>
        <v>0</v>
      </c>
      <c r="K176" s="202">
        <f>VLOOKUP(B176,[4]Weeks!$A$85:$X$121,7,FALSE)-VLOOKUP(B176,[4]Weeks!$A$125:$X$161,7,FALSE)+K216</f>
        <v>0</v>
      </c>
      <c r="L176" s="202">
        <f>VLOOKUP(B176,[4]Weeks!$A$44:$X$81,7,FALSE)-VLOOKUP(B176,[4]Weeks!$A$85:$X$121,7,FALSE)+L216</f>
        <v>-11.359999999999998</v>
      </c>
      <c r="M176" s="202">
        <f>VLOOKUP(B176,[4]Weeks!$A$3:$X$39,7,FALSE)-VLOOKUP(B176,[4]Weeks!$A$44:$X$81,7,FALSE)+M216</f>
        <v>0</v>
      </c>
      <c r="N176" s="11">
        <f t="shared" ref="N176:N186" si="37">IF(C176="*","*",IF(C176&gt;0,M176/C176*100,"-"))</f>
        <v>0</v>
      </c>
      <c r="O176" s="202">
        <f t="shared" ref="O176:O185" si="38">IF(C176="*","*",SUM(J176:M176)/4)</f>
        <v>-2.8399999999999994</v>
      </c>
      <c r="P176" s="41" t="str">
        <f>IF(ISNUMBER(VLOOKUP(B176,[4]CLOSURES!B:BI,6,FALSE)),TEXT(VLOOKUP(B176,[4]CLOSURES!B:BI,6,FALSE),"ddmmm"),IF(F176&lt;=0,0,IF(I176&lt;=0,0,IF(AND(F176&gt;0,O176&lt;=0),"&gt;52",IF(I176/O176&gt;52,"&gt;52", MAX(0,I176/O176-2))))))</f>
        <v>&gt;52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f>'[5]Maj Pel Combined'!$F$16</f>
        <v>12.337999999999999</v>
      </c>
      <c r="D177" s="200">
        <f>F177-VLOOKUP(B177,[4]quotas!$B$85:$W$120,6,FALSE)</f>
        <v>0</v>
      </c>
      <c r="E177" s="200">
        <f t="shared" si="36"/>
        <v>9.0000000000000018</v>
      </c>
      <c r="F177" s="201">
        <f>VLOOKUP(B177,[4]quotas!$B$46:$W$84,6,FALSE)</f>
        <v>21.338000000000001</v>
      </c>
      <c r="G177" s="202">
        <f>VLOOKUP(B177,[4]Cumulative!$A$56:$X$91,7,FALSE)+VLOOKUP(B217,[4]Cumulative!$A$56:$X$91,8,FALSE)</f>
        <v>3.23</v>
      </c>
      <c r="H177" s="151">
        <f t="shared" ref="H177:H208" si="39">IF(AND(F177=0,G177&gt;0),"n/a",IF(F177=0,0,100*G177/F177))</f>
        <v>15.137313712625362</v>
      </c>
      <c r="I177" s="201">
        <f>IF(F177="*","*",F177-G177)</f>
        <v>18.108000000000001</v>
      </c>
      <c r="J177" s="202">
        <f>VLOOKUP(B177,[4]Weeks!$A$125:$X$161,7,FALSE)-VLOOKUP(B177,[4]Weeks!$A$165:$X$200,7,FALSE)+J217</f>
        <v>0</v>
      </c>
      <c r="K177" s="202">
        <f>VLOOKUP(B177,[4]Weeks!$A$85:$X$121,7,FALSE)-VLOOKUP(B177,[4]Weeks!$A$125:$X$161,7,FALSE)+K217</f>
        <v>0</v>
      </c>
      <c r="L177" s="202">
        <f>VLOOKUP(B177,[4]Weeks!$A$44:$X$81,7,FALSE)-VLOOKUP(B177,[4]Weeks!$A$85:$X$121,7,FALSE)+L217</f>
        <v>-17.470000000000002</v>
      </c>
      <c r="M177" s="202">
        <f>VLOOKUP(B177,[4]Weeks!$A$3:$X$39,7,FALSE)-VLOOKUP(B177,[4]Weeks!$A$44:$X$81,7,FALSE)+M217</f>
        <v>0</v>
      </c>
      <c r="N177" s="11">
        <f t="shared" si="37"/>
        <v>0</v>
      </c>
      <c r="O177" s="202">
        <f t="shared" si="38"/>
        <v>-4.3675000000000006</v>
      </c>
      <c r="P177" s="41" t="str">
        <f>IF(ISNUMBER(VLOOKUP(B177,[4]CLOSURES!B:BI,6,FALSE)),TEXT(VLOOKUP(B177,[4]CLOSURES!B:BI,6,FALSE),"ddmmm"),IF(F177&lt;=0,0,IF(I177&lt;=0,0,IF(AND(F177&gt;0,O177&lt;=0),"&gt;52",IF(I177/O177&gt;52,"&gt;52", MAX(0,I177/O177-2))))))</f>
        <v>&gt;52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f>'[5]Maj Pel Combined'!$F$20</f>
        <v>4.1769999999999996</v>
      </c>
      <c r="D178" s="200">
        <f>F178-VLOOKUP(B178,[4]quotas!$B$85:$W$120,6,FALSE)</f>
        <v>0</v>
      </c>
      <c r="E178" s="200">
        <f t="shared" si="36"/>
        <v>-0.79999999999999982</v>
      </c>
      <c r="F178" s="201">
        <f>VLOOKUP(B178,[4]quotas!$B$46:$W$84,6,FALSE)</f>
        <v>3.3769999999999998</v>
      </c>
      <c r="G178" s="202">
        <f>VLOOKUP(B178,[4]Cumulative!$A$56:$X$91,7,FALSE)+VLOOKUP(B218,[4]Cumulative!$A$56:$X$91,8,FALSE)</f>
        <v>1.1599999999999999</v>
      </c>
      <c r="H178" s="151">
        <f t="shared" si="39"/>
        <v>34.350014806040861</v>
      </c>
      <c r="I178" s="201">
        <f t="shared" ref="I178:I208" si="40">IF(F178="*","*",F178-G178)</f>
        <v>2.2169999999999996</v>
      </c>
      <c r="J178" s="202">
        <f>VLOOKUP(B178,[4]Weeks!$A$125:$X$161,7,FALSE)-VLOOKUP(B178,[4]Weeks!$A$165:$X$200,7,FALSE)+J218</f>
        <v>0</v>
      </c>
      <c r="K178" s="202">
        <f>VLOOKUP(B178,[4]Weeks!$A$85:$X$121,7,FALSE)-VLOOKUP(B178,[4]Weeks!$A$125:$X$161,7,FALSE)+K218</f>
        <v>0</v>
      </c>
      <c r="L178" s="202">
        <f>VLOOKUP(B178,[4]Weeks!$A$44:$X$81,7,FALSE)-VLOOKUP(B178,[4]Weeks!$A$85:$X$121,7,FALSE)+L218</f>
        <v>-2.0299999999999998</v>
      </c>
      <c r="M178" s="202">
        <f>VLOOKUP(B178,[4]Weeks!$A$3:$X$39,7,FALSE)-VLOOKUP(B178,[4]Weeks!$A$44:$X$81,7,FALSE)+M218</f>
        <v>0</v>
      </c>
      <c r="N178" s="11">
        <f t="shared" si="37"/>
        <v>0</v>
      </c>
      <c r="O178" s="202">
        <f t="shared" si="38"/>
        <v>-0.50749999999999995</v>
      </c>
      <c r="P178" s="41" t="str">
        <f>IF(ISNUMBER(VLOOKUP(B178,[4]CLOSURES!B:BI,6,FALSE)),TEXT(VLOOKUP(B178,[4]CLOSURES!B:BI,6,FALSE),"ddmmm"),IF(F178&lt;=0,0,IF(I178&lt;=0,0,IF(AND(F178&gt;0,O178&lt;=0),"&gt;52",IF(I178/O178&gt;52,"&gt;52", MAX(0,I178/O178-2))))))</f>
        <v>&gt;52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f>'[5]Maj Pel Combined'!$F$24</f>
        <v>24.875</v>
      </c>
      <c r="D179" s="200">
        <f>F179-VLOOKUP(B179,[4]quotas!$B$85:$W$120,6,FALSE)</f>
        <v>0</v>
      </c>
      <c r="E179" s="200">
        <f t="shared" si="36"/>
        <v>-4.1000000000000014</v>
      </c>
      <c r="F179" s="201">
        <f>VLOOKUP(B179,[4]quotas!$B$46:$W$84,6,FALSE)</f>
        <v>20.774999999999999</v>
      </c>
      <c r="G179" s="202">
        <f>VLOOKUP(B179,[4]Cumulative!$A$56:$X$91,7,FALSE)+VLOOKUP(B219,[4]Cumulative!$A$56:$X$91,8,FALSE)+'[4]Shet box to NS Mac'!B5</f>
        <v>14.170999999999999</v>
      </c>
      <c r="H179" s="151">
        <f t="shared" si="39"/>
        <v>68.211793020457279</v>
      </c>
      <c r="I179" s="201">
        <f t="shared" si="40"/>
        <v>6.6039999999999992</v>
      </c>
      <c r="J179" s="202">
        <f>VLOOKUP(B179,[4]Weeks!$A$125:$X$161,7,FALSE)-VLOOKUP(B179,[4]Weeks!$A$165:$X$200,7,FALSE)+J219</f>
        <v>0.41199999618530114</v>
      </c>
      <c r="K179" s="202">
        <f>VLOOKUP(B179,[4]Weeks!$A$85:$X$121,7,FALSE)-VLOOKUP(B179,[4]Weeks!$A$125:$X$161,7,FALSE)+K219</f>
        <v>0.10000000000000142</v>
      </c>
      <c r="L179" s="202">
        <f>VLOOKUP(B179,[4]Weeks!$A$44:$X$81,7,FALSE)-VLOOKUP(B179,[4]Weeks!$A$85:$X$121,7,FALSE)+L219</f>
        <v>0</v>
      </c>
      <c r="M179" s="202">
        <f>VLOOKUP(B179,[4]Weeks!$A$3:$X$39,7,FALSE)-VLOOKUP(B179,[4]Weeks!$A$44:$X$81,7,FALSE)+M219</f>
        <v>0</v>
      </c>
      <c r="N179" s="11">
        <f t="shared" si="37"/>
        <v>0</v>
      </c>
      <c r="O179" s="202">
        <f t="shared" si="38"/>
        <v>0.12799999904632564</v>
      </c>
      <c r="P179" s="41">
        <f>IF(ISNUMBER(VLOOKUP(B179,[4]CLOSURES!B:BI,6,FALSE)),TEXT(VLOOKUP(B179,[4]CLOSURES!B:BI,6,FALSE),"ddmmm"),IF(F179&lt;=0,0,IF(I179&lt;=0,0,IF(AND(F179&gt;0,O179&lt;=0),"&gt;52",IF(I179/O179&gt;52,"&gt;52", MAX(0,I179/O179-2))))))</f>
        <v>49.593750384403407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f>'[5]Maj Pel Combined'!$F$17</f>
        <v>0.3</v>
      </c>
      <c r="D180" s="200">
        <f>F180-VLOOKUP(B180,[4]quotas!$B$85:$W$120,6,FALSE)</f>
        <v>39.999999999999993</v>
      </c>
      <c r="E180" s="200">
        <f>F180-C180</f>
        <v>45.3</v>
      </c>
      <c r="F180" s="201">
        <f>VLOOKUP(B180,[4]quotas!$B$46:$W$84,6,FALSE)</f>
        <v>45.599999999999994</v>
      </c>
      <c r="G180" s="202">
        <f>VLOOKUP(B180,[4]Cumulative!$A$56:$X$91,7,FALSE)+VLOOKUP(B220,[4]Cumulative!$A$56:$X$91,8,FALSE)</f>
        <v>40.289999935150156</v>
      </c>
      <c r="H180" s="151">
        <f>IF(AND(F180=0,G180&gt;0),"n/a",IF(F180=0,0,100*G180/F180))</f>
        <v>88.35526301568018</v>
      </c>
      <c r="I180" s="201">
        <f>IF(F180="*","*",F180-G180)</f>
        <v>5.310000064849838</v>
      </c>
      <c r="J180" s="202">
        <f>VLOOKUP(B180,[4]Weeks!$A$125:$X$161,7,FALSE)-VLOOKUP(B180,[4]Weeks!$A$165:$X$200,7,FALSE)+J220</f>
        <v>0</v>
      </c>
      <c r="K180" s="202">
        <f>VLOOKUP(B180,[4]Weeks!$A$85:$X$121,7,FALSE)-VLOOKUP(B180,[4]Weeks!$A$125:$X$161,7,FALSE)+K220</f>
        <v>0</v>
      </c>
      <c r="L180" s="202">
        <f>VLOOKUP(B180,[4]Weeks!$A$44:$X$81,7,FALSE)-VLOOKUP(B180,[4]Weeks!$A$85:$X$121,7,FALSE)+L220</f>
        <v>0.4269999999999925</v>
      </c>
      <c r="M180" s="202">
        <f>VLOOKUP(B180,[4]Weeks!$A$3:$X$39,7,FALSE)-VLOOKUP(B180,[4]Weeks!$A$44:$X$81,7,FALSE)+M220</f>
        <v>1.9400000000000048</v>
      </c>
      <c r="N180" s="11">
        <f>IF(C180="*","*",IF(C180&gt;0,M180/C180*100,"-"))</f>
        <v>646.66666666666833</v>
      </c>
      <c r="O180" s="202">
        <f t="shared" si="38"/>
        <v>0.59174999999999933</v>
      </c>
      <c r="P180" s="41" t="str">
        <f>IF(ISNUMBER(VLOOKUP(B180,[4]CLOSURES!B:BI,6,FALSE)),TEXT(VLOOKUP(B180,[4]CLOSURES!B:BI,6,FALSE),"ddmmm"),IF(F180&lt;=0,0,IF(I180&lt;=0,0,IF(AND(F180&gt;0,O180&lt;=0),"&gt;52",IF(I180/O180&gt;52,"&gt;52", MAX(0,I180/O180-2))))))</f>
        <v>01Jan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f>'[5]Maj Pel Combined'!$F$25</f>
        <v>0</v>
      </c>
      <c r="D181" s="200">
        <f>F181-VLOOKUP(B181,[4]quotas!$B$85:$W$120,6,FALSE)</f>
        <v>0</v>
      </c>
      <c r="E181" s="200">
        <f t="shared" si="36"/>
        <v>0</v>
      </c>
      <c r="F181" s="201">
        <f>VLOOKUP(B181,[4]quotas!$B$46:$W$84,6,FALSE)</f>
        <v>0</v>
      </c>
      <c r="G181" s="202">
        <f>VLOOKUP(B181,[4]Cumulative!$A$56:$X$91,7,FALSE)+VLOOKUP(B221,[4]Cumulative!$A$56:$X$91,8,FALSE)</f>
        <v>0.08</v>
      </c>
      <c r="H181" s="151" t="str">
        <f t="shared" si="39"/>
        <v>n/a</v>
      </c>
      <c r="I181" s="201">
        <f t="shared" si="40"/>
        <v>-0.08</v>
      </c>
      <c r="J181" s="202">
        <f>VLOOKUP(B181,[4]Weeks!$A$125:$X$161,7,FALSE)-VLOOKUP(B181,[4]Weeks!$A$165:$X$200,7,FALSE)+J221</f>
        <v>0</v>
      </c>
      <c r="K181" s="202">
        <f>VLOOKUP(B181,[4]Weeks!$A$85:$X$121,7,FALSE)-VLOOKUP(B181,[4]Weeks!$A$125:$X$161,7,FALSE)+K221</f>
        <v>0</v>
      </c>
      <c r="L181" s="202">
        <f>VLOOKUP(B181,[4]Weeks!$A$44:$X$81,7,FALSE)-VLOOKUP(B181,[4]Weeks!$A$85:$X$121,7,FALSE)+L221</f>
        <v>0</v>
      </c>
      <c r="M181" s="202">
        <f>VLOOKUP(B181,[4]Weeks!$A$3:$X$39,7,FALSE)-VLOOKUP(B181,[4]Weeks!$A$44:$X$81,7,FALSE)+M221</f>
        <v>0</v>
      </c>
      <c r="N181" s="11" t="str">
        <f t="shared" si="37"/>
        <v>-</v>
      </c>
      <c r="O181" s="202">
        <f t="shared" si="38"/>
        <v>0</v>
      </c>
      <c r="P181" s="41" t="str">
        <f>IF(ISNUMBER(VLOOKUP(B181,[4]CLOSURES!B:BI,6,FALSE)),TEXT(VLOOKUP(B181,[4]CLOSURES!B:BI,6,FALSE),"ddmmm"),IF(F181&lt;=0,0,IF(I181&lt;=0,0,IF(AND(F181&gt;0,O181&lt;=0),"&gt;52",IF(I181/O181&gt;52,"&gt;52", MAX(0,I181/O181-2))))))</f>
        <v>01Jan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f>'[5]Maj Pel Combined'!$F$22</f>
        <v>1.9</v>
      </c>
      <c r="D182" s="200">
        <f>F182-VLOOKUP(B182,[4]quotas!$B$85:$W$120,6,FALSE)</f>
        <v>0</v>
      </c>
      <c r="E182" s="200">
        <f t="shared" si="36"/>
        <v>3.1999999999999997</v>
      </c>
      <c r="F182" s="201">
        <f>VLOOKUP(B182,[4]quotas!$B$46:$W$84,6,FALSE)</f>
        <v>5.0999999999999996</v>
      </c>
      <c r="G182" s="202">
        <f>VLOOKUP(B182,[4]Cumulative!$A$56:$X$91,7,FALSE)+VLOOKUP(B222,[4]Cumulative!$A$56:$X$91,8,FALSE)</f>
        <v>0.08</v>
      </c>
      <c r="H182" s="151">
        <f t="shared" si="39"/>
        <v>1.5686274509803924</v>
      </c>
      <c r="I182" s="201">
        <f t="shared" si="40"/>
        <v>5.0199999999999996</v>
      </c>
      <c r="J182" s="202">
        <f>VLOOKUP(B182,[4]Weeks!$A$125:$X$161,7,FALSE)-VLOOKUP(B182,[4]Weeks!$A$165:$X$200,7,FALSE)+J222</f>
        <v>0</v>
      </c>
      <c r="K182" s="202">
        <f>VLOOKUP(B182,[4]Weeks!$A$85:$X$121,7,FALSE)-VLOOKUP(B182,[4]Weeks!$A$125:$X$161,7,FALSE)+K222</f>
        <v>0</v>
      </c>
      <c r="L182" s="202">
        <f>VLOOKUP(B182,[4]Weeks!$A$44:$X$81,7,FALSE)-VLOOKUP(B182,[4]Weeks!$A$85:$X$121,7,FALSE)+L222</f>
        <v>-0.09</v>
      </c>
      <c r="M182" s="202">
        <f>VLOOKUP(B182,[4]Weeks!$A$3:$X$39,7,FALSE)-VLOOKUP(B182,[4]Weeks!$A$44:$X$81,7,FALSE)+M222</f>
        <v>0</v>
      </c>
      <c r="N182" s="11">
        <f t="shared" si="37"/>
        <v>0</v>
      </c>
      <c r="O182" s="202">
        <f t="shared" si="38"/>
        <v>-2.2499999999999999E-2</v>
      </c>
      <c r="P182" s="41" t="str">
        <f>IF(ISNUMBER(VLOOKUP(B182,[4]CLOSURES!B:BI,6,FALSE)),TEXT(VLOOKUP(B182,[4]CLOSURES!B:BI,6,FALSE),"ddmmm"),IF(F182&lt;=0,0,IF(I182&lt;=0,0,IF(AND(F182&gt;0,O182&lt;=0),"&gt;52",IF(I182/O182&gt;52,"&gt;52", MAX(0,I182/O182-2))))))</f>
        <v>01Jan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f>'[5]Maj Pel Combined'!$F$21</f>
        <v>0.1</v>
      </c>
      <c r="D183" s="200">
        <f>F183-VLOOKUP(B183,[4]quotas!$B$85:$W$120,6,FALSE)</f>
        <v>0</v>
      </c>
      <c r="E183" s="200">
        <f t="shared" si="36"/>
        <v>0.1</v>
      </c>
      <c r="F183" s="201">
        <f>VLOOKUP(B183,[4]quotas!$B$46:$W$84,6,FALSE)</f>
        <v>0.2</v>
      </c>
      <c r="G183" s="202">
        <f>VLOOKUP(B183,[4]Cumulative!$A$56:$X$91,7,FALSE)+VLOOKUP(B223,[4]Cumulative!$A$56:$X$91,8,FALSE)</f>
        <v>0</v>
      </c>
      <c r="H183" s="151">
        <f t="shared" si="39"/>
        <v>0</v>
      </c>
      <c r="I183" s="201">
        <f t="shared" si="40"/>
        <v>0.2</v>
      </c>
      <c r="J183" s="202">
        <f>VLOOKUP(B183,[4]Weeks!$A$125:$X$161,7,FALSE)-VLOOKUP(B183,[4]Weeks!$A$165:$X$200,7,FALSE)+J223</f>
        <v>0</v>
      </c>
      <c r="K183" s="202">
        <f>VLOOKUP(B183,[4]Weeks!$A$85:$X$121,7,FALSE)-VLOOKUP(B183,[4]Weeks!$A$125:$X$161,7,FALSE)+K223</f>
        <v>0</v>
      </c>
      <c r="L183" s="202">
        <f>VLOOKUP(B183,[4]Weeks!$A$44:$X$81,7,FALSE)-VLOOKUP(B183,[4]Weeks!$A$85:$X$121,7,FALSE)+L223</f>
        <v>0</v>
      </c>
      <c r="M183" s="202">
        <f>VLOOKUP(B183,[4]Weeks!$A$3:$X$39,7,FALSE)-VLOOKUP(B183,[4]Weeks!$A$44:$X$81,7,FALSE)+M223</f>
        <v>0</v>
      </c>
      <c r="N183" s="11">
        <f t="shared" si="37"/>
        <v>0</v>
      </c>
      <c r="O183" s="202">
        <f t="shared" si="38"/>
        <v>0</v>
      </c>
      <c r="P183" s="41" t="str">
        <f>IF(ISNUMBER(VLOOKUP(B183,[4]CLOSURES!B:BI,6,FALSE)),TEXT(VLOOKUP(B183,[4]CLOSURES!B:BI,6,FALSE),"ddmmm"),IF(F183&lt;=0,0,IF(I183&lt;=0,0,IF(AND(F183&gt;0,O183&lt;=0),"&gt;52",IF(I183/O183&gt;52,"&gt;52", MAX(0,I183/O183-2))))))</f>
        <v>01Jan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f>'[5]Maj Pel Combined'!$F$18</f>
        <v>46.1</v>
      </c>
      <c r="D184" s="200">
        <f>F184-VLOOKUP(B184,[4]quotas!$B$85:$W$120,6,FALSE)</f>
        <v>0</v>
      </c>
      <c r="E184" s="200">
        <f t="shared" si="36"/>
        <v>-27.5</v>
      </c>
      <c r="F184" s="201">
        <f>VLOOKUP(B184,[4]quotas!$B$46:$W$84,6,FALSE)</f>
        <v>18.600000000000001</v>
      </c>
      <c r="G184" s="202">
        <f>VLOOKUP(B184,[4]Cumulative!$A$56:$X$91,7,FALSE)+VLOOKUP(B224,[4]Cumulative!$A$56:$X$91,8,FALSE)+'[4]Special Conditions stocks'!C164</f>
        <v>0</v>
      </c>
      <c r="H184" s="151">
        <f t="shared" si="39"/>
        <v>0</v>
      </c>
      <c r="I184" s="201">
        <f t="shared" si="40"/>
        <v>18.600000000000001</v>
      </c>
      <c r="J184" s="202">
        <f>VLOOKUP(B184,[4]Weeks!$A$125:$X$161,7,FALSE)-VLOOKUP(B184,[4]Weeks!$A$165:$X$200,7,FALSE)+J224</f>
        <v>0</v>
      </c>
      <c r="K184" s="202">
        <f>VLOOKUP(B184,[4]Weeks!$A$85:$X$121,7,FALSE)-VLOOKUP(B184,[4]Weeks!$A$125:$X$161,7,FALSE)+K224</f>
        <v>0</v>
      </c>
      <c r="L184" s="202">
        <f>VLOOKUP(B184,[4]Weeks!$A$44:$X$81,7,FALSE)-VLOOKUP(B184,[4]Weeks!$A$85:$X$121,7,FALSE)+L224</f>
        <v>0</v>
      </c>
      <c r="M184" s="202">
        <f>VLOOKUP(B184,[4]Weeks!$A$3:$X$39,7,FALSE)-VLOOKUP(B184,[4]Weeks!$A$44:$X$81,7,FALSE)+M224</f>
        <v>0</v>
      </c>
      <c r="N184" s="11">
        <f t="shared" si="37"/>
        <v>0</v>
      </c>
      <c r="O184" s="202">
        <f t="shared" si="38"/>
        <v>0</v>
      </c>
      <c r="P184" s="41" t="str">
        <f>IF(ISNUMBER(VLOOKUP(B184,[4]CLOSURES!B:BI,6,FALSE)),TEXT(VLOOKUP(B184,[4]CLOSURES!B:BI,6,FALSE),"ddmmm"),IF(F184&lt;=0,0,IF(I184&lt;=0,0,IF(AND(F184&gt;0,O184&lt;=0),"&gt;52",IF(I184/O184&gt;52,"&gt;52", MAX(0,I184/O184-2))))))</f>
        <v>&gt;52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f>'[5]Maj Pel Combined'!$F$19</f>
        <v>27.545999999999999</v>
      </c>
      <c r="D185" s="200">
        <f>F185-VLOOKUP(B185,[4]quotas!$B$85:$W$120,6,FALSE)</f>
        <v>0</v>
      </c>
      <c r="E185" s="200">
        <f t="shared" si="36"/>
        <v>45.699999999999996</v>
      </c>
      <c r="F185" s="201">
        <f>VLOOKUP(B185,[4]quotas!$B$46:$W$84,6,FALSE)</f>
        <v>73.245999999999995</v>
      </c>
      <c r="G185" s="202">
        <f>VLOOKUP(B185,[4]Cumulative!$A$56:$X$91,7,FALSE)+VLOOKUP(B225,[4]Cumulative!$A$56:$X$91,8,FALSE)+'[4]Special Conditions stocks'!C165+'[4]Shet box to NS Mac'!B4</f>
        <v>64.070000000000007</v>
      </c>
      <c r="H185" s="151">
        <f t="shared" si="39"/>
        <v>87.47235343909567</v>
      </c>
      <c r="I185" s="201">
        <f t="shared" si="40"/>
        <v>9.1759999999999877</v>
      </c>
      <c r="J185" s="202">
        <f>VLOOKUP(B185,[4]Weeks!$A$125:$X$161,7,FALSE)-VLOOKUP(B185,[4]Weeks!$A$165:$X$200,7,FALSE)+J225</f>
        <v>0</v>
      </c>
      <c r="K185" s="202">
        <f>VLOOKUP(B185,[4]Weeks!$A$85:$X$121,7,FALSE)-VLOOKUP(B185,[4]Weeks!$A$125:$X$161,7,FALSE)+K225</f>
        <v>0</v>
      </c>
      <c r="L185" s="202">
        <f>VLOOKUP(B185,[4]Weeks!$A$44:$X$81,7,FALSE)-VLOOKUP(B185,[4]Weeks!$A$85:$X$121,7,FALSE)+L225</f>
        <v>-9.07</v>
      </c>
      <c r="M185" s="202">
        <f>VLOOKUP(B185,[4]Weeks!$A$3:$X$39,7,FALSE)-VLOOKUP(B185,[4]Weeks!$A$44:$X$81,7,FALSE)+M225</f>
        <v>0</v>
      </c>
      <c r="N185" s="11">
        <f t="shared" si="37"/>
        <v>0</v>
      </c>
      <c r="O185" s="202">
        <f t="shared" si="38"/>
        <v>-2.2675000000000001</v>
      </c>
      <c r="P185" s="41" t="str">
        <f>IF(ISNUMBER(VLOOKUP(B185,[4]CLOSURES!B:BI,6,FALSE)),TEXT(VLOOKUP(B185,[4]CLOSURES!B:BI,6,FALSE),"ddmmm"),IF(F185&lt;=0,0,IF(I185&lt;=0,0,IF(AND(F185&gt;0,O185&lt;=0),"&gt;52",IF(I185/O185&gt;52,"&gt;52", MAX(0,I185/O185-2))))))</f>
        <v>&gt;52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f>SUM(C176:C185)</f>
        <v>169.05599999999998</v>
      </c>
      <c r="D186" s="200">
        <f>SUM(D176:D185)</f>
        <v>39.999999999999993</v>
      </c>
      <c r="E186" s="200">
        <f t="shared" si="36"/>
        <v>68.499999999999943</v>
      </c>
      <c r="F186" s="201">
        <f>SUM(F176:F185)</f>
        <v>237.55599999999993</v>
      </c>
      <c r="G186" s="202">
        <f>SUM(G176:G185)</f>
        <v>124.98099993515015</v>
      </c>
      <c r="H186" s="151">
        <f t="shared" si="39"/>
        <v>52.611173759092672</v>
      </c>
      <c r="I186" s="201">
        <f t="shared" si="40"/>
        <v>112.57500006484977</v>
      </c>
      <c r="J186" s="202">
        <f t="shared" ref="J186:O186" si="41">SUM(J176:J185)</f>
        <v>0.41199999618530114</v>
      </c>
      <c r="K186" s="202">
        <f t="shared" si="41"/>
        <v>0.10000000000000142</v>
      </c>
      <c r="L186" s="202">
        <f>SUM(L176:L185)</f>
        <v>-39.593000000000004</v>
      </c>
      <c r="M186" s="202">
        <f t="shared" si="41"/>
        <v>1.9400000000000048</v>
      </c>
      <c r="N186" s="11">
        <f t="shared" si="37"/>
        <v>1.1475487412455074</v>
      </c>
      <c r="O186" s="202">
        <f t="shared" si="41"/>
        <v>-9.285250000953674</v>
      </c>
      <c r="P186" s="41" t="str">
        <f>IF(ISNUMBER(VLOOKUP(B186,[4]CLOSURES!B:BI,6,FALSE)),TEXT(VLOOKUP(B186,[4]CLOSURES!B:BI,6,FALSE),"ddmmm"),IF(F186&lt;=0,0,IF(I186&lt;=0,0,IF(AND(F186&gt;0,O186&lt;=0),"&gt;52",IF(I186/O186&gt;52,"&gt;52", MAX(0,I186/O186-2))))))</f>
        <v>&gt;52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f>'[5]Maj Pel Combined'!$F$5</f>
        <v>10.516</v>
      </c>
      <c r="D188" s="200">
        <f>F188-VLOOKUP(B188,[4]quotas!$B$85:$W$120,6,FALSE)</f>
        <v>0</v>
      </c>
      <c r="E188" s="200">
        <f t="shared" si="36"/>
        <v>-4.8000000000000007</v>
      </c>
      <c r="F188" s="201">
        <f>VLOOKUP(B188,[4]quotas!$B$46:$W$84,6,FALSE)</f>
        <v>5.7159999999999993</v>
      </c>
      <c r="G188" s="202">
        <f>VLOOKUP(B188,[4]Cumulative!$A$56:$X$91,7,FALSE)+VLOOKUP(B228,[4]Cumulative!$A$56:$X$91,8,FALSE)+'[4]Shet box to NS Mac'!B6</f>
        <v>2.4247500002086158</v>
      </c>
      <c r="H188" s="151">
        <f t="shared" si="39"/>
        <v>42.420398883985584</v>
      </c>
      <c r="I188" s="201">
        <f t="shared" si="40"/>
        <v>3.2912499997913836</v>
      </c>
      <c r="J188" s="202">
        <f>VLOOKUP(B188,[4]Weeks!$A$125:$X$161,7,FALSE)-VLOOKUP(B188,[4]Weeks!$A$165:$X$200,7,FALSE)+J228</f>
        <v>0</v>
      </c>
      <c r="K188" s="202">
        <f>VLOOKUP(B188,[4]Weeks!$A$85:$X$121,7,FALSE)-VLOOKUP(B188,[4]Weeks!$A$125:$X$161,7,FALSE)+K228</f>
        <v>9.9999999999988987E-4</v>
      </c>
      <c r="L188" s="202">
        <f>VLOOKUP(B188,[4]Weeks!$A$44:$X$81,7,FALSE)-VLOOKUP(B188,[4]Weeks!$A$85:$X$121,7,FALSE)+L228</f>
        <v>-1.17</v>
      </c>
      <c r="M188" s="202">
        <f>VLOOKUP(B188,[4]Weeks!$A$3:$X$39,7,FALSE)-VLOOKUP(B188,[4]Weeks!$A$44:$X$81,7,FALSE)+M228</f>
        <v>0</v>
      </c>
      <c r="N188" s="11">
        <f>IF(C188="*","*",IF(C188&gt;0,M188/C188*100,"-"))</f>
        <v>0</v>
      </c>
      <c r="O188" s="202">
        <f t="shared" ref="O188:O199" si="42">IF(C188="*","*",SUM(J188:M188)/4)</f>
        <v>-0.29225000000000001</v>
      </c>
      <c r="P188" s="41" t="str">
        <f>IF(ISNUMBER(VLOOKUP(B188,[4]CLOSURES!B:BI,6,FALSE)),TEXT(VLOOKUP(B188,[4]CLOSURES!B:BI,6,FALSE),"ddmmm"),IF(F188&lt;=0,0,IF(I188&lt;=0,0,IF(AND(F188&gt;0,O188&lt;=0),"&gt;52",IF(I188/O188&gt;52,"&gt;52", MAX(0,I188/O188-2))))))</f>
        <v>&gt;52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f>'[5]Maj Pel Combined'!$F$7</f>
        <v>3.6230000000000002</v>
      </c>
      <c r="D189" s="200">
        <f>F189-VLOOKUP(B189,[4]quotas!$B$85:$W$120,6,FALSE)</f>
        <v>0</v>
      </c>
      <c r="E189" s="200">
        <f>F189-C189</f>
        <v>-2.8000000000000003</v>
      </c>
      <c r="F189" s="201">
        <f>VLOOKUP(B189,[4]quotas!$B$46:$W$84,6,FALSE)</f>
        <v>0.82299999999999995</v>
      </c>
      <c r="G189" s="202">
        <f>VLOOKUP(B189,[4]Cumulative!$A$56:$X$91,7,FALSE)+VLOOKUP(B229,[4]Cumulative!$A$56:$X$91,8,FALSE)</f>
        <v>0</v>
      </c>
      <c r="H189" s="151">
        <f>IF(AND(F189=0,G189&gt;0),"n/a",IF(F189=0,0,100*G189/F189))</f>
        <v>0</v>
      </c>
      <c r="I189" s="201">
        <f>IF(F189="*","*",F189-G189)</f>
        <v>0.82299999999999995</v>
      </c>
      <c r="J189" s="202">
        <f>VLOOKUP(B189,[4]Weeks!$A$125:$X$161,7,FALSE)-VLOOKUP(B189,[4]Weeks!$A$165:$X$200,7,FALSE)+J229</f>
        <v>0</v>
      </c>
      <c r="K189" s="202">
        <f>VLOOKUP(B189,[4]Weeks!$A$85:$X$121,7,FALSE)-VLOOKUP(B189,[4]Weeks!$A$125:$X$161,7,FALSE)+K229</f>
        <v>0</v>
      </c>
      <c r="L189" s="202">
        <f>VLOOKUP(B189,[4]Weeks!$A$44:$X$81,7,FALSE)-VLOOKUP(B189,[4]Weeks!$A$85:$X$121,7,FALSE)+L229</f>
        <v>-0.05</v>
      </c>
      <c r="M189" s="202">
        <f>VLOOKUP(B189,[4]Weeks!$A$3:$X$39,7,FALSE)-VLOOKUP(B189,[4]Weeks!$A$44:$X$81,7,FALSE)+M229</f>
        <v>0</v>
      </c>
      <c r="N189" s="11">
        <f>IF(C189="*","*",IF(C189&gt;0,M189/C189*100,"-"))</f>
        <v>0</v>
      </c>
      <c r="O189" s="202">
        <f>IF(C189="*","*",SUM(J189:M189)/4)</f>
        <v>-1.2500000000000001E-2</v>
      </c>
      <c r="P189" s="41" t="str">
        <f>IF(ISNUMBER(VLOOKUP(B189,[4]CLOSURES!B:BI,6,FALSE)),TEXT(VLOOKUP(B189,[4]CLOSURES!B:BI,6,FALSE),"ddmmm"),IF(F189&lt;=0,0,IF(I189&lt;=0,0,IF(AND(F189&gt;0,O189&lt;=0),"&gt;52",IF(I189/O189&gt;52,"&gt;52", MAX(0,I189/O189-2))))))</f>
        <v>&gt;52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f>'[5]Maj Pel Combined'!$F$8</f>
        <v>0</v>
      </c>
      <c r="D190" s="200">
        <f>F190-VLOOKUP(B190,[4]quotas!$B$85:$W$120,6,FALSE)</f>
        <v>0</v>
      </c>
      <c r="E190" s="200">
        <f>F190-C190</f>
        <v>1.2</v>
      </c>
      <c r="F190" s="201">
        <f>VLOOKUP(B190,[4]quotas!$B$46:$W$84,6,FALSE)</f>
        <v>1.2</v>
      </c>
      <c r="G190" s="202">
        <f>VLOOKUP(B190,[4]Cumulative!$A$56:$X$91,7,FALSE)+VLOOKUP(B230,[4]Cumulative!$A$56:$X$91,8,FALSE)</f>
        <v>1.1100000000000001</v>
      </c>
      <c r="H190" s="151">
        <f>IF(AND(F190=0,G190&gt;0),"n/a",IF(F190=0,0,100*G190/F190))</f>
        <v>92.500000000000014</v>
      </c>
      <c r="I190" s="201">
        <f>IF(F190="*","*",F190-G190)</f>
        <v>8.9999999999999858E-2</v>
      </c>
      <c r="J190" s="202">
        <f>VLOOKUP(B190,[4]Weeks!$A$125:$X$161,7,FALSE)-VLOOKUP(B190,[4]Weeks!$A$165:$X$200,7,FALSE)+J230</f>
        <v>0</v>
      </c>
      <c r="K190" s="202">
        <f>VLOOKUP(B190,[4]Weeks!$A$85:$X$121,7,FALSE)-VLOOKUP(B190,[4]Weeks!$A$125:$X$161,7,FALSE)+K230</f>
        <v>0</v>
      </c>
      <c r="L190" s="202">
        <f>VLOOKUP(B190,[4]Weeks!$A$44:$X$81,7,FALSE)-VLOOKUP(B190,[4]Weeks!$A$85:$X$121,7,FALSE)+L230</f>
        <v>0</v>
      </c>
      <c r="M190" s="202">
        <f>VLOOKUP(B190,[4]Weeks!$A$3:$X$39,7,FALSE)-VLOOKUP(B190,[4]Weeks!$A$44:$X$81,7,FALSE)+M230</f>
        <v>0</v>
      </c>
      <c r="N190" s="11" t="str">
        <f>IF(C190="*","*",IF(C190&gt;0,M190/C190*100,"-"))</f>
        <v>-</v>
      </c>
      <c r="O190" s="202">
        <f>IF(C190="*","*",SUM(J190:M190)/4)</f>
        <v>0</v>
      </c>
      <c r="P190" s="41" t="str">
        <f>IF(ISNUMBER(VLOOKUP(B190,[4]CLOSURES!B:BI,6,FALSE)),TEXT(VLOOKUP(B190,[4]CLOSURES!B:BI,6,FALSE),"ddmmm"),IF(F190&lt;=0,0,IF(I190&lt;=0,0,IF(AND(F190&gt;0,O190&lt;=0),"&gt;52",IF(I190/O190&gt;52,"&gt;52", MAX(0,I190/O190-2))))))</f>
        <v>&gt;52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f>'[5]Maj Pel Combined'!$F$9</f>
        <v>0</v>
      </c>
      <c r="D191" s="200">
        <f>F191-VLOOKUP(B191,[4]quotas!$B$85:$W$120,6,FALSE)</f>
        <v>0</v>
      </c>
      <c r="E191" s="200">
        <f t="shared" si="36"/>
        <v>0</v>
      </c>
      <c r="F191" s="201">
        <f>VLOOKUP(B191,[4]quotas!$B$46:$W$84,6,FALSE)</f>
        <v>0</v>
      </c>
      <c r="G191" s="202">
        <f>VLOOKUP(B191,[4]Cumulative!$A$56:$X$91,7,FALSE)+VLOOKUP(B231,[4]Cumulative!$A$56:$X$91,8,FALSE)</f>
        <v>0</v>
      </c>
      <c r="H191" s="151">
        <f t="shared" si="39"/>
        <v>0</v>
      </c>
      <c r="I191" s="201">
        <f t="shared" si="40"/>
        <v>0</v>
      </c>
      <c r="J191" s="202">
        <f>VLOOKUP(B191,[4]Weeks!$A$125:$X$161,7,FALSE)-VLOOKUP(B191,[4]Weeks!$A$165:$X$200,7,FALSE)+J231</f>
        <v>0</v>
      </c>
      <c r="K191" s="202">
        <f>VLOOKUP(B191,[4]Weeks!$A$85:$X$121,7,FALSE)-VLOOKUP(B191,[4]Weeks!$A$125:$X$161,7,FALSE)+K231</f>
        <v>0</v>
      </c>
      <c r="L191" s="202">
        <f>VLOOKUP(B191,[4]Weeks!$A$44:$X$81,7,FALSE)-VLOOKUP(B191,[4]Weeks!$A$85:$X$121,7,FALSE)+L231</f>
        <v>0</v>
      </c>
      <c r="M191" s="202">
        <f>VLOOKUP(B191,[4]Weeks!$A$3:$X$39,7,FALSE)-VLOOKUP(B191,[4]Weeks!$A$44:$X$81,7,FALSE)+M231</f>
        <v>0</v>
      </c>
      <c r="N191" s="11" t="str">
        <f t="shared" ref="N191:N199" si="43">IF(C191="*","*",IF(C191&gt;0,M191/C191*100,"-"))</f>
        <v>-</v>
      </c>
      <c r="O191" s="202">
        <f t="shared" si="42"/>
        <v>0</v>
      </c>
      <c r="P191" s="41">
        <f>IF(ISNUMBER(VLOOKUP(B191,[4]CLOSURES!B:BI,6,FALSE)),TEXT(VLOOKUP(B191,[4]CLOSURES!B:BI,6,FALSE),"ddmmm"),IF(F191&lt;=0,0,IF(I191&lt;=0,0,IF(AND(F191&gt;0,O191&lt;=0),"&gt;52",IF(I191/O191&gt;52,"&gt;52", MAX(0,I191/O191-2))))))</f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f>'[5]Maj Pel Combined'!$F$27</f>
        <v>47.875999999999998</v>
      </c>
      <c r="D192" s="200">
        <f>F192-VLOOKUP(B192,[4]quotas!$B$85:$W$120,6,FALSE)</f>
        <v>0</v>
      </c>
      <c r="E192" s="200">
        <f t="shared" si="36"/>
        <v>-36.200000000000003</v>
      </c>
      <c r="F192" s="201">
        <f>VLOOKUP(B192,[4]quotas!$B$46:$W$84,6,FALSE)</f>
        <v>11.675999999999995</v>
      </c>
      <c r="G192" s="202">
        <f>VLOOKUP(B192,[4]Cumulative!$A$56:$X$91,7,FALSE)+VLOOKUP(B232,[4]Cumulative!$A$56:$X$91,8,FALSE)+'[4]Box-NS tranfers'!B22</f>
        <v>10.405749956846236</v>
      </c>
      <c r="H192" s="151">
        <f t="shared" si="39"/>
        <v>89.120845810605019</v>
      </c>
      <c r="I192" s="201">
        <f t="shared" si="40"/>
        <v>1.2702500431537587</v>
      </c>
      <c r="J192" s="202">
        <f>VLOOKUP(B192,[4]Weeks!$A$125:$X$161,7,FALSE)-VLOOKUP(B192,[4]Weeks!$A$165:$X$200,7,FALSE)+J232</f>
        <v>0</v>
      </c>
      <c r="K192" s="202">
        <f>VLOOKUP(B192,[4]Weeks!$A$85:$X$121,7,FALSE)-VLOOKUP(B192,[4]Weeks!$A$125:$X$161,7,FALSE)+K232</f>
        <v>0</v>
      </c>
      <c r="L192" s="202">
        <f>VLOOKUP(B192,[4]Weeks!$A$44:$X$81,7,FALSE)-VLOOKUP(B192,[4]Weeks!$A$85:$X$121,7,FALSE)+L232</f>
        <v>0</v>
      </c>
      <c r="M192" s="202">
        <f>VLOOKUP(B192,[4]Weeks!$A$3:$X$39,7,FALSE)-VLOOKUP(B192,[4]Weeks!$A$44:$X$81,7,FALSE)+M232</f>
        <v>0</v>
      </c>
      <c r="N192" s="11">
        <f t="shared" si="43"/>
        <v>0</v>
      </c>
      <c r="O192" s="202">
        <f t="shared" si="42"/>
        <v>0</v>
      </c>
      <c r="P192" s="41" t="str">
        <f>IF(ISNUMBER(VLOOKUP(B192,[4]CLOSURES!B:BI,6,FALSE)),TEXT(VLOOKUP(B192,[4]CLOSURES!B:BI,6,FALSE),"ddmmm"),IF(F192&lt;=0,0,IF(I192&lt;=0,0,IF(AND(F192&gt;0,O192&lt;=0),"&gt;52",IF(I192/O192&gt;52,"&gt;52", MAX(0,I192/O192-2))))))</f>
        <v>&gt;52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f>'[5]Maj Pel Combined'!$F$26</f>
        <v>25.798999999999999</v>
      </c>
      <c r="D193" s="200">
        <f>F193-VLOOKUP(B193,[4]quotas!$B$85:$W$120,6,FALSE)</f>
        <v>0</v>
      </c>
      <c r="E193" s="200">
        <f t="shared" si="36"/>
        <v>-25.7</v>
      </c>
      <c r="F193" s="201">
        <f>VLOOKUP(B193,[4]quotas!$B$46:$W$84,6,FALSE)</f>
        <v>9.9000000000000199E-2</v>
      </c>
      <c r="G193" s="202">
        <f>VLOOKUP(B193,[4]Cumulative!$A$56:$X$91,7,FALSE)+VLOOKUP(B233,[4]Cumulative!$A$56:$X$91,8,FALSE)</f>
        <v>0</v>
      </c>
      <c r="H193" s="151">
        <f t="shared" si="39"/>
        <v>0</v>
      </c>
      <c r="I193" s="201">
        <f t="shared" si="40"/>
        <v>9.9000000000000199E-2</v>
      </c>
      <c r="J193" s="202">
        <f>VLOOKUP(B193,[4]Weeks!$A$125:$X$161,7,FALSE)-VLOOKUP(B193,[4]Weeks!$A$165:$X$200,7,FALSE)+J233</f>
        <v>0</v>
      </c>
      <c r="K193" s="202">
        <f>VLOOKUP(B193,[4]Weeks!$A$85:$X$121,7,FALSE)-VLOOKUP(B193,[4]Weeks!$A$125:$X$161,7,FALSE)+K233</f>
        <v>0</v>
      </c>
      <c r="L193" s="202">
        <f>VLOOKUP(B193,[4]Weeks!$A$44:$X$81,7,FALSE)-VLOOKUP(B193,[4]Weeks!$A$85:$X$121,7,FALSE)+L233</f>
        <v>0</v>
      </c>
      <c r="M193" s="202">
        <f>VLOOKUP(B193,[4]Weeks!$A$3:$X$39,7,FALSE)-VLOOKUP(B193,[4]Weeks!$A$44:$X$81,7,FALSE)+M233</f>
        <v>0</v>
      </c>
      <c r="N193" s="11">
        <f t="shared" si="43"/>
        <v>0</v>
      </c>
      <c r="O193" s="202">
        <f t="shared" si="42"/>
        <v>0</v>
      </c>
      <c r="P193" s="41" t="str">
        <f>IF(ISNUMBER(VLOOKUP(B193,[4]CLOSURES!B:BI,6,FALSE)),TEXT(VLOOKUP(B193,[4]CLOSURES!B:BI,6,FALSE),"ddmmm"),IF(F193&lt;=0,0,IF(I193&lt;=0,0,IF(AND(F193&gt;0,O193&lt;=0),"&gt;52",IF(I193/O193&gt;52,"&gt;52", MAX(0,I193/O193-2))))))</f>
        <v>&gt;52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f>'[5]Maj Pel Combined'!$F$6</f>
        <v>0.26600000000000001</v>
      </c>
      <c r="D194" s="200">
        <f>F194-VLOOKUP(B194,[4]quotas!$B$85:$W$120,6,FALSE)</f>
        <v>0</v>
      </c>
      <c r="E194" s="200">
        <f t="shared" si="36"/>
        <v>13</v>
      </c>
      <c r="F194" s="201">
        <f>VLOOKUP(B194,[4]quotas!$B$46:$W$84,6,FALSE)</f>
        <v>13.266</v>
      </c>
      <c r="G194" s="202">
        <f>VLOOKUP(B194,[4]Cumulative!$A$56:$X$91,7,FALSE)+VLOOKUP(B234,[4]Cumulative!$A$56:$X$91,8,FALSE)</f>
        <v>12.737999953269956</v>
      </c>
      <c r="H194" s="151">
        <f t="shared" si="39"/>
        <v>96.019900145258219</v>
      </c>
      <c r="I194" s="201">
        <f t="shared" si="40"/>
        <v>0.5280000467300443</v>
      </c>
      <c r="J194" s="202">
        <f>VLOOKUP(B194,[4]Weeks!$A$125:$X$161,7,FALSE)-VLOOKUP(B194,[4]Weeks!$A$165:$X$200,7,FALSE)+J234</f>
        <v>0</v>
      </c>
      <c r="K194" s="202">
        <f>VLOOKUP(B194,[4]Weeks!$A$85:$X$121,7,FALSE)-VLOOKUP(B194,[4]Weeks!$A$125:$X$161,7,FALSE)+K234</f>
        <v>0</v>
      </c>
      <c r="L194" s="202">
        <f>VLOOKUP(B194,[4]Weeks!$A$44:$X$81,7,FALSE)-VLOOKUP(B194,[4]Weeks!$A$85:$X$121,7,FALSE)+L234</f>
        <v>0</v>
      </c>
      <c r="M194" s="202">
        <f>VLOOKUP(B194,[4]Weeks!$A$3:$X$39,7,FALSE)-VLOOKUP(B194,[4]Weeks!$A$44:$X$81,7,FALSE)+M234</f>
        <v>0</v>
      </c>
      <c r="N194" s="11">
        <f t="shared" si="43"/>
        <v>0</v>
      </c>
      <c r="O194" s="202">
        <f t="shared" si="42"/>
        <v>0</v>
      </c>
      <c r="P194" s="41" t="str">
        <f>IF(ISNUMBER(VLOOKUP(B194,[4]CLOSURES!B:BI,6,FALSE)),TEXT(VLOOKUP(B194,[4]CLOSURES!B:BI,6,FALSE),"ddmmm"),IF(F194&lt;=0,0,IF(I194&lt;=0,0,IF(AND(F194&gt;0,O194&lt;=0),"&gt;52",IF(I194/O194&gt;52,"&gt;52", MAX(0,I194/O194-2))))))</f>
        <v>&gt;52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f>'[5]Maj Pel Combined'!$F$14</f>
        <v>0.41799999999999998</v>
      </c>
      <c r="D195" s="200">
        <f>F195-VLOOKUP(B195,[4]quotas!$B$85:$W$120,6,FALSE)</f>
        <v>0</v>
      </c>
      <c r="E195" s="200">
        <f t="shared" si="36"/>
        <v>0</v>
      </c>
      <c r="F195" s="201">
        <f>VLOOKUP(B195,[4]quotas!$B$46:$W$84,6,FALSE)</f>
        <v>0.41799999999999998</v>
      </c>
      <c r="G195" s="202">
        <f>VLOOKUP(B195,[4]Cumulative!$A$56:$X$91,7,FALSE)+VLOOKUP(B235,[4]Cumulative!$A$56:$X$91,8,FALSE)</f>
        <v>0</v>
      </c>
      <c r="H195" s="151">
        <f t="shared" si="39"/>
        <v>0</v>
      </c>
      <c r="I195" s="201">
        <f t="shared" si="40"/>
        <v>0.41799999999999998</v>
      </c>
      <c r="J195" s="202">
        <f>VLOOKUP(B195,[4]Weeks!$A$125:$X$161,7,FALSE)-VLOOKUP(B195,[4]Weeks!$A$165:$X$200,7,FALSE)+J235</f>
        <v>0</v>
      </c>
      <c r="K195" s="202">
        <f>VLOOKUP(B195,[4]Weeks!$A$85:$X$121,7,FALSE)-VLOOKUP(B195,[4]Weeks!$A$125:$X$161,7,FALSE)+K235</f>
        <v>0</v>
      </c>
      <c r="L195" s="202">
        <f>VLOOKUP(B195,[4]Weeks!$A$44:$X$81,7,FALSE)-VLOOKUP(B195,[4]Weeks!$A$85:$X$121,7,FALSE)+L235</f>
        <v>0</v>
      </c>
      <c r="M195" s="202">
        <f>VLOOKUP(B195,[4]Weeks!$A$3:$X$39,7,FALSE)-VLOOKUP(B195,[4]Weeks!$A$44:$X$81,7,FALSE)+M235</f>
        <v>0</v>
      </c>
      <c r="N195" s="11">
        <f t="shared" si="43"/>
        <v>0</v>
      </c>
      <c r="O195" s="202">
        <f t="shared" si="42"/>
        <v>0</v>
      </c>
      <c r="P195" s="41" t="str">
        <f>IF(ISNUMBER(VLOOKUP(B195,[4]CLOSURES!B:BI,6,FALSE)),TEXT(VLOOKUP(B195,[4]CLOSURES!B:BI,6,FALSE),"ddmmm"),IF(F195&lt;=0,0,IF(I195&lt;=0,0,IF(AND(F195&gt;0,O195&lt;=0),"&gt;52",IF(I195/O195&gt;52,"&gt;52", MAX(0,I195/O195-2))))))</f>
        <v>&gt;52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f>'[5]Maj Pel Combined'!$F$13</f>
        <v>0.746</v>
      </c>
      <c r="D196" s="200">
        <f>F196-VLOOKUP(B196,[4]quotas!$B$85:$W$120,6,FALSE)</f>
        <v>0</v>
      </c>
      <c r="E196" s="200">
        <f t="shared" si="36"/>
        <v>34.700000000000003</v>
      </c>
      <c r="F196" s="201">
        <f>VLOOKUP(B196,[4]quotas!$B$46:$W$84,6,FALSE)</f>
        <v>35.446000000000005</v>
      </c>
      <c r="G196" s="202">
        <f>VLOOKUP(B196,[4]Cumulative!$A$56:$X$91,7,FALSE)+VLOOKUP(B236,[4]Cumulative!$A$56:$X$91,8,FALSE)</f>
        <v>25.256999992370602</v>
      </c>
      <c r="H196" s="151">
        <f t="shared" si="39"/>
        <v>71.254866536056525</v>
      </c>
      <c r="I196" s="201">
        <f t="shared" si="40"/>
        <v>10.189000007629403</v>
      </c>
      <c r="J196" s="202">
        <f>VLOOKUP(B196,[4]Weeks!$A$125:$X$161,7,FALSE)-VLOOKUP(B196,[4]Weeks!$A$165:$X$200,7,FALSE)+J236</f>
        <v>0.86999999999999567</v>
      </c>
      <c r="K196" s="202">
        <f>VLOOKUP(B196,[4]Weeks!$A$85:$X$121,7,FALSE)-VLOOKUP(B196,[4]Weeks!$A$125:$X$161,7,FALSE)+K236</f>
        <v>2.4079999999999977</v>
      </c>
      <c r="L196" s="202">
        <f>VLOOKUP(B196,[4]Weeks!$A$44:$X$81,7,FALSE)-VLOOKUP(B196,[4]Weeks!$A$85:$X$121,7,FALSE)+L236</f>
        <v>7.198000000000004</v>
      </c>
      <c r="M196" s="202">
        <f>VLOOKUP(B196,[4]Weeks!$A$3:$X$39,7,FALSE)-VLOOKUP(B196,[4]Weeks!$A$44:$X$81,7,FALSE)+M236</f>
        <v>0.75500000000000256</v>
      </c>
      <c r="N196" s="11">
        <f t="shared" si="43"/>
        <v>101.20643431635423</v>
      </c>
      <c r="O196" s="202">
        <f t="shared" si="42"/>
        <v>2.80775</v>
      </c>
      <c r="P196" s="41">
        <f>IF(ISNUMBER(VLOOKUP(B196,[4]CLOSURES!B:BI,6,FALSE)),TEXT(VLOOKUP(B196,[4]CLOSURES!B:BI,6,FALSE),"ddmmm"),IF(F196&lt;=0,0,IF(I196&lt;=0,0,IF(AND(F196&gt;0,O196&lt;=0),"&gt;52",IF(I196/O196&gt;52,"&gt;52", MAX(0,I196/O196-2))))))</f>
        <v>1.6288843407103206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f>'[5]Maj Pel Combined'!$F$11</f>
        <v>2.91</v>
      </c>
      <c r="D197" s="200">
        <f>F197-VLOOKUP(B197,[4]quotas!$B$85:$W$120,6,FALSE)</f>
        <v>15</v>
      </c>
      <c r="E197" s="200">
        <f>F197-C197</f>
        <v>204.7</v>
      </c>
      <c r="F197" s="201">
        <f>VLOOKUP(B197,[4]quotas!$B$46:$W$84,6,FALSE)</f>
        <v>207.60999999999999</v>
      </c>
      <c r="G197" s="202">
        <f>VLOOKUP(B197,[4]Cumulative!$A$56:$X$91,7,FALSE)+VLOOKUP(B237,[4]Cumulative!$A$56:$X$91,8,FALSE)</f>
        <v>188.71799996184561</v>
      </c>
      <c r="H197" s="151">
        <f>IF(AND(F197=0,G197&gt;0),"n/a",IF(F197=0,0,100*G197/F197))</f>
        <v>90.900245634528972</v>
      </c>
      <c r="I197" s="201">
        <f>IF(F197="*","*",F197-G197)</f>
        <v>18.892000038154379</v>
      </c>
      <c r="J197" s="202">
        <f>VLOOKUP(B197,[4]Weeks!$A$125:$X$161,7,FALSE)-VLOOKUP(B197,[4]Weeks!$A$165:$X$200,7,FALSE)+J237</f>
        <v>9.2700000057220961</v>
      </c>
      <c r="K197" s="202">
        <f>VLOOKUP(B197,[4]Weeks!$A$85:$X$121,7,FALSE)-VLOOKUP(B197,[4]Weeks!$A$125:$X$161,7,FALSE)+K237</f>
        <v>0.5409999999999684</v>
      </c>
      <c r="L197" s="202">
        <f>VLOOKUP(B197,[4]Weeks!$A$44:$X$81,7,FALSE)-VLOOKUP(B197,[4]Weeks!$A$85:$X$121,7,FALSE)+L237</f>
        <v>0.52299999618529114</v>
      </c>
      <c r="M197" s="202">
        <f>VLOOKUP(B197,[4]Weeks!$A$3:$X$39,7,FALSE)-VLOOKUP(B197,[4]Weeks!$A$44:$X$81,7,FALSE)+M237</f>
        <v>9.8780629020109814</v>
      </c>
      <c r="N197" s="11">
        <f>IF(C197="*","*",IF(C197&gt;0,M197/C197*100,"-"))</f>
        <v>339.45233340243919</v>
      </c>
      <c r="O197" s="202">
        <f>IF(C197="*","*",SUM(J197:M197)/4)</f>
        <v>5.0530157259795843</v>
      </c>
      <c r="P197" s="41">
        <f>IF(ISNUMBER(VLOOKUP(B197,[4]CLOSURES!B:BI,6,FALSE)),TEXT(VLOOKUP(B197,[4]CLOSURES!B:BI,6,FALSE),"ddmmm"),IF(F197&lt;=0,0,IF(I197&lt;=0,0,IF(AND(F197&gt;0,O197&lt;=0),"&gt;52",IF(I197/O197&gt;52,"&gt;52", MAX(0,I197/O197-2))))))</f>
        <v>1.7387574198558329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f>'[5]Maj Pel Combined'!$F$15</f>
        <v>0</v>
      </c>
      <c r="D198" s="200">
        <f>F198-VLOOKUP(B198,[4]quotas!$B$85:$W$120,6,FALSE)</f>
        <v>0</v>
      </c>
      <c r="E198" s="200">
        <f>F198-C198</f>
        <v>0</v>
      </c>
      <c r="F198" s="201">
        <f>VLOOKUP(B198,[4]quotas!$B$46:$W$84,6,FALSE)</f>
        <v>0</v>
      </c>
      <c r="G198" s="202">
        <f>VLOOKUP(B198,[4]Cumulative!$A$56:$X$91,7,FALSE)+VLOOKUP(B238,[4]Cumulative!$A$56:$X$91,8,FALSE)</f>
        <v>0</v>
      </c>
      <c r="H198" s="151">
        <f>IF(AND(F198=0,G198&gt;0),"n/a",IF(F198=0,0,100*G198/F198))</f>
        <v>0</v>
      </c>
      <c r="I198" s="201">
        <f>IF(F198="*","*",F198-G198)</f>
        <v>0</v>
      </c>
      <c r="J198" s="202">
        <f>VLOOKUP(B198,[4]Weeks!$A$125:$X$161,7,FALSE)-VLOOKUP(B198,[4]Weeks!$A$165:$X$200,7,FALSE)+J238</f>
        <v>0</v>
      </c>
      <c r="K198" s="202">
        <f>VLOOKUP(B198,[4]Weeks!$A$85:$X$121,7,FALSE)-VLOOKUP(B198,[4]Weeks!$A$125:$X$161,7,FALSE)+K238</f>
        <v>0</v>
      </c>
      <c r="L198" s="202">
        <f>VLOOKUP(B198,[4]Weeks!$A$44:$X$81,7,FALSE)-VLOOKUP(B198,[4]Weeks!$A$85:$X$121,7,FALSE)+L238</f>
        <v>0</v>
      </c>
      <c r="M198" s="202">
        <f>VLOOKUP(B198,[4]Weeks!$A$3:$X$39,7,FALSE)-VLOOKUP(B198,[4]Weeks!$A$44:$X$81,7,FALSE)+M238</f>
        <v>0</v>
      </c>
      <c r="N198" s="11" t="str">
        <f>IF(C198="*","*",IF(C198&gt;0,M198/C198*100,"-"))</f>
        <v>-</v>
      </c>
      <c r="O198" s="202">
        <f t="shared" si="42"/>
        <v>0</v>
      </c>
      <c r="P198" s="41" t="str">
        <f>IF(ISNUMBER(VLOOKUP(B198,[4]CLOSURES!B:BI,6,FALSE)),TEXT(VLOOKUP(B198,[4]CLOSURES!B:BI,6,FALSE),"ddmmm"),IF(F198&lt;=0,0,IF(I198&lt;=0,0,IF(AND(F198&gt;0,O198&lt;=0),"&gt;52",IF(I198/O198&gt;52,"&gt;52", MAX(0,I198/O198-2))))))</f>
        <v>01Jan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f>'[5]Maj Pel Combined'!$F$10</f>
        <v>95.792000000000002</v>
      </c>
      <c r="D199" s="200">
        <f>F199-VLOOKUP(B199,[4]quotas!$B$85:$W$120,6,FALSE)</f>
        <v>0</v>
      </c>
      <c r="E199" s="200">
        <f t="shared" si="36"/>
        <v>-73.099999999999994</v>
      </c>
      <c r="F199" s="201">
        <f>VLOOKUP(B199,[4]quotas!$B$46:$W$84,6,FALSE)</f>
        <v>22.692000000000007</v>
      </c>
      <c r="G199" s="202">
        <f>VLOOKUP(B199,[4]Cumulative!$A$56:$X$91,7,FALSE)+VLOOKUP(B239,[4]Cumulative!$A$56:$X$91,8,FALSE)+'[4]Box-NS tranfers'!B29</f>
        <v>4</v>
      </c>
      <c r="H199" s="151">
        <f t="shared" si="39"/>
        <v>17.627357659086897</v>
      </c>
      <c r="I199" s="201">
        <f>IF(F199="*","*",F199-G199)</f>
        <v>18.692000000000007</v>
      </c>
      <c r="J199" s="202">
        <f>VLOOKUP(B199,[4]Weeks!$A$125:$X$161,7,FALSE)-VLOOKUP(B199,[4]Weeks!$A$165:$X$200,7,FALSE)+J239</f>
        <v>0</v>
      </c>
      <c r="K199" s="202">
        <f>VLOOKUP(B199,[4]Weeks!$A$85:$X$121,7,FALSE)-VLOOKUP(B199,[4]Weeks!$A$125:$X$161,7,FALSE)+K239</f>
        <v>0</v>
      </c>
      <c r="L199" s="202">
        <f>VLOOKUP(B199,[4]Weeks!$A$44:$X$81,7,FALSE)-VLOOKUP(B199,[4]Weeks!$A$85:$X$121,7,FALSE)+L239</f>
        <v>-18.670000000000002</v>
      </c>
      <c r="M199" s="202">
        <f>VLOOKUP(B199,[4]Weeks!$A$3:$X$39,7,FALSE)-VLOOKUP(B199,[4]Weeks!$A$44:$X$81,7,FALSE)+M239</f>
        <v>0</v>
      </c>
      <c r="N199" s="11">
        <f t="shared" si="43"/>
        <v>0</v>
      </c>
      <c r="O199" s="202">
        <f t="shared" si="42"/>
        <v>-4.6675000000000004</v>
      </c>
      <c r="P199" s="41" t="str">
        <f>IF(ISNUMBER(VLOOKUP(B199,[4]CLOSURES!B:BI,6,FALSE)),TEXT(VLOOKUP(B199,[4]CLOSURES!B:BI,6,FALSE),"ddmmm"),IF(F199&lt;=0,0,IF(I199&lt;=0,0,IF(AND(F199&gt;0,O199&lt;=0),"&gt;52",IF(I199/O199&gt;52,"&gt;52", MAX(0,I199/O199-2))))))</f>
        <v>&gt;52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f>'[5]Maj Pel Combined'!$F$12</f>
        <v>167.77799999999999</v>
      </c>
      <c r="D200" s="200">
        <f>F200-VLOOKUP(B200,[4]quotas!$B$85:$W$120,6,FALSE)</f>
        <v>0</v>
      </c>
      <c r="E200" s="200">
        <f>F200-C200</f>
        <v>96.9</v>
      </c>
      <c r="F200" s="201">
        <f>VLOOKUP(B200,[4]quotas!$B$46:$W$84,6,FALSE)</f>
        <v>264.678</v>
      </c>
      <c r="G200" s="202">
        <f>VLOOKUP(B200,[4]Cumulative!$A$56:$X$91,7,FALSE)+VLOOKUP(B240,[4]Cumulative!$A$56:$X$91,8,FALSE)+'[4]Box-NS tranfers'!B30</f>
        <v>237.30156078529359</v>
      </c>
      <c r="H200" s="151">
        <f t="shared" si="39"/>
        <v>89.656700135747428</v>
      </c>
      <c r="I200" s="201">
        <f>IF(F200="*","*",F200-G200)</f>
        <v>27.376439214706409</v>
      </c>
      <c r="J200" s="202">
        <f>VLOOKUP(B200,[4]Weeks!$A$125:$X$161,7,FALSE)-VLOOKUP(B200,[4]Weeks!$A$165:$X$200,7,FALSE)+J240</f>
        <v>-237.33944155883785</v>
      </c>
      <c r="K200" s="202">
        <f>VLOOKUP(B200,[4]Weeks!$A$85:$X$121,7,FALSE)-VLOOKUP(B200,[4]Weeks!$A$125:$X$161,7,FALSE)+K240</f>
        <v>7.0180000457763612</v>
      </c>
      <c r="L200" s="202">
        <f>VLOOKUP(B200,[4]Weeks!$A$44:$X$81,7,FALSE)-VLOOKUP(B200,[4]Weeks!$A$85:$X$121,7,FALSE)+L240</f>
        <v>1.9679999790191687</v>
      </c>
      <c r="M200" s="202">
        <f>VLOOKUP(B200,[4]Weeks!$A$3:$X$39,7,FALSE)-VLOOKUP(B200,[4]Weeks!$A$44:$X$81,7,FALSE)+M240</f>
        <v>3.3000000000001251E-2</v>
      </c>
      <c r="N200" s="11">
        <f>IF(C200="*","*",IF(C200&gt;0,M200/C200*100,"-"))</f>
        <v>1.9668848120731712E-2</v>
      </c>
      <c r="O200" s="202">
        <f>IF(C200="*","*",SUM(J200:M200)/4)</f>
        <v>-57.080110383510572</v>
      </c>
      <c r="P200" s="41" t="str">
        <f>IF(ISNUMBER(VLOOKUP(B200,[4]CLOSURES!B:BI,6,FALSE)),TEXT(VLOOKUP(B200,[4]CLOSURES!B:BI,6,FALSE),"ddmmm"),IF(F200&lt;=0,0,IF(I200&lt;=0,0,IF(AND(F200&gt;0,O200&lt;=0),"&gt;52",IF(I200/O200&gt;52,"&gt;52", MAX(0,I200/O200-2))))))</f>
        <v>&gt;52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f>SUM(C176:C185)+SUM(C188:C200)</f>
        <v>524.78</v>
      </c>
      <c r="D201" s="202">
        <f>SUM(D176:D185)+SUM(D188:D200)</f>
        <v>54.999999999999993</v>
      </c>
      <c r="E201" s="200">
        <f t="shared" si="36"/>
        <v>276.39999999999998</v>
      </c>
      <c r="F201" s="201">
        <f>SUM(F176:F185)+SUM(F188:F200)</f>
        <v>801.18</v>
      </c>
      <c r="G201" s="202">
        <f>SUM(G176:G185)+SUM(G188:G200)</f>
        <v>606.93606058498472</v>
      </c>
      <c r="H201" s="151">
        <f t="shared" si="39"/>
        <v>75.755268552008886</v>
      </c>
      <c r="I201" s="201">
        <f>IF(F201="*","*",F201-G201)</f>
        <v>194.24393941501523</v>
      </c>
      <c r="J201" s="202">
        <f>SUM(J176:J185)+SUM(J188:J200)</f>
        <v>-226.78744155693045</v>
      </c>
      <c r="K201" s="202">
        <f>SUM(K176:K185)+SUM(K188:K200)</f>
        <v>10.068000045776328</v>
      </c>
      <c r="L201" s="202">
        <f>SUM(L176:L185)+SUM(L188:L200)</f>
        <v>-49.794000024795537</v>
      </c>
      <c r="M201" s="202">
        <f>SUM(M176:M185)+SUM(M188:M200)</f>
        <v>12.60606290201099</v>
      </c>
      <c r="N201" s="11">
        <f>IF(C201="*","*",IF(C201&gt;0,M201/C201*100,"-"))</f>
        <v>2.402161458518044</v>
      </c>
      <c r="O201" s="202">
        <f>IF(C201="*","*",SUM(J201:M201)/4)</f>
        <v>-63.476844658484666</v>
      </c>
      <c r="P201" s="41" t="str">
        <f>IF(ISNUMBER(VLOOKUP(B201,[4]CLOSURES!B:BI,6,FALSE)),TEXT(VLOOKUP(B201,[4]CLOSURES!B:BI,6,FALSE),"ddmmm"),IF(F201&lt;=0,0,IF(I201&lt;=0,0,IF(AND(F201&gt;0,O201&lt;=0),"&gt;52",IF(I201/O201&gt;52,"&gt;52", MAX(0,I201/O201-2))))))</f>
        <v>&gt;52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f>'[4]Pel Non PO'!C106</f>
        <v>104.2</v>
      </c>
      <c r="D203" s="200">
        <f>'[4]Pel Non PO'!D106</f>
        <v>0</v>
      </c>
      <c r="E203" s="200">
        <f t="shared" si="36"/>
        <v>-100</v>
      </c>
      <c r="F203" s="201">
        <f>'[4]Pel Non PO'!F106</f>
        <v>4.1999999999999993</v>
      </c>
      <c r="G203" s="202">
        <f>'[4]Pel Non PO'!G106</f>
        <v>0</v>
      </c>
      <c r="H203" s="151">
        <f t="shared" si="39"/>
        <v>0</v>
      </c>
      <c r="I203" s="201">
        <f t="shared" si="40"/>
        <v>4.1999999999999993</v>
      </c>
      <c r="J203" s="202">
        <f>'[4]Pel Non PO'!J106</f>
        <v>0</v>
      </c>
      <c r="K203" s="202">
        <f>'[4]Pel Non PO'!K106</f>
        <v>0</v>
      </c>
      <c r="L203" s="202">
        <f>'[4]Pel Non PO'!L106</f>
        <v>0</v>
      </c>
      <c r="M203" s="202">
        <f>'[4]Pel Non PO'!M106</f>
        <v>0</v>
      </c>
      <c r="N203" s="11"/>
      <c r="O203" s="202"/>
      <c r="P203" s="41" t="str">
        <f>IF(ISNUMBER(VLOOKUP(B203,[4]CLOSURES!B:BI,6,FALSE)),TEXT(VLOOKUP(B203,[4]CLOSURES!B:BI,6,FALSE),"ddmmm"),IF(F203&lt;=0,0,IF(I203&lt;=0,0,IF(AND(F203&gt;0,O203&lt;=0),"&gt;52",IF(I203/O203&gt;52,"&gt;52", MAX(0,I203/O203-2))))))</f>
        <v>01Jan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f>'[5]Maj Pel Combined'!$F$33</f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f>IF(C204="*","*",SUM(J204:M204)/4)</f>
        <v>0</v>
      </c>
      <c r="P204" s="41" t="str">
        <f>IF(ISNUMBER(VLOOKUP(B204,[4]CLOSURES!B:BI,6,FALSE)),TEXT(VLOOKUP(B204,[4]CLOSURES!B:BI,6,FALSE),"ddmmm"),IF(F204&lt;=0,0,IF(I204&lt;=0,0,IF(AND(F204&gt;0,O204&lt;=0),"&gt;52",IF(I204/O204&gt;52,"&gt;52", MAX(0,I204/O204-2))))))</f>
        <v>01Jan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f>'[4]Pel Non PO'!C113</f>
        <v>1147.393</v>
      </c>
      <c r="D205" s="200">
        <f>'[4]Pel Non PO'!D113</f>
        <v>-40</v>
      </c>
      <c r="E205" s="200">
        <f t="shared" si="36"/>
        <v>-14.5</v>
      </c>
      <c r="F205" s="201">
        <f>'[4]Pel Non PO'!F113</f>
        <v>1132.893</v>
      </c>
      <c r="G205" s="202">
        <f>'[4]Pel Non PO'!G113-'[4]Special Conditions stocks'!C147</f>
        <v>973.59071999736375</v>
      </c>
      <c r="H205" s="151">
        <f t="shared" si="39"/>
        <v>85.938453145827879</v>
      </c>
      <c r="I205" s="201">
        <f t="shared" si="40"/>
        <v>159.30228000263628</v>
      </c>
      <c r="J205" s="202">
        <f>'[4]Pel Non PO'!J113</f>
        <v>7.8738399999737716</v>
      </c>
      <c r="K205" s="202">
        <f>'[4]Pel Non PO'!K113</f>
        <v>3.8718023690879297</v>
      </c>
      <c r="L205" s="202">
        <f>'[4]Pel Non PO'!L113</f>
        <v>3.2899999999999494</v>
      </c>
      <c r="M205" s="202">
        <f>'[4]Pel Non PO'!M113</f>
        <v>2.3613500000126892</v>
      </c>
      <c r="N205" s="11"/>
      <c r="O205" s="202"/>
      <c r="P205" s="41" t="str">
        <f>IF(ISNUMBER(VLOOKUP(B205,[4]CLOSURES!B:BI,6,FALSE)),TEXT(VLOOKUP(B205,[4]CLOSURES!B:BI,6,FALSE),"ddmmm"),IF(F205&lt;=0,0,IF(I205&lt;=0,0,IF(AND(F205&gt;0,O205&lt;=0),"&gt;52",IF(I205/O205&gt;52,"&gt;52", MAX(0,I205/O205-2))))))</f>
        <v>&gt;52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f>'[5]Maj Pel Combined'!$F$41</f>
        <v>0</v>
      </c>
      <c r="D207" s="200"/>
      <c r="E207" s="200">
        <f t="shared" si="36"/>
        <v>0</v>
      </c>
      <c r="F207" s="201">
        <f>C207</f>
        <v>0</v>
      </c>
      <c r="G207" s="202"/>
      <c r="H207" s="151"/>
      <c r="I207" s="201">
        <f>C207</f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f>C201+SUM(C203:C207)</f>
        <v>1776.373</v>
      </c>
      <c r="D208" s="131">
        <f>D201+SUM(D203:D207)</f>
        <v>14.999999999999993</v>
      </c>
      <c r="E208" s="135">
        <f>E201+SUM(E203:E207)</f>
        <v>161.89999999999998</v>
      </c>
      <c r="F208" s="132">
        <f>F201+SUM(F203:F206)</f>
        <v>1938.2730000000001</v>
      </c>
      <c r="G208" s="131">
        <f>G201+SUM(G203:G207)</f>
        <v>1580.5267805823485</v>
      </c>
      <c r="H208" s="156">
        <f t="shared" si="39"/>
        <v>81.543042728364298</v>
      </c>
      <c r="I208" s="132">
        <f t="shared" si="40"/>
        <v>357.74621941765167</v>
      </c>
      <c r="J208" s="131">
        <f>J201+SUM(J203:J205)</f>
        <v>-218.91360155695668</v>
      </c>
      <c r="K208" s="131">
        <f>K201+SUM(K203:K205)</f>
        <v>13.939802414864257</v>
      </c>
      <c r="L208" s="131">
        <f>L201+SUM(L203:L205)</f>
        <v>-46.504000024795587</v>
      </c>
      <c r="M208" s="131">
        <f>M201+SUM(M203:M205)</f>
        <v>14.967412902023678</v>
      </c>
      <c r="N208" s="53">
        <f>IF(C208="*","*",IF(C208&gt;0,M208/C208*100,"-"))</f>
        <v>0.84258277411465266</v>
      </c>
      <c r="O208" s="131">
        <f>IF(C208="*","*",SUM(J208:M208)/4)</f>
        <v>-59.127596566216084</v>
      </c>
      <c r="P208" s="49" t="str">
        <f>IF(ISNUMBER(VLOOKUP(B208,[4]CLOSURES!B:BI,6,FALSE)),TEXT(VLOOKUP(B208,[4]CLOSURES!B:BI,6,FALSE),"ddmmm"),IF(F208&lt;=0,0,IF(I208&lt;=0,0,IF(AND(F208&gt;0,O208&lt;=0),"&gt;52",IF(I208/O208&gt;52,"&gt;52", MAX(0,I208/O208-2))))))</f>
        <v>&gt;52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f>$J7</f>
        <v>44895</v>
      </c>
      <c r="K213" s="33">
        <f>$K7</f>
        <v>44902</v>
      </c>
      <c r="L213" s="33">
        <f>$L7</f>
        <v>44909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f>'[5]Maj Pel Combined'!$G$23</f>
        <v>51.72</v>
      </c>
      <c r="D216" s="200">
        <f>F216-VLOOKUP(B216,[4]quotas!$B$85:$W$120,7,FALSE)</f>
        <v>0</v>
      </c>
      <c r="E216" s="200">
        <f t="shared" ref="E216:E245" si="44">F216-C216</f>
        <v>0</v>
      </c>
      <c r="F216" s="201">
        <f>VLOOKUP(B216,[4]quotas!$B$46:$W$84,7,FALSE)</f>
        <v>51.72</v>
      </c>
      <c r="G216" s="202">
        <f>VLOOKUP(B216,[4]Cumulative!$A$56:$X$91,8,FALSE)</f>
        <v>1.9</v>
      </c>
      <c r="H216" s="151">
        <f>IF(AND(F216=0,G216&gt;0),"n/a",IF(F216=0,0,100*G216/F216))</f>
        <v>3.6736272235112142</v>
      </c>
      <c r="I216" s="201">
        <f>IF(F216="*","*",F216-G216)</f>
        <v>49.82</v>
      </c>
      <c r="J216" s="202">
        <f>VLOOKUP(B216,[4]Weeks!$A$125:$X$161,8,FALSE)-VLOOKUP(B216,[4]Weeks!$A$165:$X$200,8,FALSE)</f>
        <v>0</v>
      </c>
      <c r="K216" s="202">
        <f>VLOOKUP(B216,[4]Weeks!$A$85:$X$121,8,FALSE)-VLOOKUP(B216,[4]Weeks!$A$125:$X$161,8,FALSE)</f>
        <v>0</v>
      </c>
      <c r="L216" s="202">
        <f>VLOOKUP(B216,[4]Weeks!$A$44:$X$81,8,FALSE)-VLOOKUP(B216,[4]Weeks!$A$85:$X$121,8,FALSE)</f>
        <v>0</v>
      </c>
      <c r="M216" s="202">
        <f>VLOOKUP(B216,[4]Weeks!$A$3:$X$39,8,FALSE)-VLOOKUP(B216,[4]Weeks!$A$44:$X$81,8,FALSE)</f>
        <v>0</v>
      </c>
      <c r="N216" s="11">
        <f t="shared" ref="N216:N225" si="45">IF(C216="*","*",IF(C216&gt;0,M216/C216*100,"-"))</f>
        <v>0</v>
      </c>
      <c r="O216" s="202">
        <f t="shared" ref="O216:O225" si="46">IF(C216="*","*",SUM(J216:M216)/4)</f>
        <v>0</v>
      </c>
      <c r="P216" s="41" t="str">
        <f>IF(ISNUMBER(VLOOKUP(B216,[4]CLOSURES!B:BI,7,FALSE)),TEXT(VLOOKUP(B216,[4]CLOSURES!B:BI,7,FALSE),"ddmmm"),IF(F216&lt;=0,0,IF(I216&lt;=0,0,IF(AND(F216&gt;0,O216&lt;=0),"&gt;52",IF(I216/O216&gt;52,"&gt;52", MAX(0,I216/O216-2))))))</f>
        <v>&gt;52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f>'[5]Maj Pel Combined'!$G$16</f>
        <v>12.337999999999999</v>
      </c>
      <c r="D217" s="200">
        <f>F217-VLOOKUP(B217,[4]quotas!$B$85:$W$120,7,FALSE)</f>
        <v>0</v>
      </c>
      <c r="E217" s="200">
        <f t="shared" si="44"/>
        <v>0</v>
      </c>
      <c r="F217" s="201">
        <f>VLOOKUP(B217,[4]quotas!$B$46:$W$84,7,FALSE)</f>
        <v>12.337999999999999</v>
      </c>
      <c r="G217" s="202">
        <f>VLOOKUP(B217,[4]Cumulative!$A$56:$X$91,8,FALSE)</f>
        <v>3.21</v>
      </c>
      <c r="H217" s="151">
        <f t="shared" ref="H217:H248" si="47">IF(AND(F217=0,G217&gt;0),"n/a",IF(F217=0,0,100*G217/F217))</f>
        <v>26.01718268763171</v>
      </c>
      <c r="I217" s="201">
        <f t="shared" ref="I217:I248" si="48">IF(F217="*","*",F217-G217)</f>
        <v>9.1280000000000001</v>
      </c>
      <c r="J217" s="202">
        <f>VLOOKUP(B217,[4]Weeks!$A$125:$X$161,8,FALSE)-VLOOKUP(B217,[4]Weeks!$A$165:$X$200,8,FALSE)</f>
        <v>0</v>
      </c>
      <c r="K217" s="202">
        <f>VLOOKUP(B217,[4]Weeks!$A$85:$X$121,8,FALSE)-VLOOKUP(B217,[4]Weeks!$A$125:$X$161,8,FALSE)</f>
        <v>0</v>
      </c>
      <c r="L217" s="202">
        <f>VLOOKUP(B217,[4]Weeks!$A$44:$X$81,8,FALSE)-VLOOKUP(B217,[4]Weeks!$A$85:$X$121,8,FALSE)</f>
        <v>0</v>
      </c>
      <c r="M217" s="202">
        <f>VLOOKUP(B217,[4]Weeks!$A$3:$X$39,8,FALSE)-VLOOKUP(B217,[4]Weeks!$A$44:$X$81,8,FALSE)</f>
        <v>0</v>
      </c>
      <c r="N217" s="11">
        <f t="shared" si="45"/>
        <v>0</v>
      </c>
      <c r="O217" s="202">
        <f t="shared" si="46"/>
        <v>0</v>
      </c>
      <c r="P217" s="41" t="str">
        <f>IF(ISNUMBER(VLOOKUP(B217,[4]CLOSURES!B:BI,7,FALSE)),TEXT(VLOOKUP(B217,[4]CLOSURES!B:BI,7,FALSE),"ddmmm"),IF(F217&lt;=0,0,IF(I217&lt;=0,0,IF(AND(F217&gt;0,O217&lt;=0),"&gt;52",IF(I217/O217&gt;52,"&gt;52", MAX(0,I217/O217-2))))))</f>
        <v>&gt;52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f>'[5]Maj Pel Combined'!$G$20</f>
        <v>4.1769999999999996</v>
      </c>
      <c r="D218" s="200">
        <f>F218-VLOOKUP(B218,[4]quotas!$B$85:$W$120,7,FALSE)</f>
        <v>0</v>
      </c>
      <c r="E218" s="200">
        <f t="shared" si="44"/>
        <v>0</v>
      </c>
      <c r="F218" s="201">
        <f>VLOOKUP(B218,[4]quotas!$B$46:$W$84,7,FALSE)</f>
        <v>4.1769999999999996</v>
      </c>
      <c r="G218" s="202">
        <f>VLOOKUP(B218,[4]Cumulative!$A$56:$X$91,8,FALSE)</f>
        <v>1.1599999999999999</v>
      </c>
      <c r="H218" s="151">
        <f t="shared" si="47"/>
        <v>27.771127603543214</v>
      </c>
      <c r="I218" s="201">
        <f t="shared" si="48"/>
        <v>3.0169999999999995</v>
      </c>
      <c r="J218" s="202">
        <f>VLOOKUP(B218,[4]Weeks!$A$125:$X$161,8,FALSE)-VLOOKUP(B218,[4]Weeks!$A$165:$X$200,8,FALSE)</f>
        <v>0</v>
      </c>
      <c r="K218" s="202">
        <f>VLOOKUP(B218,[4]Weeks!$A$85:$X$121,8,FALSE)-VLOOKUP(B218,[4]Weeks!$A$125:$X$161,8,FALSE)</f>
        <v>0</v>
      </c>
      <c r="L218" s="202">
        <f>VLOOKUP(B218,[4]Weeks!$A$44:$X$81,8,FALSE)-VLOOKUP(B218,[4]Weeks!$A$85:$X$121,8,FALSE)</f>
        <v>0</v>
      </c>
      <c r="M218" s="202">
        <f>VLOOKUP(B218,[4]Weeks!$A$3:$X$39,8,FALSE)-VLOOKUP(B218,[4]Weeks!$A$44:$X$81,8,FALSE)</f>
        <v>0</v>
      </c>
      <c r="N218" s="11">
        <f t="shared" si="45"/>
        <v>0</v>
      </c>
      <c r="O218" s="202">
        <f t="shared" si="46"/>
        <v>0</v>
      </c>
      <c r="P218" s="41" t="str">
        <f>IF(ISNUMBER(VLOOKUP(B218,[4]CLOSURES!B:BI,7,FALSE)),TEXT(VLOOKUP(B218,[4]CLOSURES!B:BI,7,FALSE),"ddmmm"),IF(F218&lt;=0,0,IF(I218&lt;=0,0,IF(AND(F218&gt;0,O218&lt;=0),"&gt;52",IF(I218/O218&gt;52,"&gt;52", MAX(0,I218/O218-2))))))</f>
        <v>&gt;52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f>'[5]Maj Pel Combined'!$G$24</f>
        <v>24.875</v>
      </c>
      <c r="D219" s="200">
        <f>F219-VLOOKUP(B219,[4]quotas!$B$85:$W$120,7,FALSE)</f>
        <v>0</v>
      </c>
      <c r="E219" s="200">
        <f t="shared" si="44"/>
        <v>0</v>
      </c>
      <c r="F219" s="201">
        <f>VLOOKUP(B219,[4]quotas!$B$46:$W$84,7,FALSE)</f>
        <v>24.875</v>
      </c>
      <c r="G219" s="202">
        <f>VLOOKUP(B219,[4]Cumulative!$A$56:$X$91,8,FALSE)</f>
        <v>0</v>
      </c>
      <c r="H219" s="151">
        <f t="shared" si="47"/>
        <v>0</v>
      </c>
      <c r="I219" s="201">
        <f t="shared" si="48"/>
        <v>24.875</v>
      </c>
      <c r="J219" s="202">
        <f>IF(C219="*","*",[4]Weeks!H129-[4]Weeks!H169)</f>
        <v>0.41199999618530114</v>
      </c>
      <c r="K219" s="202">
        <f>IF(C219="*","*",[4]Weeks!H89-[4]Weeks!H129)</f>
        <v>0.10000000000000142</v>
      </c>
      <c r="L219" s="202">
        <f>VLOOKUP(B219,[4]Weeks!$A$44:$X$81,8,FALSE)-VLOOKUP(B219,[4]Weeks!$A$85:$X$121,8,FALSE)</f>
        <v>0</v>
      </c>
      <c r="M219" s="202">
        <f>VLOOKUP(B219,[4]Weeks!$A$3:$X$39,8,FALSE)-VLOOKUP(B219,[4]Weeks!$A$44:$X$81,8,FALSE)</f>
        <v>0</v>
      </c>
      <c r="N219" s="11">
        <f t="shared" si="45"/>
        <v>0</v>
      </c>
      <c r="O219" s="202">
        <f t="shared" si="46"/>
        <v>0.12799999904632564</v>
      </c>
      <c r="P219" s="41" t="str">
        <f>IF(ISNUMBER(VLOOKUP(B219,[4]CLOSURES!B:BI,7,FALSE)),TEXT(VLOOKUP(B219,[4]CLOSURES!B:BI,7,FALSE),"ddmmm"),IF(F219&lt;=0,0,IF(I219&lt;=0,0,IF(AND(F219&gt;0,O219&lt;=0),"&gt;52",IF(I219/O219&gt;52,"&gt;52", MAX(0,I219/O219-2))))))</f>
        <v>&gt;52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f>'[5]Maj Pel Combined'!$G$17</f>
        <v>0.3</v>
      </c>
      <c r="D220" s="200">
        <f>F220-VLOOKUP(B220,[4]quotas!$B$85:$W$120,7,FALSE)</f>
        <v>0</v>
      </c>
      <c r="E220" s="200">
        <f>F220-C220</f>
        <v>0</v>
      </c>
      <c r="F220" s="201">
        <f>VLOOKUP(B220,[4]quotas!$B$46:$W$84,7,FALSE)</f>
        <v>0.3</v>
      </c>
      <c r="G220" s="202">
        <f>VLOOKUP(B220,[4]Cumulative!$A$56:$X$91,8,FALSE)</f>
        <v>40.289999935150156</v>
      </c>
      <c r="H220" s="151">
        <f>IF(AND(F220=0,G220&gt;0),"n/a",IF(F220=0,0,100*G220/F220))</f>
        <v>13429.999978383386</v>
      </c>
      <c r="I220" s="201">
        <f>IF(F220="*","*",F220-G220)</f>
        <v>-39.989999935150159</v>
      </c>
      <c r="J220" s="202">
        <f>IF(C220="*","*",[4]Weeks!H130-[4]Weeks!H170)</f>
        <v>0</v>
      </c>
      <c r="K220" s="202">
        <f>IF(C220="*","*",[4]Weeks!H90-[4]Weeks!H130)</f>
        <v>0</v>
      </c>
      <c r="L220" s="202">
        <f>VLOOKUP(B220,[4]Weeks!$A$44:$X$81,8,FALSE)-VLOOKUP(B220,[4]Weeks!$A$85:$X$121,8,FALSE)</f>
        <v>0.4269999999999925</v>
      </c>
      <c r="M220" s="202">
        <f>VLOOKUP(B220,[4]Weeks!$A$3:$X$39,8,FALSE)-VLOOKUP(B220,[4]Weeks!$A$44:$X$81,8,FALSE)</f>
        <v>1.9400000000000048</v>
      </c>
      <c r="N220" s="11">
        <f>IF(C220="*","*",IF(C220&gt;0,M220/C220*100,"-"))</f>
        <v>646.66666666666833</v>
      </c>
      <c r="O220" s="202">
        <f t="shared" si="46"/>
        <v>0.59174999999999933</v>
      </c>
      <c r="P220" s="41" t="str">
        <f>IF(ISNUMBER(VLOOKUP(B220,[4]CLOSURES!B:BI,7,FALSE)),TEXT(VLOOKUP(B220,[4]CLOSURES!B:BI,7,FALSE),"ddmmm"),IF(F220&lt;=0,0,IF(I220&lt;=0,0,IF(AND(F220&gt;0,O220&lt;=0),"&gt;52",IF(I220/O220&gt;52,"&gt;52", MAX(0,I220/O220-2))))))</f>
        <v>01Jan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f>'[5]Maj Pel Combined'!$G$25</f>
        <v>0</v>
      </c>
      <c r="D221" s="200">
        <f>F221-VLOOKUP(B221,[4]quotas!$B$85:$W$120,7,FALSE)</f>
        <v>0</v>
      </c>
      <c r="E221" s="200">
        <f t="shared" si="44"/>
        <v>0</v>
      </c>
      <c r="F221" s="201">
        <f>VLOOKUP(B221,[4]quotas!$B$46:$W$84,7,FALSE)</f>
        <v>0</v>
      </c>
      <c r="G221" s="202">
        <f>VLOOKUP(B221,[4]Cumulative!$A$56:$X$91,8,FALSE)</f>
        <v>0.08</v>
      </c>
      <c r="H221" s="151" t="str">
        <f t="shared" si="47"/>
        <v>n/a</v>
      </c>
      <c r="I221" s="201">
        <f t="shared" si="48"/>
        <v>-0.08</v>
      </c>
      <c r="J221" s="202">
        <f>VLOOKUP(B221,[4]Weeks!$A$125:$X$161,8,FALSE)-VLOOKUP(B221,[4]Weeks!$A$165:$X$200,8,FALSE)</f>
        <v>0</v>
      </c>
      <c r="K221" s="202">
        <f>VLOOKUP(B221,[4]Weeks!$A$85:$X$121,8,FALSE)-VLOOKUP(B221,[4]Weeks!$A$125:$X$161,8,FALSE)</f>
        <v>0</v>
      </c>
      <c r="L221" s="202">
        <f>VLOOKUP(B221,[4]Weeks!$A$44:$X$81,8,FALSE)-VLOOKUP(B221,[4]Weeks!$A$85:$X$121,8,FALSE)</f>
        <v>0</v>
      </c>
      <c r="M221" s="202">
        <f>VLOOKUP(B221,[4]Weeks!$A$3:$X$39,8,FALSE)-VLOOKUP(B221,[4]Weeks!$A$44:$X$81,8,FALSE)</f>
        <v>0</v>
      </c>
      <c r="N221" s="11" t="str">
        <f t="shared" si="45"/>
        <v>-</v>
      </c>
      <c r="O221" s="202">
        <f t="shared" si="46"/>
        <v>0</v>
      </c>
      <c r="P221" s="41" t="str">
        <f>IF(ISNUMBER(VLOOKUP(B221,[4]CLOSURES!B:BI,7,FALSE)),TEXT(VLOOKUP(B221,[4]CLOSURES!B:BI,7,FALSE),"ddmmm"),IF(F221&lt;=0,0,IF(I221&lt;=0,0,IF(AND(F221&gt;0,O221&lt;=0),"&gt;52",IF(I221/O221&gt;52,"&gt;52", MAX(0,I221/O221-2))))))</f>
        <v>01Jan</v>
      </c>
      <c r="R221" s="153"/>
    </row>
    <row r="222" spans="1:18" s="158" customFormat="1" ht="11.25" hidden="1" customHeight="1" x14ac:dyDescent="0.3">
      <c r="B222" s="40" t="s">
        <v>69</v>
      </c>
      <c r="C222" s="130">
        <f>'[5]Maj Pel Combined'!$G$22</f>
        <v>1.9</v>
      </c>
      <c r="D222" s="200">
        <f>F222-VLOOKUP(B222,[4]quotas!$B$85:$W$120,7,FALSE)</f>
        <v>0</v>
      </c>
      <c r="E222" s="200">
        <f t="shared" si="44"/>
        <v>0</v>
      </c>
      <c r="F222" s="201">
        <f>VLOOKUP(B222,[4]quotas!$B$46:$W$84,7,FALSE)</f>
        <v>1.9</v>
      </c>
      <c r="G222" s="202">
        <f>VLOOKUP(B222,[4]Cumulative!$A$56:$X$91,8,FALSE)</f>
        <v>0.08</v>
      </c>
      <c r="H222" s="151">
        <f t="shared" si="47"/>
        <v>4.2105263157894735</v>
      </c>
      <c r="I222" s="201">
        <f t="shared" si="48"/>
        <v>1.8199999999999998</v>
      </c>
      <c r="J222" s="202">
        <f>VLOOKUP(B222,[4]Weeks!$A$125:$X$161,8,FALSE)-VLOOKUP(B222,[4]Weeks!$A$165:$X$200,8,FALSE)</f>
        <v>0</v>
      </c>
      <c r="K222" s="202">
        <f>VLOOKUP(B222,[4]Weeks!$A$85:$X$121,8,FALSE)-VLOOKUP(B222,[4]Weeks!$A$125:$X$161,8,FALSE)</f>
        <v>0</v>
      </c>
      <c r="L222" s="202">
        <f>VLOOKUP(B222,[4]Weeks!$A$44:$X$81,8,FALSE)-VLOOKUP(B222,[4]Weeks!$A$85:$X$121,8,FALSE)</f>
        <v>0</v>
      </c>
      <c r="M222" s="202">
        <f>VLOOKUP(B222,[4]Weeks!$A$3:$X$39,8,FALSE)-VLOOKUP(B222,[4]Weeks!$A$44:$X$81,8,FALSE)</f>
        <v>0</v>
      </c>
      <c r="N222" s="11">
        <f t="shared" si="45"/>
        <v>0</v>
      </c>
      <c r="O222" s="202">
        <f t="shared" si="46"/>
        <v>0</v>
      </c>
      <c r="P222" s="41" t="str">
        <f>IF(ISNUMBER(VLOOKUP(B222,[4]CLOSURES!B:BI,7,FALSE)),TEXT(VLOOKUP(B222,[4]CLOSURES!B:BI,7,FALSE),"ddmmm"),IF(F222&lt;=0,0,IF(I222&lt;=0,0,IF(AND(F222&gt;0,O222&lt;=0),"&gt;52",IF(I222/O222&gt;52,"&gt;52", MAX(0,I222/O222-2))))))</f>
        <v>01Jan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f>'[5]Maj Pel Combined'!$G$21</f>
        <v>0.1</v>
      </c>
      <c r="D223" s="200">
        <f>F223-VLOOKUP(B223,[4]quotas!$B$85:$W$120,7,FALSE)</f>
        <v>0</v>
      </c>
      <c r="E223" s="200">
        <f t="shared" si="44"/>
        <v>0</v>
      </c>
      <c r="F223" s="201">
        <f>VLOOKUP(B223,[4]quotas!$B$46:$W$84,7,FALSE)</f>
        <v>0.1</v>
      </c>
      <c r="G223" s="202">
        <f>VLOOKUP(B223,[4]Cumulative!$A$56:$X$91,8,FALSE)</f>
        <v>0</v>
      </c>
      <c r="H223" s="151">
        <f t="shared" si="47"/>
        <v>0</v>
      </c>
      <c r="I223" s="201">
        <f t="shared" si="48"/>
        <v>0.1</v>
      </c>
      <c r="J223" s="202">
        <f>VLOOKUP(B223,[4]Weeks!$A$125:$X$161,8,FALSE)-VLOOKUP(B223,[4]Weeks!$A$165:$X$200,8,FALSE)</f>
        <v>0</v>
      </c>
      <c r="K223" s="202">
        <f>VLOOKUP(B223,[4]Weeks!$A$85:$X$121,8,FALSE)-VLOOKUP(B223,[4]Weeks!$A$125:$X$161,8,FALSE)</f>
        <v>0</v>
      </c>
      <c r="L223" s="202">
        <f>VLOOKUP(B223,[4]Weeks!$A$44:$X$81,8,FALSE)-VLOOKUP(B223,[4]Weeks!$A$85:$X$121,8,FALSE)</f>
        <v>0</v>
      </c>
      <c r="M223" s="202">
        <f>VLOOKUP(B223,[4]Weeks!$A$3:$X$39,8,FALSE)-VLOOKUP(B223,[4]Weeks!$A$44:$X$81,8,FALSE)</f>
        <v>0</v>
      </c>
      <c r="N223" s="11">
        <f t="shared" si="45"/>
        <v>0</v>
      </c>
      <c r="O223" s="202">
        <f t="shared" si="46"/>
        <v>0</v>
      </c>
      <c r="P223" s="41" t="str">
        <f>IF(ISNUMBER(VLOOKUP(B223,[4]CLOSURES!B:BI,7,FALSE)),TEXT(VLOOKUP(B223,[4]CLOSURES!B:BI,7,FALSE),"ddmmm"),IF(F223&lt;=0,0,IF(I223&lt;=0,0,IF(AND(F223&gt;0,O223&lt;=0),"&gt;52",IF(I223/O223&gt;52,"&gt;52", MAX(0,I223/O223-2))))))</f>
        <v>01Jan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f>'[5]Maj Pel Combined'!$G$18</f>
        <v>46.1</v>
      </c>
      <c r="D224" s="200">
        <f>F224-VLOOKUP(B224,[4]quotas!$B$85:$W$120,7,FALSE)</f>
        <v>0</v>
      </c>
      <c r="E224" s="200">
        <f t="shared" si="44"/>
        <v>0</v>
      </c>
      <c r="F224" s="201">
        <f>VLOOKUP(B224,[4]quotas!$B$46:$W$84,7,FALSE)</f>
        <v>46.1</v>
      </c>
      <c r="G224" s="202">
        <f>VLOOKUP(B224,[4]Cumulative!$A$56:$X$91,8,FALSE)</f>
        <v>0</v>
      </c>
      <c r="H224" s="151">
        <f t="shared" si="47"/>
        <v>0</v>
      </c>
      <c r="I224" s="201">
        <f t="shared" si="48"/>
        <v>46.1</v>
      </c>
      <c r="J224" s="202">
        <f>VLOOKUP(B224,[4]Weeks!$A$125:$X$161,8,FALSE)-VLOOKUP(B224,[4]Weeks!$A$165:$X$200,8,FALSE)</f>
        <v>0</v>
      </c>
      <c r="K224" s="202">
        <f>VLOOKUP(B224,[4]Weeks!$A$85:$X$121,8,FALSE)-VLOOKUP(B224,[4]Weeks!$A$125:$X$161,8,FALSE)</f>
        <v>0</v>
      </c>
      <c r="L224" s="202">
        <f>VLOOKUP(B224,[4]Weeks!$A$44:$X$81,8,FALSE)-VLOOKUP(B224,[4]Weeks!$A$85:$X$121,8,FALSE)</f>
        <v>0</v>
      </c>
      <c r="M224" s="202">
        <f>VLOOKUP(B224,[4]Weeks!$A$3:$X$39,8,FALSE)-VLOOKUP(B224,[4]Weeks!$A$44:$X$81,8,FALSE)</f>
        <v>0</v>
      </c>
      <c r="N224" s="11">
        <f t="shared" si="45"/>
        <v>0</v>
      </c>
      <c r="O224" s="202">
        <f t="shared" si="46"/>
        <v>0</v>
      </c>
      <c r="P224" s="41" t="str">
        <f>IF(ISNUMBER(VLOOKUP(B224,[4]CLOSURES!B:BI,7,FALSE)),TEXT(VLOOKUP(B224,[4]CLOSURES!B:BI,7,FALSE),"ddmmm"),IF(F224&lt;=0,0,IF(I224&lt;=0,0,IF(AND(F224&gt;0,O224&lt;=0),"&gt;52",IF(I224/O224&gt;52,"&gt;52", MAX(0,I224/O224-2))))))</f>
        <v>&gt;52</v>
      </c>
      <c r="R224" s="153"/>
    </row>
    <row r="225" spans="1:18" s="158" customFormat="1" ht="10.75" hidden="1" customHeight="1" x14ac:dyDescent="0.3">
      <c r="B225" s="40" t="s">
        <v>72</v>
      </c>
      <c r="C225" s="130">
        <f>'[5]Maj Pel Combined'!$G$19</f>
        <v>27.545999999999999</v>
      </c>
      <c r="D225" s="200">
        <f>F225-VLOOKUP(B225,[4]quotas!$B$85:$W$120,7,FALSE)</f>
        <v>0</v>
      </c>
      <c r="E225" s="200">
        <f t="shared" si="44"/>
        <v>0</v>
      </c>
      <c r="F225" s="201">
        <f>VLOOKUP(B225,[4]quotas!$B$46:$W$84,7,FALSE)</f>
        <v>27.545999999999999</v>
      </c>
      <c r="G225" s="202">
        <f>VLOOKUP(B225,[4]Cumulative!$A$56:$X$91,8,FALSE)</f>
        <v>31.72000000000001</v>
      </c>
      <c r="H225" s="151">
        <f t="shared" si="47"/>
        <v>115.15283525738768</v>
      </c>
      <c r="I225" s="201">
        <f t="shared" si="48"/>
        <v>-4.1740000000000101</v>
      </c>
      <c r="J225" s="202">
        <f>VLOOKUP(B225,[4]Weeks!$A$125:$X$161,8,FALSE)-VLOOKUP(B225,[4]Weeks!$A$165:$X$200,8,FALSE)</f>
        <v>0</v>
      </c>
      <c r="K225" s="202">
        <f>VLOOKUP(B225,[4]Weeks!$A$85:$X$121,8,FALSE)-VLOOKUP(B225,[4]Weeks!$A$125:$X$161,8,FALSE)</f>
        <v>0</v>
      </c>
      <c r="L225" s="202">
        <f>VLOOKUP(B225,[4]Weeks!$A$44:$X$81,8,FALSE)-VLOOKUP(B225,[4]Weeks!$A$85:$X$121,8,FALSE)</f>
        <v>0</v>
      </c>
      <c r="M225" s="202">
        <f>VLOOKUP(B225,[4]Weeks!$A$3:$X$39,8,FALSE)-VLOOKUP(B225,[4]Weeks!$A$44:$X$81,8,FALSE)</f>
        <v>0</v>
      </c>
      <c r="N225" s="11">
        <f t="shared" si="45"/>
        <v>0</v>
      </c>
      <c r="O225" s="202">
        <f t="shared" si="46"/>
        <v>0</v>
      </c>
      <c r="P225" s="41">
        <f>IF(ISNUMBER(VLOOKUP(B225,[4]CLOSURES!B:BI,7,FALSE)),TEXT(VLOOKUP(B225,[4]CLOSURES!B:BI,7,FALSE),"ddmmm"),IF(F225&lt;=0,0,IF(I225&lt;=0,0,IF(AND(F225&gt;0,O225&lt;=0),"&gt;52",IF(I225/O225&gt;52,"&gt;52", MAX(0,I225/O225-2))))))</f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f>SUM(C216:C225)</f>
        <v>169.05599999999998</v>
      </c>
      <c r="D226" s="200">
        <f>SUM(D216:D225)</f>
        <v>0</v>
      </c>
      <c r="E226" s="200">
        <f t="shared" si="44"/>
        <v>0</v>
      </c>
      <c r="F226" s="201">
        <f>SUM(F216:F225)</f>
        <v>169.05599999999998</v>
      </c>
      <c r="G226" s="202">
        <f>SUM(G216:G225)</f>
        <v>78.439999935150169</v>
      </c>
      <c r="H226" s="151">
        <f t="shared" si="47"/>
        <v>46.398826386020126</v>
      </c>
      <c r="I226" s="201">
        <f t="shared" si="48"/>
        <v>90.616000064849814</v>
      </c>
      <c r="J226" s="202">
        <f t="shared" ref="J226:O226" si="49">SUM(J216:J225)</f>
        <v>0.41199999618530114</v>
      </c>
      <c r="K226" s="202">
        <f t="shared" si="49"/>
        <v>0.10000000000000142</v>
      </c>
      <c r="L226" s="202">
        <f t="shared" si="49"/>
        <v>0.4269999999999925</v>
      </c>
      <c r="M226" s="202">
        <f t="shared" si="49"/>
        <v>1.9400000000000048</v>
      </c>
      <c r="N226" s="11">
        <f t="shared" si="49"/>
        <v>646.66666666666833</v>
      </c>
      <c r="O226" s="202">
        <f t="shared" si="49"/>
        <v>0.71974999904632497</v>
      </c>
      <c r="P226" s="41" t="str">
        <f>IF(ISNUMBER(VLOOKUP(B226,[4]CLOSURES!B:BI,7,FALSE)),TEXT(VLOOKUP(B226,[4]CLOSURES!B:BI,7,FALSE),"ddmmm"),IF(F226&lt;=0,0,IF(I226&lt;=0,0,IF(AND(F226&gt;0,O226&lt;=0),"&gt;52",IF(I226/O226&gt;52,"&gt;52", MAX(0,I226/O226-2))))))</f>
        <v>&gt;52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f>'[5]Maj Pel Combined'!$G$5</f>
        <v>10.516</v>
      </c>
      <c r="D228" s="200">
        <f>F228-VLOOKUP(B228,[4]quotas!$B$85:$W$120,7,FALSE)</f>
        <v>0</v>
      </c>
      <c r="E228" s="200">
        <f t="shared" si="44"/>
        <v>0</v>
      </c>
      <c r="F228" s="201">
        <f>VLOOKUP(B228,[4]quotas!$B$46:$W$84,7,FALSE)</f>
        <v>10.516</v>
      </c>
      <c r="G228" s="202">
        <f>VLOOKUP(B228,[4]Cumulative!$A$56:$X$91,8,FALSE)</f>
        <v>1.2547500002086158</v>
      </c>
      <c r="H228" s="151">
        <f t="shared" si="47"/>
        <v>11.931818183801976</v>
      </c>
      <c r="I228" s="201">
        <f t="shared" si="48"/>
        <v>9.2612499997913851</v>
      </c>
      <c r="J228" s="202">
        <f>VLOOKUP(B228,[4]Weeks!$A$125:$X$161,8,FALSE)-VLOOKUP(B228,[4]Weeks!$A$165:$X$200,8,FALSE)</f>
        <v>0</v>
      </c>
      <c r="K228" s="202">
        <f>VLOOKUP(B228,[4]Weeks!$A$85:$X$121,8,FALSE)-VLOOKUP(B228,[4]Weeks!$A$125:$X$161,8,FALSE)</f>
        <v>9.9999999999988987E-4</v>
      </c>
      <c r="L228" s="202">
        <f>VLOOKUP(B228,[4]Weeks!$A$44:$X$81,8,FALSE)-VLOOKUP(B228,[4]Weeks!$A$85:$X$121,8,FALSE)</f>
        <v>0</v>
      </c>
      <c r="M228" s="202">
        <f>VLOOKUP(B228,[4]Weeks!$A$3:$X$39,8,FALSE)-VLOOKUP(B228,[4]Weeks!$A$44:$X$81,8,FALSE)</f>
        <v>0</v>
      </c>
      <c r="N228" s="11">
        <f t="shared" ref="N228:N239" si="50">IF(C228="*","*",IF(C228&gt;0,M228/C228*100,"-"))</f>
        <v>0</v>
      </c>
      <c r="O228" s="202">
        <f t="shared" ref="O228:O239" si="51">IF(C228="*","*",SUM(J228:M228)/4)</f>
        <v>2.4999999999997247E-4</v>
      </c>
      <c r="P228" s="41" t="str">
        <f>IF(ISNUMBER(VLOOKUP(B228,[4]CLOSURES!B:BI,7,FALSE)),TEXT(VLOOKUP(B228,[4]CLOSURES!B:BI,7,FALSE),"ddmmm"),IF(F228&lt;=0,0,IF(I228&lt;=0,0,IF(AND(F228&gt;0,O228&lt;=0),"&gt;52",IF(I228/O228&gt;52,"&gt;52", MAX(0,I228/O228-2))))))</f>
        <v>&gt;52</v>
      </c>
      <c r="R228" s="153"/>
    </row>
    <row r="229" spans="1:18" s="158" customFormat="1" ht="10.75" hidden="1" customHeight="1" x14ac:dyDescent="0.3">
      <c r="B229" s="40" t="s">
        <v>75</v>
      </c>
      <c r="C229" s="130">
        <f>'[5]Maj Pel Combined'!$G$7</f>
        <v>3.6230000000000002</v>
      </c>
      <c r="D229" s="200">
        <f>F229-VLOOKUP(B229,[4]quotas!$B$85:$W$120,7,FALSE)</f>
        <v>0</v>
      </c>
      <c r="E229" s="200">
        <f>F229-C229</f>
        <v>0</v>
      </c>
      <c r="F229" s="201">
        <f>VLOOKUP(B229,[4]quotas!$B$46:$W$84,7,FALSE)</f>
        <v>3.6230000000000002</v>
      </c>
      <c r="G229" s="202">
        <f>VLOOKUP(B229,[4]Cumulative!$A$56:$X$91,8,FALSE)</f>
        <v>0</v>
      </c>
      <c r="H229" s="151">
        <f>IF(AND(F229=0,G229&gt;0),"n/a",IF(F229=0,0,100*G229/F229))</f>
        <v>0</v>
      </c>
      <c r="I229" s="201">
        <f>IF(F229="*","*",F229-G229)</f>
        <v>3.6230000000000002</v>
      </c>
      <c r="J229" s="202">
        <f>VLOOKUP(B229,[4]Weeks!$A$125:$X$161,8,FALSE)-VLOOKUP(B229,[4]Weeks!$A$165:$X$200,8,FALSE)</f>
        <v>0</v>
      </c>
      <c r="K229" s="202">
        <f>VLOOKUP(B229,[4]Weeks!$A$85:$X$121,8,FALSE)-VLOOKUP(B229,[4]Weeks!$A$125:$X$161,8,FALSE)</f>
        <v>0</v>
      </c>
      <c r="L229" s="202">
        <f>VLOOKUP(B229,[4]Weeks!$A$44:$X$81,8,FALSE)-VLOOKUP(B229,[4]Weeks!$A$85:$X$121,8,FALSE)</f>
        <v>0</v>
      </c>
      <c r="M229" s="202">
        <f>VLOOKUP(B229,[4]Weeks!$A$3:$X$39,8,FALSE)-VLOOKUP(B229,[4]Weeks!$A$44:$X$81,8,FALSE)</f>
        <v>0</v>
      </c>
      <c r="N229" s="11">
        <f>IF(C229="*","*",IF(C229&gt;0,M229/C229*100,"-"))</f>
        <v>0</v>
      </c>
      <c r="O229" s="202">
        <f>IF(C229="*","*",SUM(J229:M229)/4)</f>
        <v>0</v>
      </c>
      <c r="P229" s="41" t="str">
        <f>IF(ISNUMBER(VLOOKUP(B229,[4]CLOSURES!B:BI,7,FALSE)),TEXT(VLOOKUP(B229,[4]CLOSURES!B:BI,7,FALSE),"ddmmm"),IF(F229&lt;=0,0,IF(I229&lt;=0,0,IF(AND(F229&gt;0,O229&lt;=0),"&gt;52",IF(I229/O229&gt;52,"&gt;52", MAX(0,I229/O229-2))))))</f>
        <v>&gt;52</v>
      </c>
      <c r="R229" s="153"/>
    </row>
    <row r="230" spans="1:18" s="158" customFormat="1" ht="10.75" hidden="1" customHeight="1" x14ac:dyDescent="0.3">
      <c r="B230" s="40" t="s">
        <v>152</v>
      </c>
      <c r="C230" s="130">
        <f>'[5]Maj Pel Combined'!$G$8</f>
        <v>0</v>
      </c>
      <c r="D230" s="200">
        <f>F230-VLOOKUP(B230,[4]quotas!$B$85:$W$120,7,FALSE)</f>
        <v>0</v>
      </c>
      <c r="E230" s="200">
        <f>F230-C230</f>
        <v>0</v>
      </c>
      <c r="F230" s="201">
        <f>VLOOKUP(B230,[4]quotas!$B$46:$W$84,7,FALSE)</f>
        <v>0</v>
      </c>
      <c r="G230" s="202">
        <f>VLOOKUP(B230,[4]Cumulative!$A$56:$X$91,8,FALSE)</f>
        <v>0.8</v>
      </c>
      <c r="H230" s="151" t="str">
        <f>IF(AND(F230=0,G230&gt;0),"n/a",IF(F230=0,0,100*G230/F230))</f>
        <v>n/a</v>
      </c>
      <c r="I230" s="201">
        <f>IF(F230="*","*",F230-G230)</f>
        <v>-0.8</v>
      </c>
      <c r="J230" s="202">
        <f>VLOOKUP(B230,[4]Weeks!$A$125:$X$161,8,FALSE)-VLOOKUP(B230,[4]Weeks!$A$165:$X$200,8,FALSE)</f>
        <v>0</v>
      </c>
      <c r="K230" s="202">
        <f>VLOOKUP(B230,[4]Weeks!$A$85:$X$121,8,FALSE)-VLOOKUP(B230,[4]Weeks!$A$125:$X$161,8,FALSE)</f>
        <v>0</v>
      </c>
      <c r="L230" s="202">
        <f>VLOOKUP(B230,[4]Weeks!$A$44:$X$81,8,FALSE)-VLOOKUP(B230,[4]Weeks!$A$85:$X$121,8,FALSE)</f>
        <v>0</v>
      </c>
      <c r="M230" s="202">
        <f>VLOOKUP(B230,[4]Weeks!$A$3:$X$39,8,FALSE)-VLOOKUP(B230,[4]Weeks!$A$44:$X$81,8,FALSE)</f>
        <v>0</v>
      </c>
      <c r="N230" s="11" t="str">
        <f>IF(C230="*","*",IF(C230&gt;0,M230/C230*100,"-"))</f>
        <v>-</v>
      </c>
      <c r="O230" s="202">
        <f>IF(C230="*","*",SUM(J230:M230)/4)</f>
        <v>0</v>
      </c>
      <c r="P230" s="41">
        <f>IF(ISNUMBER(VLOOKUP(B230,[4]CLOSURES!B:BI,7,FALSE)),TEXT(VLOOKUP(B230,[4]CLOSURES!B:BI,7,FALSE),"ddmmm"),IF(F230&lt;=0,0,IF(I230&lt;=0,0,IF(AND(F230&gt;0,O230&lt;=0),"&gt;52",IF(I230/O230&gt;52,"&gt;52", MAX(0,I230/O230-2))))))</f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f>'[5]Maj Pel Combined'!$G$9</f>
        <v>0</v>
      </c>
      <c r="D231" s="200">
        <f>F231-VLOOKUP(B231,[4]quotas!$B$85:$W$120,7,FALSE)</f>
        <v>0</v>
      </c>
      <c r="E231" s="200">
        <f t="shared" si="44"/>
        <v>0</v>
      </c>
      <c r="F231" s="201">
        <f>VLOOKUP(B231,[4]quotas!$B$46:$W$84,7,FALSE)</f>
        <v>0</v>
      </c>
      <c r="G231" s="202">
        <f>VLOOKUP(B231,[4]Cumulative!$A$56:$X$91,8,FALSE)</f>
        <v>0</v>
      </c>
      <c r="H231" s="151">
        <f t="shared" si="47"/>
        <v>0</v>
      </c>
      <c r="I231" s="201">
        <f t="shared" si="48"/>
        <v>0</v>
      </c>
      <c r="J231" s="202">
        <f>VLOOKUP(B231,[4]Weeks!$A$125:$X$161,8,FALSE)-VLOOKUP(B231,[4]Weeks!$A$165:$X$200,8,FALSE)</f>
        <v>0</v>
      </c>
      <c r="K231" s="202">
        <f>VLOOKUP(B231,[4]Weeks!$A$85:$X$121,8,FALSE)-VLOOKUP(B231,[4]Weeks!$A$125:$X$161,8,FALSE)</f>
        <v>0</v>
      </c>
      <c r="L231" s="202">
        <f>VLOOKUP(B231,[4]Weeks!$A$44:$X$81,8,FALSE)-VLOOKUP(B231,[4]Weeks!$A$85:$X$121,8,FALSE)</f>
        <v>0</v>
      </c>
      <c r="M231" s="202">
        <f>VLOOKUP(B231,[4]Weeks!$A$3:$X$39,8,FALSE)-VLOOKUP(B231,[4]Weeks!$A$44:$X$81,8,FALSE)</f>
        <v>0</v>
      </c>
      <c r="N231" s="11" t="str">
        <f t="shared" si="50"/>
        <v>-</v>
      </c>
      <c r="O231" s="202">
        <f t="shared" si="51"/>
        <v>0</v>
      </c>
      <c r="P231" s="41">
        <f>IF(ISNUMBER(VLOOKUP(B231,[4]CLOSURES!B:BI,7,FALSE)),TEXT(VLOOKUP(B231,[4]CLOSURES!B:BI,7,FALSE),"ddmmm"),IF(F231&lt;=0,0,IF(I231&lt;=0,0,IF(AND(F231&gt;0,O231&lt;=0),"&gt;52",IF(I231/O231&gt;52,"&gt;52", MAX(0,I231/O231-2))))))</f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f>'[5]Maj Pel Combined'!$G$27</f>
        <v>47.875999999999998</v>
      </c>
      <c r="D232" s="200">
        <f>F232-VLOOKUP(B232,[4]quotas!$B$85:$W$120,7,FALSE)</f>
        <v>0</v>
      </c>
      <c r="E232" s="200">
        <f t="shared" si="44"/>
        <v>0</v>
      </c>
      <c r="F232" s="201">
        <f>VLOOKUP(B232,[4]quotas!$B$46:$W$84,7,FALSE)</f>
        <v>47.875999999999998</v>
      </c>
      <c r="G232" s="202">
        <f>VLOOKUP(B232,[4]Cumulative!$A$56:$X$91,8,FALSE)</f>
        <v>2.5287500116825092</v>
      </c>
      <c r="H232" s="151">
        <f t="shared" si="47"/>
        <v>5.28187403225522</v>
      </c>
      <c r="I232" s="201">
        <f t="shared" si="48"/>
        <v>45.347249988317486</v>
      </c>
      <c r="J232" s="202">
        <f>VLOOKUP(B232,[4]Weeks!$A$125:$X$161,8,FALSE)-VLOOKUP(B232,[4]Weeks!$A$165:$X$200,8,FALSE)</f>
        <v>0</v>
      </c>
      <c r="K232" s="202">
        <f>VLOOKUP(B232,[4]Weeks!$A$85:$X$121,8,FALSE)-VLOOKUP(B232,[4]Weeks!$A$125:$X$161,8,FALSE)</f>
        <v>0</v>
      </c>
      <c r="L232" s="202">
        <f>VLOOKUP(B232,[4]Weeks!$A$44:$X$81,8,FALSE)-VLOOKUP(B232,[4]Weeks!$A$85:$X$121,8,FALSE)</f>
        <v>0</v>
      </c>
      <c r="M232" s="202">
        <f>VLOOKUP(B232,[4]Weeks!$A$3:$X$39,8,FALSE)-VLOOKUP(B232,[4]Weeks!$A$44:$X$81,8,FALSE)</f>
        <v>0</v>
      </c>
      <c r="N232" s="11">
        <f t="shared" si="50"/>
        <v>0</v>
      </c>
      <c r="O232" s="202">
        <f t="shared" si="51"/>
        <v>0</v>
      </c>
      <c r="P232" s="41" t="str">
        <f>IF(ISNUMBER(VLOOKUP(B232,[4]CLOSURES!B:BI,7,FALSE)),TEXT(VLOOKUP(B232,[4]CLOSURES!B:BI,7,FALSE),"ddmmm"),IF(F232&lt;=0,0,IF(I232&lt;=0,0,IF(AND(F232&gt;0,O232&lt;=0),"&gt;52",IF(I232/O232&gt;52,"&gt;52", MAX(0,I232/O232-2))))))</f>
        <v>&gt;52</v>
      </c>
      <c r="R232" s="153"/>
    </row>
    <row r="233" spans="1:18" s="158" customFormat="1" ht="10.75" hidden="1" customHeight="1" x14ac:dyDescent="0.3">
      <c r="B233" s="40" t="s">
        <v>78</v>
      </c>
      <c r="C233" s="130">
        <f>'[5]Maj Pel Combined'!$G$26</f>
        <v>25.798999999999999</v>
      </c>
      <c r="D233" s="200">
        <f>F233-VLOOKUP(B233,[4]quotas!$B$85:$W$120,7,FALSE)</f>
        <v>0</v>
      </c>
      <c r="E233" s="200">
        <f t="shared" si="44"/>
        <v>0</v>
      </c>
      <c r="F233" s="201">
        <f>VLOOKUP(B233,[4]quotas!$B$46:$W$84,7,FALSE)</f>
        <v>25.798999999999999</v>
      </c>
      <c r="G233" s="202">
        <f>VLOOKUP(B233,[4]Cumulative!$A$56:$X$91,8,FALSE)</f>
        <v>0</v>
      </c>
      <c r="H233" s="151">
        <f t="shared" si="47"/>
        <v>0</v>
      </c>
      <c r="I233" s="201">
        <f t="shared" si="48"/>
        <v>25.798999999999999</v>
      </c>
      <c r="J233" s="202">
        <f>VLOOKUP(B233,[4]Weeks!$A$125:$X$161,8,FALSE)-VLOOKUP(B233,[4]Weeks!$A$165:$X$200,8,FALSE)</f>
        <v>0</v>
      </c>
      <c r="K233" s="202">
        <f>VLOOKUP(B233,[4]Weeks!$A$85:$X$121,8,FALSE)-VLOOKUP(B233,[4]Weeks!$A$125:$X$161,8,FALSE)</f>
        <v>0</v>
      </c>
      <c r="L233" s="202">
        <f>VLOOKUP(B233,[4]Weeks!$A$44:$X$81,8,FALSE)-VLOOKUP(B233,[4]Weeks!$A$85:$X$121,8,FALSE)</f>
        <v>0</v>
      </c>
      <c r="M233" s="202">
        <f>VLOOKUP(B233,[4]Weeks!$A$3:$X$39,8,FALSE)-VLOOKUP(B233,[4]Weeks!$A$44:$X$81,8,FALSE)</f>
        <v>0</v>
      </c>
      <c r="N233" s="11">
        <f t="shared" si="50"/>
        <v>0</v>
      </c>
      <c r="O233" s="202">
        <f t="shared" si="51"/>
        <v>0</v>
      </c>
      <c r="P233" s="41" t="str">
        <f>IF(ISNUMBER(VLOOKUP(B233,[4]CLOSURES!B:BI,7,FALSE)),TEXT(VLOOKUP(B233,[4]CLOSURES!B:BI,7,FALSE),"ddmmm"),IF(F233&lt;=0,0,IF(I233&lt;=0,0,IF(AND(F233&gt;0,O233&lt;=0),"&gt;52",IF(I233/O233&gt;52,"&gt;52", MAX(0,I233/O233-2))))))</f>
        <v>&gt;52</v>
      </c>
      <c r="R233" s="153"/>
    </row>
    <row r="234" spans="1:18" s="158" customFormat="1" ht="10.75" hidden="1" customHeight="1" x14ac:dyDescent="0.3">
      <c r="B234" s="40" t="s">
        <v>79</v>
      </c>
      <c r="C234" s="130">
        <f>'[5]Maj Pel Combined'!$G$6</f>
        <v>0.26600000000000001</v>
      </c>
      <c r="D234" s="200">
        <f>F234-VLOOKUP(B234,[4]quotas!$B$85:$W$120,7,FALSE)</f>
        <v>0</v>
      </c>
      <c r="E234" s="200">
        <f t="shared" si="44"/>
        <v>0</v>
      </c>
      <c r="F234" s="201">
        <f>VLOOKUP(B234,[4]quotas!$B$46:$W$84,7,FALSE)</f>
        <v>0.26600000000000001</v>
      </c>
      <c r="G234" s="202">
        <f>VLOOKUP(B234,[4]Cumulative!$A$56:$X$91,8,FALSE)</f>
        <v>1.08</v>
      </c>
      <c r="H234" s="151">
        <f t="shared" si="47"/>
        <v>406.01503759398491</v>
      </c>
      <c r="I234" s="201">
        <f t="shared" si="48"/>
        <v>-0.81400000000000006</v>
      </c>
      <c r="J234" s="202">
        <f>VLOOKUP(B234,[4]Weeks!$A$125:$X$161,8,FALSE)-VLOOKUP(B234,[4]Weeks!$A$165:$X$200,8,FALSE)</f>
        <v>0</v>
      </c>
      <c r="K234" s="202">
        <f>VLOOKUP(B234,[4]Weeks!$A$85:$X$121,8,FALSE)-VLOOKUP(B234,[4]Weeks!$A$125:$X$161,8,FALSE)</f>
        <v>0</v>
      </c>
      <c r="L234" s="202">
        <f>VLOOKUP(B234,[4]Weeks!$A$44:$X$81,8,FALSE)-VLOOKUP(B234,[4]Weeks!$A$85:$X$121,8,FALSE)</f>
        <v>0</v>
      </c>
      <c r="M234" s="202">
        <f>VLOOKUP(B234,[4]Weeks!$A$3:$X$39,8,FALSE)-VLOOKUP(B234,[4]Weeks!$A$44:$X$81,8,FALSE)</f>
        <v>0</v>
      </c>
      <c r="N234" s="11">
        <f t="shared" si="50"/>
        <v>0</v>
      </c>
      <c r="O234" s="202">
        <f t="shared" si="51"/>
        <v>0</v>
      </c>
      <c r="P234" s="41">
        <f>IF(ISNUMBER(VLOOKUP(B234,[4]CLOSURES!B:BI,7,FALSE)),TEXT(VLOOKUP(B234,[4]CLOSURES!B:BI,7,FALSE),"ddmmm"),IF(F234&lt;=0,0,IF(I234&lt;=0,0,IF(AND(F234&gt;0,O234&lt;=0),"&gt;52",IF(I234/O234&gt;52,"&gt;52", MAX(0,I234/O234-2))))))</f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f>'[5]Maj Pel Combined'!$G$14</f>
        <v>0.41799999999999998</v>
      </c>
      <c r="D235" s="200">
        <f>F235-VLOOKUP(B235,[4]quotas!$B$85:$W$120,7,FALSE)</f>
        <v>0</v>
      </c>
      <c r="E235" s="200">
        <f t="shared" si="44"/>
        <v>0</v>
      </c>
      <c r="F235" s="201">
        <f>VLOOKUP(B235,[4]quotas!$B$46:$W$84,7,FALSE)</f>
        <v>0.41799999999999998</v>
      </c>
      <c r="G235" s="202">
        <f>VLOOKUP(B235,[4]Cumulative!$A$56:$X$91,8,FALSE)</f>
        <v>0</v>
      </c>
      <c r="H235" s="151">
        <f t="shared" si="47"/>
        <v>0</v>
      </c>
      <c r="I235" s="201">
        <f t="shared" si="48"/>
        <v>0.41799999999999998</v>
      </c>
      <c r="J235" s="202">
        <f>VLOOKUP(B235,[4]Weeks!$A$125:$X$161,8,FALSE)-VLOOKUP(B235,[4]Weeks!$A$165:$X$200,8,FALSE)</f>
        <v>0</v>
      </c>
      <c r="K235" s="202">
        <f>VLOOKUP(B235,[4]Weeks!$A$85:$X$121,8,FALSE)-VLOOKUP(B235,[4]Weeks!$A$125:$X$161,8,FALSE)</f>
        <v>0</v>
      </c>
      <c r="L235" s="202">
        <f>VLOOKUP(B235,[4]Weeks!$A$44:$X$81,8,FALSE)-VLOOKUP(B235,[4]Weeks!$A$85:$X$121,8,FALSE)</f>
        <v>0</v>
      </c>
      <c r="M235" s="202">
        <f>VLOOKUP(B235,[4]Weeks!$A$3:$X$39,8,FALSE)-VLOOKUP(B235,[4]Weeks!$A$44:$X$81,8,FALSE)</f>
        <v>0</v>
      </c>
      <c r="N235" s="11">
        <f t="shared" si="50"/>
        <v>0</v>
      </c>
      <c r="O235" s="202">
        <f t="shared" si="51"/>
        <v>0</v>
      </c>
      <c r="P235" s="41" t="str">
        <f>IF(ISNUMBER(VLOOKUP(B235,[4]CLOSURES!B:BI,7,FALSE)),TEXT(VLOOKUP(B235,[4]CLOSURES!B:BI,7,FALSE),"ddmmm"),IF(F235&lt;=0,0,IF(I235&lt;=0,0,IF(AND(F235&gt;0,O235&lt;=0),"&gt;52",IF(I235/O235&gt;52,"&gt;52", MAX(0,I235/O235-2))))))</f>
        <v>&gt;52</v>
      </c>
      <c r="R235" s="153"/>
    </row>
    <row r="236" spans="1:18" s="158" customFormat="1" ht="10.75" hidden="1" customHeight="1" x14ac:dyDescent="0.3">
      <c r="B236" s="40" t="s">
        <v>81</v>
      </c>
      <c r="C236" s="130">
        <f>'[5]Maj Pel Combined'!$G$13</f>
        <v>0.746</v>
      </c>
      <c r="D236" s="200">
        <f>F236-VLOOKUP(B236,[4]quotas!$B$85:$W$120,7,FALSE)</f>
        <v>0</v>
      </c>
      <c r="E236" s="200">
        <f t="shared" si="44"/>
        <v>0</v>
      </c>
      <c r="F236" s="201">
        <f>VLOOKUP(B236,[4]quotas!$B$46:$W$84,7,FALSE)</f>
        <v>0.746</v>
      </c>
      <c r="G236" s="202">
        <f>VLOOKUP(B236,[4]Cumulative!$A$56:$X$91,8,FALSE)</f>
        <v>24.916999992370602</v>
      </c>
      <c r="H236" s="151">
        <f t="shared" si="47"/>
        <v>3340.0804279317163</v>
      </c>
      <c r="I236" s="201">
        <f t="shared" si="48"/>
        <v>-24.170999992370604</v>
      </c>
      <c r="J236" s="202">
        <f>VLOOKUP(B236,[4]Weeks!$A$125:$X$161,8,FALSE)-VLOOKUP(B236,[4]Weeks!$A$165:$X$200,8,FALSE)</f>
        <v>0.86999999999999567</v>
      </c>
      <c r="K236" s="202">
        <f>VLOOKUP(B236,[4]Weeks!$A$85:$X$121,8,FALSE)-VLOOKUP(B236,[4]Weeks!$A$125:$X$161,8,FALSE)</f>
        <v>2.4079999999999977</v>
      </c>
      <c r="L236" s="202">
        <f>VLOOKUP(B236,[4]Weeks!$A$44:$X$81,8,FALSE)-VLOOKUP(B236,[4]Weeks!$A$85:$X$121,8,FALSE)</f>
        <v>7.198000000000004</v>
      </c>
      <c r="M236" s="202">
        <f>VLOOKUP(B236,[4]Weeks!$A$3:$X$39,8,FALSE)-VLOOKUP(B236,[4]Weeks!$A$44:$X$81,8,FALSE)</f>
        <v>0.75500000000000256</v>
      </c>
      <c r="N236" s="11">
        <f t="shared" si="50"/>
        <v>101.20643431635423</v>
      </c>
      <c r="O236" s="202">
        <f t="shared" si="51"/>
        <v>2.80775</v>
      </c>
      <c r="P236" s="41">
        <f>IF(ISNUMBER(VLOOKUP(B236,[4]CLOSURES!B:BI,7,FALSE)),TEXT(VLOOKUP(B236,[4]CLOSURES!B:BI,7,FALSE),"ddmmm"),IF(F236&lt;=0,0,IF(I236&lt;=0,0,IF(AND(F236&gt;0,O236&lt;=0),"&gt;52",IF(I236/O236&gt;52,"&gt;52", MAX(0,I236/O236-2))))))</f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f>'[5]Maj Pel Combined'!$G$11</f>
        <v>2.91</v>
      </c>
      <c r="D237" s="200">
        <f>F237-VLOOKUP(B237,[4]quotas!$B$85:$W$120,7,FALSE)</f>
        <v>0</v>
      </c>
      <c r="E237" s="200">
        <f>F237-C237</f>
        <v>0</v>
      </c>
      <c r="F237" s="201">
        <f>VLOOKUP(B237,[4]quotas!$B$46:$W$84,7,FALSE)</f>
        <v>2.91</v>
      </c>
      <c r="G237" s="202">
        <f>VLOOKUP(B237,[4]Cumulative!$A$56:$X$91,8,FALSE)</f>
        <v>188.71799996184561</v>
      </c>
      <c r="H237" s="151">
        <f>IF(AND(F237=0,G237&gt;0),"n/a",IF(F237=0,0,100*G237/F237))</f>
        <v>6485.1546378641096</v>
      </c>
      <c r="I237" s="201">
        <f>IF(F237="*","*",F237-G237)</f>
        <v>-185.80799996184561</v>
      </c>
      <c r="J237" s="202">
        <f>VLOOKUP(B237,[4]Weeks!$A$125:$X$161,8,FALSE)-VLOOKUP(B237,[4]Weeks!$A$165:$X$200,8,FALSE)</f>
        <v>9.2700000057220961</v>
      </c>
      <c r="K237" s="202">
        <f>VLOOKUP(B237,[4]Weeks!$A$85:$X$121,8,FALSE)-VLOOKUP(B237,[4]Weeks!$A$125:$X$161,8,FALSE)</f>
        <v>0.5409999999999684</v>
      </c>
      <c r="L237" s="202">
        <f>VLOOKUP(B237,[4]Weeks!$A$44:$X$81,8,FALSE)-VLOOKUP(B237,[4]Weeks!$A$85:$X$121,8,FALSE)</f>
        <v>0.52299999618529114</v>
      </c>
      <c r="M237" s="202">
        <f>VLOOKUP(B237,[4]Weeks!$A$3:$X$39,8,FALSE)-VLOOKUP(B237,[4]Weeks!$A$44:$X$81,8,FALSE)</f>
        <v>9.8780629020109814</v>
      </c>
      <c r="N237" s="11">
        <f>IF(C237="*","*",IF(C237&gt;0,M237/C237*100,"-"))</f>
        <v>339.45233340243919</v>
      </c>
      <c r="O237" s="202">
        <f>IF(C237="*","*",SUM(J237:M237)/4)</f>
        <v>5.0530157259795843</v>
      </c>
      <c r="P237" s="41">
        <f>IF(ISNUMBER(VLOOKUP(B237,[4]CLOSURES!B:BI,7,FALSE)),TEXT(VLOOKUP(B237,[4]CLOSURES!B:BI,7,FALSE),"ddmmm"),IF(F237&lt;=0,0,IF(I237&lt;=0,0,IF(AND(F237&gt;0,O237&lt;=0),"&gt;52",IF(I237/O237&gt;52,"&gt;52", MAX(0,I237/O237-2))))))</f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f>'[5]Maj Pel Combined'!$G$15</f>
        <v>0</v>
      </c>
      <c r="D238" s="200">
        <f>F238-VLOOKUP(B238,[4]quotas!$B$85:$W$120,7,FALSE)</f>
        <v>0</v>
      </c>
      <c r="E238" s="200">
        <f>F238-C238</f>
        <v>0</v>
      </c>
      <c r="F238" s="201">
        <f>VLOOKUP(B238,[4]quotas!$B$46:$W$84,7,FALSE)</f>
        <v>0</v>
      </c>
      <c r="G238" s="202">
        <f>VLOOKUP(B238,[4]Cumulative!$A$56:$X$91,8,FALSE)</f>
        <v>0</v>
      </c>
      <c r="H238" s="151">
        <f>IF(AND(F238=0,G238&gt;0),"n/a",IF(F238=0,0,100*G238/F238))</f>
        <v>0</v>
      </c>
      <c r="I238" s="201">
        <f>IF(F238="*","*",F238-G238)</f>
        <v>0</v>
      </c>
      <c r="J238" s="202">
        <f>VLOOKUP(B238,[4]Weeks!$A$125:$X$161,8,FALSE)-VLOOKUP(B238,[4]Weeks!$A$165:$X$200,8,FALSE)</f>
        <v>0</v>
      </c>
      <c r="K238" s="202">
        <f>VLOOKUP(B238,[4]Weeks!$A$85:$X$121,8,FALSE)-VLOOKUP(B238,[4]Weeks!$A$125:$X$161,8,FALSE)</f>
        <v>0</v>
      </c>
      <c r="L238" s="202">
        <f>VLOOKUP(B238,[4]Weeks!$A$44:$X$81,8,FALSE)-VLOOKUP(B238,[4]Weeks!$A$85:$X$121,8,FALSE)</f>
        <v>0</v>
      </c>
      <c r="M238" s="202">
        <f>VLOOKUP(B238,[4]Weeks!$A$3:$X$39,8,FALSE)-VLOOKUP(B238,[4]Weeks!$A$44:$X$81,8,FALSE)</f>
        <v>0</v>
      </c>
      <c r="N238" s="11" t="str">
        <f>IF(C238="*","*",IF(C238&gt;0,M238/C238*100,"-"))</f>
        <v>-</v>
      </c>
      <c r="O238" s="202">
        <f t="shared" si="51"/>
        <v>0</v>
      </c>
      <c r="P238" s="41" t="str">
        <f>IF(ISNUMBER(VLOOKUP(B238,[4]CLOSURES!B:BI,7,FALSE)),TEXT(VLOOKUP(B238,[4]CLOSURES!B:BI,7,FALSE),"ddmmm"),IF(F238&lt;=0,0,IF(I238&lt;=0,0,IF(AND(F238&gt;0,O238&lt;=0),"&gt;52",IF(I238/O238&gt;52,"&gt;52", MAX(0,I238/O238-2))))))</f>
        <v>01Jan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f>'[5]Maj Pel Combined'!$G$10</f>
        <v>95.792000000000002</v>
      </c>
      <c r="D239" s="200">
        <f>F239-VLOOKUP(B239,[4]quotas!$B$85:$W$120,7,FALSE)</f>
        <v>0</v>
      </c>
      <c r="E239" s="200">
        <f t="shared" si="44"/>
        <v>0</v>
      </c>
      <c r="F239" s="201">
        <f>VLOOKUP(B239,[4]quotas!$B$46:$W$84,7,FALSE)</f>
        <v>95.792000000000002</v>
      </c>
      <c r="G239" s="202">
        <f>VLOOKUP(B239,[4]Cumulative!$A$56:$X$91,8,FALSE)</f>
        <v>4</v>
      </c>
      <c r="H239" s="151">
        <f t="shared" si="47"/>
        <v>4.175714047102054</v>
      </c>
      <c r="I239" s="201">
        <f>IF(F239="*","*",F239-G239)</f>
        <v>91.792000000000002</v>
      </c>
      <c r="J239" s="202">
        <f>VLOOKUP(B239,[4]Weeks!$A$125:$X$161,8,FALSE)-VLOOKUP(B239,[4]Weeks!$A$165:$X$200,8,FALSE)</f>
        <v>0</v>
      </c>
      <c r="K239" s="202">
        <f>VLOOKUP(B239,[4]Weeks!$A$85:$X$121,8,FALSE)-VLOOKUP(B239,[4]Weeks!$A$125:$X$161,8,FALSE)</f>
        <v>0</v>
      </c>
      <c r="L239" s="202">
        <f>VLOOKUP(B239,[4]Weeks!$A$44:$X$81,8,FALSE)-VLOOKUP(B239,[4]Weeks!$A$85:$X$121,8,FALSE)</f>
        <v>0</v>
      </c>
      <c r="M239" s="202">
        <f>VLOOKUP(B239,[4]Weeks!$A$3:$X$39,8,FALSE)-VLOOKUP(B239,[4]Weeks!$A$44:$X$81,8,FALSE)</f>
        <v>0</v>
      </c>
      <c r="N239" s="11">
        <f t="shared" si="50"/>
        <v>0</v>
      </c>
      <c r="O239" s="202">
        <f t="shared" si="51"/>
        <v>0</v>
      </c>
      <c r="P239" s="41" t="str">
        <f>IF(ISNUMBER(VLOOKUP(B239,[4]CLOSURES!B:BI,7,FALSE)),TEXT(VLOOKUP(B239,[4]CLOSURES!B:BI,7,FALSE),"ddmmm"),IF(F239&lt;=0,0,IF(I239&lt;=0,0,IF(AND(F239&gt;0,O239&lt;=0),"&gt;52",IF(I239/O239&gt;52,"&gt;52", MAX(0,I239/O239-2))))))</f>
        <v>&gt;52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f>'[5]Maj Pel Combined'!$G$12</f>
        <v>167.77799999999999</v>
      </c>
      <c r="D240" s="200">
        <f>F240-VLOOKUP(B240,[4]quotas!$B$85:$W$120,7,FALSE)</f>
        <v>0</v>
      </c>
      <c r="E240" s="200">
        <f>F240-C240</f>
        <v>0</v>
      </c>
      <c r="F240" s="201">
        <f>VLOOKUP(B240,[4]quotas!$B$46:$W$84,7,FALSE)</f>
        <v>167.77799999999999</v>
      </c>
      <c r="G240" s="202">
        <f>VLOOKUP(B240,[4]Cumulative!$A$56:$X$91,8,FALSE)</f>
        <v>58.866999887466434</v>
      </c>
      <c r="H240" s="151">
        <f t="shared" si="47"/>
        <v>35.086244851808004</v>
      </c>
      <c r="I240" s="201">
        <f>IF(F240="*","*",F240-G240)</f>
        <v>108.91100011253356</v>
      </c>
      <c r="J240" s="202">
        <f>VLOOKUP(B240,[4]Weeks!$A$125:$X$161,8,FALSE)-VLOOKUP(B240,[4]Weeks!$A$165:$X$200,8,FALSE)</f>
        <v>0.18299999999999983</v>
      </c>
      <c r="K240" s="202">
        <f>VLOOKUP(B240,[4]Weeks!$A$85:$X$121,8,FALSE)-VLOOKUP(B240,[4]Weeks!$A$125:$X$161,8,FALSE)</f>
        <v>7.0180000457763612</v>
      </c>
      <c r="L240" s="202">
        <f>VLOOKUP(B240,[4]Weeks!$A$44:$X$81,8,FALSE)-VLOOKUP(B240,[4]Weeks!$A$85:$X$121,8,FALSE)</f>
        <v>1.9679999790191687</v>
      </c>
      <c r="M240" s="202">
        <f>VLOOKUP(B240,[4]Weeks!$A$3:$X$39,8,FALSE)-VLOOKUP(B240,[4]Weeks!$A$44:$X$81,8,FALSE)</f>
        <v>3.3000000000001251E-2</v>
      </c>
      <c r="N240" s="11">
        <f>IF(C240="*","*",IF(C240&gt;0,M240/C240*100,"-"))</f>
        <v>1.9668848120731712E-2</v>
      </c>
      <c r="O240" s="202">
        <f>IF(C240="*","*",SUM(J240:M240)/4)</f>
        <v>2.3005000061988827</v>
      </c>
      <c r="P240" s="41">
        <f>IF(ISNUMBER(VLOOKUP(B240,[4]CLOSURES!B:BI,7,FALSE)),TEXT(VLOOKUP(B240,[4]CLOSURES!B:BI,7,FALSE),"ddmmm"),IF(F240&lt;=0,0,IF(I240&lt;=0,0,IF(AND(F240&gt;0,O240&lt;=0),"&gt;52",IF(I240/O240&gt;52,"&gt;52", MAX(0,I240/O240-2))))))</f>
        <v>45.342316808982432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f>SUM(C216:C225)+SUM(C228:C240)</f>
        <v>524.78</v>
      </c>
      <c r="D241" s="202">
        <f>SUM(D216:D225)+SUM(D228:D240)</f>
        <v>0</v>
      </c>
      <c r="E241" s="200">
        <f t="shared" si="44"/>
        <v>0</v>
      </c>
      <c r="F241" s="201">
        <f>SUM(F216:F225)+SUM(F228:F240)</f>
        <v>524.78</v>
      </c>
      <c r="G241" s="202">
        <f>SUM(G216:G225)+SUM(G228:G240)</f>
        <v>360.60549978872393</v>
      </c>
      <c r="H241" s="151">
        <f t="shared" si="47"/>
        <v>68.715556955052392</v>
      </c>
      <c r="I241" s="201">
        <f>IF(F241="*","*",F241-G241)</f>
        <v>164.17450021127604</v>
      </c>
      <c r="J241" s="202">
        <f>SUM(J216:J225)+SUM(J228:J240)</f>
        <v>10.735000001907393</v>
      </c>
      <c r="K241" s="202">
        <f>SUM(K216:K225)+SUM(K228:K240)</f>
        <v>10.068000045776328</v>
      </c>
      <c r="L241" s="202">
        <f>SUM(L216:L225)+SUM(L228:L240)</f>
        <v>10.115999975204456</v>
      </c>
      <c r="M241" s="202">
        <f>SUM(M216:M225)+SUM(M228:M240)</f>
        <v>12.60606290201099</v>
      </c>
      <c r="N241" s="11">
        <f>IF(C241="*","*",IF(C241&gt;0,M241/C241*100,"-"))</f>
        <v>2.402161458518044</v>
      </c>
      <c r="O241" s="202">
        <f>IF(C241="*","*",SUM(J241:M241)/4)</f>
        <v>10.881265731224792</v>
      </c>
      <c r="P241" s="41">
        <f>IF(ISNUMBER(VLOOKUP(B241,[4]CLOSURES!B:BI,7,FALSE)),TEXT(VLOOKUP(B241,[4]CLOSURES!B:BI,7,FALSE),"ddmmm"),IF(F241&lt;=0,0,IF(I241&lt;=0,0,IF(AND(F241&gt;0,O241&lt;=0),"&gt;52",IF(I241/O241&gt;52,"&gt;52", MAX(0,I241/O241-2))))))</f>
        <v>13.087812784514785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f>'[4]Pel Non PO'!C128</f>
        <v>104.2</v>
      </c>
      <c r="D243" s="200">
        <f>'[4]Pel Non PO'!D128</f>
        <v>0</v>
      </c>
      <c r="E243" s="200">
        <f t="shared" si="44"/>
        <v>0</v>
      </c>
      <c r="F243" s="201">
        <f>'[4]Pel Non PO'!F128</f>
        <v>104.2</v>
      </c>
      <c r="G243" s="202">
        <f>'[4]Pel Non PO'!G128</f>
        <v>0</v>
      </c>
      <c r="H243" s="151">
        <f t="shared" si="47"/>
        <v>0</v>
      </c>
      <c r="I243" s="201">
        <f t="shared" si="48"/>
        <v>104.2</v>
      </c>
      <c r="J243" s="202">
        <f>'[4]Pel Non PO'!J128</f>
        <v>0</v>
      </c>
      <c r="K243" s="202">
        <f>'[4]Pel Non PO'!K128</f>
        <v>0</v>
      </c>
      <c r="L243" s="202">
        <f>'[4]Pel Non PO'!L128</f>
        <v>0</v>
      </c>
      <c r="M243" s="202">
        <f>'[4]Pel Non PO'!M128</f>
        <v>0</v>
      </c>
      <c r="N243" s="11">
        <f>IF(C243="*","*",IF(C243&gt;0,M243/C243*100,"-"))</f>
        <v>0</v>
      </c>
      <c r="O243" s="202">
        <f>IF(C243="*","*",SUM(J243:M243)/4)</f>
        <v>0</v>
      </c>
      <c r="P243" s="41" t="str">
        <f>IF(ISNUMBER(VLOOKUP(B243,[4]CLOSURES!B:BI,7,FALSE)),TEXT(VLOOKUP(B243,[4]CLOSURES!B:BI,7,FALSE),"ddmmm"),IF(F243&lt;=0,0,IF(I243&lt;=0,0,IF(AND(F243&gt;0,O243&lt;=0),"&gt;52",IF(I243/O243&gt;52,"&gt;52", MAX(0,I243/O243-2))))))</f>
        <v>01Jan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f>'[5]Maj Pel Combined'!$G$33</f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f>IF(C244="*","*",SUM(J244:M244)/4)</f>
        <v>0</v>
      </c>
      <c r="P244" s="41" t="str">
        <f>IF(ISNUMBER(VLOOKUP(B244,[4]CLOSURES!B:BI,7,FALSE)),TEXT(VLOOKUP(B244,[4]CLOSURES!B:BI,7,FALSE),"ddmmm"),IF(F244&lt;=0,0,IF(I244&lt;=0,0,IF(AND(F244&gt;0,O244&lt;=0),"&gt;52",IF(I244/O244&gt;52,"&gt;52", MAX(0,I244/O244-2))))))</f>
        <v>01Jan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f>'[4]Pel Non PO'!C135</f>
        <v>1147.393</v>
      </c>
      <c r="D245" s="200">
        <f>'[4]Pel Non PO'!D135</f>
        <v>0</v>
      </c>
      <c r="E245" s="200">
        <f t="shared" si="44"/>
        <v>0</v>
      </c>
      <c r="F245" s="201">
        <f>'[4]Pel Non PO'!F135</f>
        <v>1147.393</v>
      </c>
      <c r="G245" s="202">
        <f>'[4]Pel Non PO'!G135</f>
        <v>58.180719997365024</v>
      </c>
      <c r="H245" s="151">
        <f t="shared" si="47"/>
        <v>5.0706880726451198</v>
      </c>
      <c r="I245" s="201">
        <f t="shared" si="48"/>
        <v>1089.212280002635</v>
      </c>
      <c r="J245" s="202">
        <f>'[4]Pel Non PO'!J135</f>
        <v>1.7438399999737757</v>
      </c>
      <c r="K245" s="202">
        <f>'[4]Pel Non PO'!K135</f>
        <v>0.24180236908793429</v>
      </c>
      <c r="L245" s="202">
        <f>'[4]Pel Non PO'!L135</f>
        <v>0.60999999999999943</v>
      </c>
      <c r="M245" s="202">
        <f>'[4]Pel Non PO'!M135</f>
        <v>1.1350000012666506E-2</v>
      </c>
      <c r="N245" s="11">
        <f>IF(C245="*","*",IF(C245&gt;0,M245/C245*100,"-"))</f>
        <v>9.8919899395120124E-4</v>
      </c>
      <c r="O245" s="202">
        <f>IF(C245="*","*",SUM(J245:M245)/4)</f>
        <v>0.65174809226859398</v>
      </c>
      <c r="P245" s="41" t="str">
        <f>IF(ISNUMBER(VLOOKUP(B245,[4]CLOSURES!B:BI,7,FALSE)),TEXT(VLOOKUP(B245,[4]CLOSURES!B:BI,7,FALSE),"ddmmm"),IF(F245&lt;=0,0,IF(I245&lt;=0,0,IF(AND(F245&gt;0,O245&lt;=0),"&gt;52",IF(I245/O245&gt;52,"&gt;52", MAX(0,I245/O245-2))))))</f>
        <v>&gt;52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f>'[5]Maj Pel Combined'!$G$41</f>
        <v>0</v>
      </c>
      <c r="D247" s="200"/>
      <c r="E247" s="200"/>
      <c r="F247" s="201">
        <f>C247</f>
        <v>0</v>
      </c>
      <c r="G247" s="202"/>
      <c r="H247" s="151"/>
      <c r="I247" s="201">
        <f>C247</f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f>C241+SUM(C243:C247)</f>
        <v>1776.373</v>
      </c>
      <c r="D248" s="131">
        <f>D241+SUM(D243:D247)</f>
        <v>0</v>
      </c>
      <c r="E248" s="131">
        <f>E241+SUM(E243:E247)</f>
        <v>0</v>
      </c>
      <c r="F248" s="132">
        <f>[4]quotas!H79+F247</f>
        <v>1776.373</v>
      </c>
      <c r="G248" s="131">
        <f>G241+SUM(G243:G247)</f>
        <v>418.78621978608896</v>
      </c>
      <c r="H248" s="156">
        <f t="shared" si="47"/>
        <v>23.575353812858502</v>
      </c>
      <c r="I248" s="132">
        <f t="shared" si="48"/>
        <v>1357.586780213911</v>
      </c>
      <c r="J248" s="131">
        <f>J241+J243+J245</f>
        <v>12.478840001881169</v>
      </c>
      <c r="K248" s="131">
        <f>K241+K243+K245</f>
        <v>10.309802414864262</v>
      </c>
      <c r="L248" s="131">
        <f>VLOOKUP(B248,[4]Weeks!$A$44:$X$81,8,FALSE)-VLOOKUP(B248,[4]Weeks!$A$85:$X$121,8,FALSE)</f>
        <v>10.725999975204388</v>
      </c>
      <c r="M248" s="131">
        <f>M241+M243+M245</f>
        <v>12.617412902023656</v>
      </c>
      <c r="N248" s="53">
        <f>IF(C248="*","*",IF(C248&gt;0,M248/C248*100,"-"))</f>
        <v>0.71029073860183956</v>
      </c>
      <c r="O248" s="131">
        <f>IF(C248="*","*",SUM(J248:M248)/4)</f>
        <v>11.53301382349337</v>
      </c>
      <c r="P248" s="49" t="str">
        <f>IF(ISNUMBER(VLOOKUP(B248,[4]CLOSURES!B:BI,7,FALSE)),TEXT(VLOOKUP(B248,[4]CLOSURES!B:BI,7,FALSE),"ddmmm"),IF(F248&lt;=0,0,IF(I248&lt;=0,0,IF(AND(F248&gt;0,O248&lt;=0),"&gt;52",IF(I248/O248&gt;52,"&gt;52", MAX(0,I248/O248-2))))))</f>
        <v>&gt;52</v>
      </c>
      <c r="R248" s="153"/>
    </row>
    <row r="249" spans="1:254" ht="10.75" hidden="1" customHeight="1" x14ac:dyDescent="0.3">
      <c r="B249" s="163" t="str">
        <f>B83</f>
        <v>Number of Weeks to end of year is 2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tr">
        <f>B84</f>
        <v>Estimated weeks left after applying 4 week average to amount left, and subtracting 2 weeks to account for lags in recording.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f>$J7</f>
        <v>44895</v>
      </c>
      <c r="K256" s="33">
        <f>$K7</f>
        <v>44902</v>
      </c>
      <c r="L256" s="33">
        <f>$L7</f>
        <v>44909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f>'[5]Maj Pel Combined'!$H$23</f>
        <v>111</v>
      </c>
      <c r="D259" s="200">
        <f>F259-VLOOKUP(B259,[4]quotas!$B$85:$W$120,12,FALSE)</f>
        <v>0</v>
      </c>
      <c r="E259" s="200">
        <f t="shared" ref="E259:E288" si="52">F259-C259</f>
        <v>0</v>
      </c>
      <c r="F259" s="201">
        <f>VLOOKUP(B259,[4]quotas!$B$46:$W$84,12,FALSE)</f>
        <v>111</v>
      </c>
      <c r="G259" s="202">
        <f>VLOOKUP(B259,[4]Cumulative!$A$56:$X$91,13,FALSE)</f>
        <v>0</v>
      </c>
      <c r="H259" s="151">
        <f>IF(AND(F259=0,G259&gt;0),"n/a",IF(F259=0,0,100*G259/F259))</f>
        <v>0</v>
      </c>
      <c r="I259" s="201">
        <f>IF(F259="*","*",F259-G259)</f>
        <v>111</v>
      </c>
      <c r="J259" s="202">
        <f>VLOOKUP(B259,[4]Weeks!$A$125:$X$161,13,FALSE)-VLOOKUP(B259,[4]Weeks!$A$165:$X$200,13,FALSE)</f>
        <v>0</v>
      </c>
      <c r="K259" s="202">
        <f>VLOOKUP(B259,[4]Weeks!$A$85:$X$121,13,FALSE)-VLOOKUP(B259,[4]Weeks!$A$125:$X$161,13,FALSE)</f>
        <v>0</v>
      </c>
      <c r="L259" s="202">
        <f>VLOOKUP(B259,[4]Weeks!$A$44:$X$81,13,FALSE)-VLOOKUP(B259,[4]Weeks!$A$85:$X$121,13,FALSE)</f>
        <v>0</v>
      </c>
      <c r="M259" s="202">
        <f>VLOOKUP(B259,[4]Weeks!$A$3:$X$39,13,FALSE)-VLOOKUP(B259,[4]Weeks!$A$44:$X$81,13,FALSE)</f>
        <v>0</v>
      </c>
      <c r="N259" s="11">
        <f t="shared" ref="N259:N268" si="53">IF(C259="*","*",IF(C259&gt;0,M259/C259*100,"-"))</f>
        <v>0</v>
      </c>
      <c r="O259" s="202">
        <f t="shared" ref="O259:O268" si="54">IF(C259="*","*",SUM(J259:M259)/4)</f>
        <v>0</v>
      </c>
      <c r="P259" s="41" t="str">
        <f>IF(ISNUMBER(VLOOKUP(B259,[4]CLOSURES!B:BI,12,FALSE)),TEXT(VLOOKUP(B259,[4]CLOSURES!B:BI,12,FALSE),"ddmmm"),IF(F259&lt;=0,0,IF(I259&lt;=0,0,IF(AND(F259&gt;0,O259&lt;=0),"&gt;52",IF(I259/O259&gt;52,"&gt;52", MAX(0,I259/O259-2))))))</f>
        <v>&gt;52</v>
      </c>
      <c r="R259" s="153"/>
    </row>
    <row r="260" spans="2:18" s="158" customFormat="1" ht="10.75" customHeight="1" x14ac:dyDescent="0.3">
      <c r="B260" s="40" t="s">
        <v>63</v>
      </c>
      <c r="C260" s="130">
        <f>'[5]Maj Pel Combined'!$H$16</f>
        <v>3.6</v>
      </c>
      <c r="D260" s="200">
        <f>F260-VLOOKUP(B260,[4]quotas!$B$85:$W$120,12,FALSE)</f>
        <v>0</v>
      </c>
      <c r="E260" s="200">
        <f t="shared" si="52"/>
        <v>0</v>
      </c>
      <c r="F260" s="201">
        <f>VLOOKUP(B260,[4]quotas!$B$46:$W$84,12,FALSE)</f>
        <v>3.6</v>
      </c>
      <c r="G260" s="202">
        <f>VLOOKUP(B260,[4]Cumulative!$A$56:$X$91,13,FALSE)</f>
        <v>0</v>
      </c>
      <c r="H260" s="151">
        <f t="shared" ref="H260:H291" si="55">IF(AND(F260=0,G260&gt;0),"n/a",IF(F260=0,0,100*G260/F260))</f>
        <v>0</v>
      </c>
      <c r="I260" s="201">
        <f t="shared" ref="I260:I291" si="56">IF(F260="*","*",F260-G260)</f>
        <v>3.6</v>
      </c>
      <c r="J260" s="202">
        <f>VLOOKUP(B260,[4]Weeks!$A$125:$X$161,13,FALSE)-VLOOKUP(B260,[4]Weeks!$A$165:$X$200,13,FALSE)</f>
        <v>0</v>
      </c>
      <c r="K260" s="202">
        <f>VLOOKUP(B260,[4]Weeks!$A$85:$X$121,13,FALSE)-VLOOKUP(B260,[4]Weeks!$A$125:$X$161,13,FALSE)</f>
        <v>0</v>
      </c>
      <c r="L260" s="202">
        <f>VLOOKUP(B260,[4]Weeks!$A$44:$X$81,13,FALSE)-VLOOKUP(B260,[4]Weeks!$A$85:$X$121,13,FALSE)</f>
        <v>0</v>
      </c>
      <c r="M260" s="202">
        <f>VLOOKUP(B260,[4]Weeks!$A$3:$X$39,13,FALSE)-VLOOKUP(B260,[4]Weeks!$A$44:$X$81,13,FALSE)</f>
        <v>0</v>
      </c>
      <c r="N260" s="11">
        <f t="shared" si="53"/>
        <v>0</v>
      </c>
      <c r="O260" s="202">
        <f t="shared" si="54"/>
        <v>0</v>
      </c>
      <c r="P260" s="41" t="str">
        <f>IF(ISNUMBER(VLOOKUP(B260,[4]CLOSURES!B:BI,12,FALSE)),TEXT(VLOOKUP(B260,[4]CLOSURES!B:BI,12,FALSE),"ddmmm"),IF(F260&lt;=0,0,IF(I260&lt;=0,0,IF(AND(F260&gt;0,O260&lt;=0),"&gt;52",IF(I260/O260&gt;52,"&gt;52", MAX(0,I260/O260-2))))))</f>
        <v>&gt;52</v>
      </c>
      <c r="R260" s="153"/>
    </row>
    <row r="261" spans="2:18" s="158" customFormat="1" ht="10.75" customHeight="1" x14ac:dyDescent="0.3">
      <c r="B261" s="40" t="s">
        <v>65</v>
      </c>
      <c r="C261" s="130">
        <f>'[5]Maj Pel Combined'!$H$20</f>
        <v>0.3</v>
      </c>
      <c r="D261" s="200">
        <f>F261-VLOOKUP(B261,[4]quotas!$B$85:$W$120,12,FALSE)</f>
        <v>0</v>
      </c>
      <c r="E261" s="200">
        <f t="shared" si="52"/>
        <v>0</v>
      </c>
      <c r="F261" s="201">
        <f>VLOOKUP(B261,[4]quotas!$B$46:$W$84,12,FALSE)</f>
        <v>0.3</v>
      </c>
      <c r="G261" s="202">
        <f>VLOOKUP(B261,[4]Cumulative!$A$56:$X$91,13,FALSE)</f>
        <v>0</v>
      </c>
      <c r="H261" s="151">
        <f t="shared" si="55"/>
        <v>0</v>
      </c>
      <c r="I261" s="201">
        <f t="shared" si="56"/>
        <v>0.3</v>
      </c>
      <c r="J261" s="202">
        <f>VLOOKUP(B261,[4]Weeks!$A$125:$X$161,13,FALSE)-VLOOKUP(B261,[4]Weeks!$A$165:$X$200,13,FALSE)</f>
        <v>0</v>
      </c>
      <c r="K261" s="202">
        <f>VLOOKUP(B261,[4]Weeks!$A$85:$X$121,13,FALSE)-VLOOKUP(B261,[4]Weeks!$A$125:$X$161,13,FALSE)</f>
        <v>0</v>
      </c>
      <c r="L261" s="202">
        <f>VLOOKUP(B261,[4]Weeks!$A$44:$X$81,13,FALSE)-VLOOKUP(B261,[4]Weeks!$A$85:$X$121,13,FALSE)</f>
        <v>0</v>
      </c>
      <c r="M261" s="202">
        <f>VLOOKUP(B261,[4]Weeks!$A$3:$X$39,13,FALSE)-VLOOKUP(B261,[4]Weeks!$A$44:$X$81,13,FALSE)</f>
        <v>0</v>
      </c>
      <c r="N261" s="11">
        <f t="shared" si="53"/>
        <v>0</v>
      </c>
      <c r="O261" s="202">
        <f t="shared" si="54"/>
        <v>0</v>
      </c>
      <c r="P261" s="41" t="str">
        <f>IF(ISNUMBER(VLOOKUP(B261,[4]CLOSURES!B:BI,12,FALSE)),TEXT(VLOOKUP(B261,[4]CLOSURES!B:BI,12,FALSE),"ddmmm"),IF(F261&lt;=0,0,IF(I261&lt;=0,0,IF(AND(F261&gt;0,O261&lt;=0),"&gt;52",IF(I261/O261&gt;52,"&gt;52", MAX(0,I261/O261-2))))))</f>
        <v>&gt;52</v>
      </c>
      <c r="R261" s="153"/>
    </row>
    <row r="262" spans="2:18" s="158" customFormat="1" ht="10.75" customHeight="1" x14ac:dyDescent="0.3">
      <c r="B262" s="40" t="s">
        <v>66</v>
      </c>
      <c r="C262" s="130">
        <f>'[5]Maj Pel Combined'!$H$24</f>
        <v>0</v>
      </c>
      <c r="D262" s="200">
        <f>F262-VLOOKUP(B262,[4]quotas!$B$85:$W$120,12,FALSE)</f>
        <v>0</v>
      </c>
      <c r="E262" s="200">
        <f t="shared" si="52"/>
        <v>0</v>
      </c>
      <c r="F262" s="201">
        <f>VLOOKUP(B262,[4]quotas!$B$46:$W$84,12,FALSE)</f>
        <v>0</v>
      </c>
      <c r="G262" s="202">
        <f>VLOOKUP(B262,[4]Cumulative!$A$56:$X$91,13,FALSE)</f>
        <v>0</v>
      </c>
      <c r="H262" s="151">
        <f t="shared" si="55"/>
        <v>0</v>
      </c>
      <c r="I262" s="201">
        <f t="shared" si="56"/>
        <v>0</v>
      </c>
      <c r="J262" s="202">
        <f>VLOOKUP(B262,[4]Weeks!$A$125:$X$161,13,FALSE)-VLOOKUP(B262,[4]Weeks!$A$165:$X$200,13,FALSE)</f>
        <v>0</v>
      </c>
      <c r="K262" s="202">
        <f>VLOOKUP(B262,[4]Weeks!$A$85:$X$121,13,FALSE)-VLOOKUP(B262,[4]Weeks!$A$125:$X$161,13,FALSE)</f>
        <v>0</v>
      </c>
      <c r="L262" s="202">
        <f>VLOOKUP(B262,[4]Weeks!$A$44:$X$81,13,FALSE)-VLOOKUP(B262,[4]Weeks!$A$85:$X$121,13,FALSE)</f>
        <v>0</v>
      </c>
      <c r="M262" s="202">
        <f>VLOOKUP(B262,[4]Weeks!$A$3:$X$39,13,FALSE)-VLOOKUP(B262,[4]Weeks!$A$44:$X$81,13,FALSE)</f>
        <v>0</v>
      </c>
      <c r="N262" s="11" t="str">
        <f t="shared" si="53"/>
        <v>-</v>
      </c>
      <c r="O262" s="202">
        <f t="shared" si="54"/>
        <v>0</v>
      </c>
      <c r="P262" s="41">
        <f>IF(ISNUMBER(VLOOKUP(B262,[4]CLOSURES!B:BI,12,FALSE)),TEXT(VLOOKUP(B262,[4]CLOSURES!B:BI,12,FALSE),"ddmmm"),IF(F262&lt;=0,0,IF(I262&lt;=0,0,IF(AND(F262&gt;0,O262&lt;=0),"&gt;52",IF(I262/O262&gt;52,"&gt;52", MAX(0,I262/O262-2))))))</f>
        <v>0</v>
      </c>
      <c r="R262" s="153"/>
    </row>
    <row r="263" spans="2:18" s="158" customFormat="1" ht="10.75" customHeight="1" x14ac:dyDescent="0.3">
      <c r="B263" s="40" t="s">
        <v>67</v>
      </c>
      <c r="C263" s="130">
        <f>'[5]Maj Pel Combined'!$H$17</f>
        <v>0</v>
      </c>
      <c r="D263" s="200">
        <f>F263-VLOOKUP(B263,[4]quotas!$B$85:$W$120,12,FALSE)</f>
        <v>0</v>
      </c>
      <c r="E263" s="200">
        <f>F263-C263</f>
        <v>0</v>
      </c>
      <c r="F263" s="201">
        <f>VLOOKUP(B263,[4]quotas!$B$46:$W$84,12,FALSE)</f>
        <v>0</v>
      </c>
      <c r="G263" s="202">
        <f>VLOOKUP(B263,[4]Cumulative!$A$56:$X$91,13,FALSE)</f>
        <v>0</v>
      </c>
      <c r="H263" s="151">
        <f>IF(AND(F263=0,G263&gt;0),"n/a",IF(F263=0,0,100*G263/F263))</f>
        <v>0</v>
      </c>
      <c r="I263" s="201">
        <f>IF(F263="*","*",F263-G263)</f>
        <v>0</v>
      </c>
      <c r="J263" s="202">
        <f>VLOOKUP(B263,[4]Weeks!$A$125:$X$161,13,FALSE)-VLOOKUP(B263,[4]Weeks!$A$165:$X$200,13,FALSE)</f>
        <v>0</v>
      </c>
      <c r="K263" s="202">
        <f>VLOOKUP(B263,[4]Weeks!$A$85:$X$121,13,FALSE)-VLOOKUP(B263,[4]Weeks!$A$125:$X$161,13,FALSE)</f>
        <v>0</v>
      </c>
      <c r="L263" s="202">
        <f>VLOOKUP(B263,[4]Weeks!$A$44:$X$81,13,FALSE)-VLOOKUP(B263,[4]Weeks!$A$85:$X$121,13,FALSE)</f>
        <v>0</v>
      </c>
      <c r="M263" s="202">
        <f>VLOOKUP(B263,[4]Weeks!$A$3:$X$39,13,FALSE)-VLOOKUP(B263,[4]Weeks!$A$44:$X$81,13,FALSE)</f>
        <v>0</v>
      </c>
      <c r="N263" s="11" t="str">
        <f>IF(C263="*","*",IF(C263&gt;0,M263/C263*100,"-"))</f>
        <v>-</v>
      </c>
      <c r="O263" s="202">
        <f t="shared" si="54"/>
        <v>0</v>
      </c>
      <c r="P263" s="41">
        <f>IF(ISNUMBER(VLOOKUP(B263,[4]CLOSURES!B:BI,12,FALSE)),TEXT(VLOOKUP(B263,[4]CLOSURES!B:BI,12,FALSE),"ddmmm"),IF(F263&lt;=0,0,IF(I263&lt;=0,0,IF(AND(F263&gt;0,O263&lt;=0),"&gt;52",IF(I263/O263&gt;52,"&gt;52", MAX(0,I263/O263-2))))))</f>
        <v>0</v>
      </c>
      <c r="R263" s="153"/>
    </row>
    <row r="264" spans="2:18" s="158" customFormat="1" ht="10.75" customHeight="1" x14ac:dyDescent="0.3">
      <c r="B264" s="40" t="s">
        <v>68</v>
      </c>
      <c r="C264" s="130">
        <f>'[5]Maj Pel Combined'!$H$25</f>
        <v>20.6</v>
      </c>
      <c r="D264" s="200">
        <f>F264-VLOOKUP(B264,[4]quotas!$B$85:$W$120,12,FALSE)</f>
        <v>0</v>
      </c>
      <c r="E264" s="200">
        <f t="shared" si="52"/>
        <v>0</v>
      </c>
      <c r="F264" s="201">
        <f>VLOOKUP(B264,[4]quotas!$B$46:$W$84,12,FALSE)</f>
        <v>20.6</v>
      </c>
      <c r="G264" s="202">
        <f>VLOOKUP(B264,[4]Cumulative!$A$56:$X$91,13,FALSE)</f>
        <v>0</v>
      </c>
      <c r="H264" s="151">
        <f t="shared" si="55"/>
        <v>0</v>
      </c>
      <c r="I264" s="201">
        <f t="shared" si="56"/>
        <v>20.6</v>
      </c>
      <c r="J264" s="202">
        <f>VLOOKUP(B264,[4]Weeks!$A$125:$X$161,13,FALSE)-VLOOKUP(B264,[4]Weeks!$A$165:$X$200,13,FALSE)</f>
        <v>0</v>
      </c>
      <c r="K264" s="202">
        <f>VLOOKUP(B264,[4]Weeks!$A$85:$X$121,13,FALSE)-VLOOKUP(B264,[4]Weeks!$A$125:$X$161,13,FALSE)</f>
        <v>0</v>
      </c>
      <c r="L264" s="202">
        <f>VLOOKUP(B264,[4]Weeks!$A$44:$X$81,13,FALSE)-VLOOKUP(B264,[4]Weeks!$A$85:$X$121,13,FALSE)</f>
        <v>0</v>
      </c>
      <c r="M264" s="202">
        <f>VLOOKUP(B264,[4]Weeks!$A$3:$X$39,13,FALSE)-VLOOKUP(B264,[4]Weeks!$A$44:$X$81,13,FALSE)</f>
        <v>0</v>
      </c>
      <c r="N264" s="11">
        <f t="shared" si="53"/>
        <v>0</v>
      </c>
      <c r="O264" s="202">
        <f t="shared" si="54"/>
        <v>0</v>
      </c>
      <c r="P264" s="41" t="str">
        <f>IF(ISNUMBER(VLOOKUP(B264,[4]CLOSURES!B:BI,12,FALSE)),TEXT(VLOOKUP(B264,[4]CLOSURES!B:BI,12,FALSE),"ddmmm"),IF(F264&lt;=0,0,IF(I264&lt;=0,0,IF(AND(F264&gt;0,O264&lt;=0),"&gt;52",IF(I264/O264&gt;52,"&gt;52", MAX(0,I264/O264-2))))))</f>
        <v>&gt;52</v>
      </c>
      <c r="R264" s="153"/>
    </row>
    <row r="265" spans="2:18" s="158" customFormat="1" ht="10.75" customHeight="1" x14ac:dyDescent="0.3">
      <c r="B265" s="40" t="s">
        <v>69</v>
      </c>
      <c r="C265" s="130">
        <f>'[5]Maj Pel Combined'!$H$22</f>
        <v>0.1</v>
      </c>
      <c r="D265" s="200">
        <f>F265-VLOOKUP(B265,[4]quotas!$B$85:$W$120,12,FALSE)</f>
        <v>0</v>
      </c>
      <c r="E265" s="200">
        <f t="shared" si="52"/>
        <v>0</v>
      </c>
      <c r="F265" s="201">
        <f>VLOOKUP(B265,[4]quotas!$B$46:$W$84,12,FALSE)</f>
        <v>0.1</v>
      </c>
      <c r="G265" s="202">
        <f>VLOOKUP(B265,[4]Cumulative!$A$56:$X$91,13,FALSE)</f>
        <v>0</v>
      </c>
      <c r="H265" s="151">
        <f t="shared" si="55"/>
        <v>0</v>
      </c>
      <c r="I265" s="201">
        <f t="shared" si="56"/>
        <v>0.1</v>
      </c>
      <c r="J265" s="202">
        <f>VLOOKUP(B265,[4]Weeks!$A$125:$X$161,13,FALSE)-VLOOKUP(B265,[4]Weeks!$A$165:$X$200,13,FALSE)</f>
        <v>0</v>
      </c>
      <c r="K265" s="202">
        <f>VLOOKUP(B265,[4]Weeks!$A$85:$X$121,13,FALSE)-VLOOKUP(B265,[4]Weeks!$A$125:$X$161,13,FALSE)</f>
        <v>0</v>
      </c>
      <c r="L265" s="202">
        <f>VLOOKUP(B265,[4]Weeks!$A$44:$X$81,13,FALSE)-VLOOKUP(B265,[4]Weeks!$A$85:$X$121,13,FALSE)</f>
        <v>0</v>
      </c>
      <c r="M265" s="202">
        <f>VLOOKUP(B265,[4]Weeks!$A$3:$X$39,13,FALSE)-VLOOKUP(B265,[4]Weeks!$A$44:$X$81,13,FALSE)</f>
        <v>0</v>
      </c>
      <c r="N265" s="11">
        <f t="shared" si="53"/>
        <v>0</v>
      </c>
      <c r="O265" s="202">
        <f t="shared" si="54"/>
        <v>0</v>
      </c>
      <c r="P265" s="41" t="str">
        <f>IF(ISNUMBER(VLOOKUP(B265,[4]CLOSURES!B:BI,12,FALSE)),TEXT(VLOOKUP(B265,[4]CLOSURES!B:BI,12,FALSE),"ddmmm"),IF(F265&lt;=0,0,IF(I265&lt;=0,0,IF(AND(F265&gt;0,O265&lt;=0),"&gt;52",IF(I265/O265&gt;52,"&gt;52", MAX(0,I265/O265-2))))))</f>
        <v>&gt;52</v>
      </c>
      <c r="R265" s="153"/>
    </row>
    <row r="266" spans="2:18" s="158" customFormat="1" ht="10.75" customHeight="1" x14ac:dyDescent="0.3">
      <c r="B266" s="40" t="s">
        <v>70</v>
      </c>
      <c r="C266" s="130">
        <f>'[5]Maj Pel Combined'!$H$21</f>
        <v>3.2</v>
      </c>
      <c r="D266" s="200">
        <f>F266-VLOOKUP(B266,[4]quotas!$B$85:$W$120,12,FALSE)</f>
        <v>0</v>
      </c>
      <c r="E266" s="200">
        <f t="shared" si="52"/>
        <v>0</v>
      </c>
      <c r="F266" s="201">
        <f>VLOOKUP(B266,[4]quotas!$B$46:$W$84,12,FALSE)</f>
        <v>3.2</v>
      </c>
      <c r="G266" s="202">
        <f>VLOOKUP(B266,[4]Cumulative!$A$56:$X$91,13,FALSE)</f>
        <v>0</v>
      </c>
      <c r="H266" s="151">
        <f t="shared" si="55"/>
        <v>0</v>
      </c>
      <c r="I266" s="201">
        <f t="shared" si="56"/>
        <v>3.2</v>
      </c>
      <c r="J266" s="202">
        <f>VLOOKUP(B266,[4]Weeks!$A$125:$X$161,13,FALSE)-VLOOKUP(B266,[4]Weeks!$A$165:$X$200,13,FALSE)</f>
        <v>0</v>
      </c>
      <c r="K266" s="202">
        <f>VLOOKUP(B266,[4]Weeks!$A$85:$X$121,13,FALSE)-VLOOKUP(B266,[4]Weeks!$A$125:$X$161,13,FALSE)</f>
        <v>0</v>
      </c>
      <c r="L266" s="202">
        <f>VLOOKUP(B266,[4]Weeks!$A$44:$X$81,13,FALSE)-VLOOKUP(B266,[4]Weeks!$A$85:$X$121,13,FALSE)</f>
        <v>0</v>
      </c>
      <c r="M266" s="202">
        <f>VLOOKUP(B266,[4]Weeks!$A$3:$X$39,13,FALSE)-VLOOKUP(B266,[4]Weeks!$A$44:$X$81,13,FALSE)</f>
        <v>0</v>
      </c>
      <c r="N266" s="11">
        <f t="shared" si="53"/>
        <v>0</v>
      </c>
      <c r="O266" s="202">
        <f t="shared" si="54"/>
        <v>0</v>
      </c>
      <c r="P266" s="41" t="str">
        <f>IF(ISNUMBER(VLOOKUP(B266,[4]CLOSURES!B:BI,12,FALSE)),TEXT(VLOOKUP(B266,[4]CLOSURES!B:BI,12,FALSE),"ddmmm"),IF(F266&lt;=0,0,IF(I266&lt;=0,0,IF(AND(F266&gt;0,O266&lt;=0),"&gt;52",IF(I266/O266&gt;52,"&gt;52", MAX(0,I266/O266-2))))))</f>
        <v>&gt;52</v>
      </c>
      <c r="R266" s="153"/>
    </row>
    <row r="267" spans="2:18" s="158" customFormat="1" ht="10.75" customHeight="1" x14ac:dyDescent="0.3">
      <c r="B267" s="40" t="s">
        <v>71</v>
      </c>
      <c r="C267" s="130">
        <f>'[5]Maj Pel Combined'!$H$18</f>
        <v>0</v>
      </c>
      <c r="D267" s="200">
        <f>F267-VLOOKUP(B267,[4]quotas!$B$85:$W$120,12,FALSE)</f>
        <v>0</v>
      </c>
      <c r="E267" s="200">
        <f t="shared" si="52"/>
        <v>0</v>
      </c>
      <c r="F267" s="201">
        <f>VLOOKUP(B267,[4]quotas!$B$46:$W$84,12,FALSE)</f>
        <v>0</v>
      </c>
      <c r="G267" s="202">
        <f>VLOOKUP(B267,[4]Cumulative!$A$56:$X$91,13,FALSE)</f>
        <v>0</v>
      </c>
      <c r="H267" s="151">
        <f t="shared" si="55"/>
        <v>0</v>
      </c>
      <c r="I267" s="201">
        <f t="shared" si="56"/>
        <v>0</v>
      </c>
      <c r="J267" s="202">
        <f>VLOOKUP(B267,[4]Weeks!$A$125:$X$161,13,FALSE)-VLOOKUP(B267,[4]Weeks!$A$165:$X$200,13,FALSE)</f>
        <v>0</v>
      </c>
      <c r="K267" s="202">
        <f>VLOOKUP(B267,[4]Weeks!$A$85:$X$121,13,FALSE)-VLOOKUP(B267,[4]Weeks!$A$125:$X$161,13,FALSE)</f>
        <v>0</v>
      </c>
      <c r="L267" s="202">
        <f>VLOOKUP(B267,[4]Weeks!$A$44:$X$81,13,FALSE)-VLOOKUP(B267,[4]Weeks!$A$85:$X$121,13,FALSE)</f>
        <v>0</v>
      </c>
      <c r="M267" s="202">
        <f>VLOOKUP(B267,[4]Weeks!$A$3:$X$39,13,FALSE)-VLOOKUP(B267,[4]Weeks!$A$44:$X$81,13,FALSE)</f>
        <v>0</v>
      </c>
      <c r="N267" s="11" t="str">
        <f t="shared" si="53"/>
        <v>-</v>
      </c>
      <c r="O267" s="202">
        <f t="shared" si="54"/>
        <v>0</v>
      </c>
      <c r="P267" s="41">
        <f>IF(ISNUMBER(VLOOKUP(B267,[4]CLOSURES!B:BI,12,FALSE)),TEXT(VLOOKUP(B267,[4]CLOSURES!B:BI,12,FALSE),"ddmmm"),IF(F267&lt;=0,0,IF(I267&lt;=0,0,IF(AND(F267&gt;0,O267&lt;=0),"&gt;52",IF(I267/O267&gt;52,"&gt;52", MAX(0,I267/O267-2))))))</f>
        <v>0</v>
      </c>
      <c r="R267" s="153"/>
    </row>
    <row r="268" spans="2:18" s="158" customFormat="1" ht="10.75" customHeight="1" x14ac:dyDescent="0.3">
      <c r="B268" s="40" t="s">
        <v>72</v>
      </c>
      <c r="C268" s="130">
        <f>'[5]Maj Pel Combined'!$H$19</f>
        <v>0</v>
      </c>
      <c r="D268" s="200">
        <f>F268-VLOOKUP(B268,[4]quotas!$B$85:$W$120,12,FALSE)</f>
        <v>0</v>
      </c>
      <c r="E268" s="200">
        <f t="shared" si="52"/>
        <v>0</v>
      </c>
      <c r="F268" s="201">
        <f>VLOOKUP(B268,[4]quotas!$B$46:$W$84,12,FALSE)</f>
        <v>0</v>
      </c>
      <c r="G268" s="202">
        <f>VLOOKUP(B268,[4]Cumulative!$A$56:$X$91,13,FALSE)</f>
        <v>0</v>
      </c>
      <c r="H268" s="151">
        <f t="shared" si="55"/>
        <v>0</v>
      </c>
      <c r="I268" s="201">
        <f t="shared" si="56"/>
        <v>0</v>
      </c>
      <c r="J268" s="202">
        <f>VLOOKUP(B268,[4]Weeks!$A$125:$X$161,13,FALSE)-VLOOKUP(B268,[4]Weeks!$A$165:$X$200,13,FALSE)</f>
        <v>0</v>
      </c>
      <c r="K268" s="202">
        <f>VLOOKUP(B268,[4]Weeks!$A$85:$X$121,13,FALSE)-VLOOKUP(B268,[4]Weeks!$A$125:$X$161,13,FALSE)</f>
        <v>0</v>
      </c>
      <c r="L268" s="202">
        <f>VLOOKUP(B268,[4]Weeks!$A$44:$X$81,13,FALSE)-VLOOKUP(B268,[4]Weeks!$A$85:$X$121,13,FALSE)</f>
        <v>0</v>
      </c>
      <c r="M268" s="202">
        <f>VLOOKUP(B268,[4]Weeks!$A$3:$X$39,13,FALSE)-VLOOKUP(B268,[4]Weeks!$A$44:$X$81,13,FALSE)</f>
        <v>0</v>
      </c>
      <c r="N268" s="11" t="str">
        <f t="shared" si="53"/>
        <v>-</v>
      </c>
      <c r="O268" s="202">
        <f t="shared" si="54"/>
        <v>0</v>
      </c>
      <c r="P268" s="41">
        <f>IF(ISNUMBER(VLOOKUP(B268,[4]CLOSURES!B:BI,12,FALSE)),TEXT(VLOOKUP(B268,[4]CLOSURES!B:BI,12,FALSE),"ddmmm"),IF(F268&lt;=0,0,IF(I268&lt;=0,0,IF(AND(F268&gt;0,O268&lt;=0),"&gt;52",IF(I268/O268&gt;52,"&gt;52", MAX(0,I268/O268-2))))))</f>
        <v>0</v>
      </c>
      <c r="R268" s="153"/>
    </row>
    <row r="269" spans="2:18" s="158" customFormat="1" ht="10.75" customHeight="1" x14ac:dyDescent="0.3">
      <c r="B269" s="43" t="s">
        <v>73</v>
      </c>
      <c r="C269" s="130">
        <f>SUM(C259:C268)</f>
        <v>138.79999999999998</v>
      </c>
      <c r="D269" s="200">
        <f>SUM(D259:D268)</f>
        <v>0</v>
      </c>
      <c r="E269" s="200">
        <f t="shared" si="52"/>
        <v>0</v>
      </c>
      <c r="F269" s="201">
        <f>SUM(F259:F268)</f>
        <v>138.79999999999998</v>
      </c>
      <c r="G269" s="202">
        <f>SUM(G259:G268)</f>
        <v>0</v>
      </c>
      <c r="H269" s="151">
        <f t="shared" si="55"/>
        <v>0</v>
      </c>
      <c r="I269" s="201">
        <f t="shared" si="56"/>
        <v>138.79999999999998</v>
      </c>
      <c r="J269" s="202">
        <f t="shared" ref="J269:O269" si="57">SUM(J259:J268)</f>
        <v>0</v>
      </c>
      <c r="K269" s="202">
        <f t="shared" si="57"/>
        <v>0</v>
      </c>
      <c r="L269" s="202">
        <f t="shared" si="57"/>
        <v>0</v>
      </c>
      <c r="M269" s="202">
        <f t="shared" si="57"/>
        <v>0</v>
      </c>
      <c r="N269" s="11">
        <f t="shared" si="57"/>
        <v>0</v>
      </c>
      <c r="O269" s="202">
        <f t="shared" si="57"/>
        <v>0</v>
      </c>
      <c r="P269" s="41" t="str">
        <f>IF(ISNUMBER(VLOOKUP(B269,[4]CLOSURES!B:BI,12,FALSE)),TEXT(VLOOKUP(B269,[4]CLOSURES!B:BI,12,FALSE),"ddmmm"),IF(F269&lt;=0,0,IF(I269&lt;=0,0,IF(AND(F269&gt;0,O269&lt;=0),"&gt;52",IF(I269/O269&gt;52,"&gt;52", MAX(0,I269/O269-2))))))</f>
        <v>&gt;52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f>'[5]Maj Pel Combined'!$H$5</f>
        <v>0</v>
      </c>
      <c r="D271" s="200">
        <f>F271-VLOOKUP(B271,[4]quotas!$B$85:$W$120,12,FALSE)</f>
        <v>0</v>
      </c>
      <c r="E271" s="200">
        <f t="shared" si="52"/>
        <v>0</v>
      </c>
      <c r="F271" s="201">
        <f>VLOOKUP(B271,[4]quotas!$B$46:$W$84,12,FALSE)</f>
        <v>0</v>
      </c>
      <c r="G271" s="202">
        <f>VLOOKUP(B271,[4]Cumulative!$A$56:$X$91,13,FALSE)</f>
        <v>0</v>
      </c>
      <c r="H271" s="151">
        <f t="shared" si="55"/>
        <v>0</v>
      </c>
      <c r="I271" s="201">
        <f t="shared" si="56"/>
        <v>0</v>
      </c>
      <c r="J271" s="202">
        <f>VLOOKUP(B271,[4]Weeks!$A$125:$X$161,13,FALSE)-VLOOKUP(B271,[4]Weeks!$A$165:$X$200,13,FALSE)</f>
        <v>0</v>
      </c>
      <c r="K271" s="202">
        <f>VLOOKUP(B271,[4]Weeks!$A$85:$X$121,13,FALSE)-VLOOKUP(B271,[4]Weeks!$A$125:$X$161,13,FALSE)</f>
        <v>0</v>
      </c>
      <c r="L271" s="202">
        <f>VLOOKUP(B271,[4]Weeks!$A$44:$X$81,13,FALSE)-VLOOKUP(B271,[4]Weeks!$A$85:$X$121,13,FALSE)</f>
        <v>0</v>
      </c>
      <c r="M271" s="202">
        <f>VLOOKUP(B271,[4]Weeks!$A$3:$X$39,13,FALSE)-VLOOKUP(B271,[4]Weeks!$A$44:$X$81,13,FALSE)</f>
        <v>0</v>
      </c>
      <c r="N271" s="11" t="str">
        <f t="shared" ref="N271:N282" si="58">IF(C271="*","*",IF(C271&gt;0,M271/C271*100,"-"))</f>
        <v>-</v>
      </c>
      <c r="O271" s="202">
        <f t="shared" ref="O271:O282" si="59">IF(C271="*","*",SUM(J271:M271)/4)</f>
        <v>0</v>
      </c>
      <c r="P271" s="41">
        <f>IF(ISNUMBER(VLOOKUP(B271,[4]CLOSURES!B:BI,12,FALSE)),TEXT(VLOOKUP(B271,[4]CLOSURES!B:BI,12,FALSE),"ddmmm"),IF(F271&lt;=0,0,IF(I271&lt;=0,0,IF(AND(F271&gt;0,O271&lt;=0),"&gt;52",IF(I271/O271&gt;52,"&gt;52", MAX(0,I271/O271-2))))))</f>
        <v>0</v>
      </c>
      <c r="R271" s="153"/>
    </row>
    <row r="272" spans="2:18" s="158" customFormat="1" ht="10.75" customHeight="1" x14ac:dyDescent="0.3">
      <c r="B272" s="40" t="s">
        <v>75</v>
      </c>
      <c r="C272" s="130">
        <f>'[5]Maj Pel Combined'!$H$7</f>
        <v>0</v>
      </c>
      <c r="D272" s="200">
        <f>F272-VLOOKUP(B272,[4]quotas!$B$85:$W$120,12,FALSE)</f>
        <v>0</v>
      </c>
      <c r="E272" s="200">
        <f>F272-C272</f>
        <v>0</v>
      </c>
      <c r="F272" s="201">
        <f>VLOOKUP(B272,[4]quotas!$B$46:$W$84,12,FALSE)</f>
        <v>0</v>
      </c>
      <c r="G272" s="202">
        <f>VLOOKUP(B272,[4]Cumulative!$A$56:$X$91,13,FALSE)</f>
        <v>0</v>
      </c>
      <c r="H272" s="151">
        <f>IF(AND(F272=0,G272&gt;0),"n/a",IF(F272=0,0,100*G272/F272))</f>
        <v>0</v>
      </c>
      <c r="I272" s="201">
        <f>IF(F272="*","*",F272-G272)</f>
        <v>0</v>
      </c>
      <c r="J272" s="202">
        <f>VLOOKUP(B272,[4]Weeks!$A$125:$X$161,13,FALSE)-VLOOKUP(B272,[4]Weeks!$A$165:$X$200,13,FALSE)</f>
        <v>0</v>
      </c>
      <c r="K272" s="202">
        <f>VLOOKUP(B272,[4]Weeks!$A$85:$X$121,13,FALSE)-VLOOKUP(B272,[4]Weeks!$A$125:$X$161,13,FALSE)</f>
        <v>0</v>
      </c>
      <c r="L272" s="202">
        <f>VLOOKUP(B272,[4]Weeks!$A$44:$X$81,13,FALSE)-VLOOKUP(B272,[4]Weeks!$A$85:$X$121,13,FALSE)</f>
        <v>0</v>
      </c>
      <c r="M272" s="202">
        <f>VLOOKUP(B272,[4]Weeks!$A$3:$X$39,13,FALSE)-VLOOKUP(B272,[4]Weeks!$A$44:$X$81,13,FALSE)</f>
        <v>0</v>
      </c>
      <c r="N272" s="11" t="str">
        <f>IF(C272="*","*",IF(C272&gt;0,M272/C272*100,"-"))</f>
        <v>-</v>
      </c>
      <c r="O272" s="202">
        <f>IF(C272="*","*",SUM(J272:M272)/4)</f>
        <v>0</v>
      </c>
      <c r="P272" s="41">
        <f>IF(ISNUMBER(VLOOKUP(B272,[4]CLOSURES!B:BI,12,FALSE)),TEXT(VLOOKUP(B272,[4]CLOSURES!B:BI,12,FALSE),"ddmmm"),IF(F272&lt;=0,0,IF(I272&lt;=0,0,IF(AND(F272&gt;0,O272&lt;=0),"&gt;52",IF(I272/O272&gt;52,"&gt;52", MAX(0,I272/O272-2))))))</f>
        <v>0</v>
      </c>
      <c r="R272" s="153"/>
    </row>
    <row r="273" spans="2:18" s="158" customFormat="1" ht="10.75" customHeight="1" x14ac:dyDescent="0.3">
      <c r="B273" s="40" t="s">
        <v>152</v>
      </c>
      <c r="C273" s="130">
        <f>'[5]Maj Pel Combined'!$H$8</f>
        <v>0</v>
      </c>
      <c r="D273" s="200">
        <f>F273-VLOOKUP(B273,[4]quotas!$B$85:$W$120,12,FALSE)</f>
        <v>0</v>
      </c>
      <c r="E273" s="200">
        <f>F273-C273</f>
        <v>0</v>
      </c>
      <c r="F273" s="201">
        <f>VLOOKUP(B273,[4]quotas!$B$46:$W$84,12,FALSE)</f>
        <v>0</v>
      </c>
      <c r="G273" s="202">
        <f>VLOOKUP(B273,[4]Cumulative!$A$56:$X$91,13,FALSE)</f>
        <v>0</v>
      </c>
      <c r="H273" s="151">
        <f>IF(AND(F273=0,G273&gt;0),"n/a",IF(F273=0,0,100*G273/F273))</f>
        <v>0</v>
      </c>
      <c r="I273" s="201">
        <f>IF(F273="*","*",F273-G273)</f>
        <v>0</v>
      </c>
      <c r="J273" s="202">
        <f>VLOOKUP(B273,[4]Weeks!$A$125:$X$161,13,FALSE)-VLOOKUP(B273,[4]Weeks!$A$165:$X$200,13,FALSE)</f>
        <v>0</v>
      </c>
      <c r="K273" s="202">
        <f>VLOOKUP(B273,[4]Weeks!$A$85:$X$121,13,FALSE)-VLOOKUP(B273,[4]Weeks!$A$125:$X$161,13,FALSE)</f>
        <v>0</v>
      </c>
      <c r="L273" s="202">
        <f>VLOOKUP(B273,[4]Weeks!$A$44:$X$81,13,FALSE)-VLOOKUP(B273,[4]Weeks!$A$85:$X$121,13,FALSE)</f>
        <v>0</v>
      </c>
      <c r="M273" s="202">
        <f>VLOOKUP(B273,[4]Weeks!$A$3:$X$39,13,FALSE)-VLOOKUP(B273,[4]Weeks!$A$44:$X$81,13,FALSE)</f>
        <v>0</v>
      </c>
      <c r="N273" s="11" t="str">
        <f>IF(C273="*","*",IF(C273&gt;0,M273/C273*100,"-"))</f>
        <v>-</v>
      </c>
      <c r="O273" s="202">
        <f>IF(C273="*","*",SUM(J273:M273)/4)</f>
        <v>0</v>
      </c>
      <c r="P273" s="41">
        <f>IF(ISNUMBER(VLOOKUP(B273,[4]CLOSURES!B:BI,12,FALSE)),TEXT(VLOOKUP(B273,[4]CLOSURES!B:BI,12,FALSE),"ddmmm"),IF(F273&lt;=0,0,IF(I273&lt;=0,0,IF(AND(F273&gt;0,O273&lt;=0),"&gt;52",IF(I273/O273&gt;52,"&gt;52", MAX(0,I273/O273-2))))))</f>
        <v>0</v>
      </c>
      <c r="R273" s="153"/>
    </row>
    <row r="274" spans="2:18" s="158" customFormat="1" ht="10.75" customHeight="1" x14ac:dyDescent="0.3">
      <c r="B274" s="40" t="s">
        <v>76</v>
      </c>
      <c r="C274" s="130">
        <f>'[5]Maj Pel Combined'!$H$9</f>
        <v>0</v>
      </c>
      <c r="D274" s="200">
        <f>F274-VLOOKUP(B274,[4]quotas!$B$85:$W$120,12,FALSE)</f>
        <v>0</v>
      </c>
      <c r="E274" s="200">
        <f t="shared" si="52"/>
        <v>0</v>
      </c>
      <c r="F274" s="201">
        <f>VLOOKUP(B274,[4]quotas!$B$46:$W$84,12,FALSE)</f>
        <v>0</v>
      </c>
      <c r="G274" s="202">
        <f>VLOOKUP(B274,[4]Cumulative!$A$56:$X$91,13,FALSE)</f>
        <v>0</v>
      </c>
      <c r="H274" s="151">
        <f t="shared" si="55"/>
        <v>0</v>
      </c>
      <c r="I274" s="201">
        <f t="shared" si="56"/>
        <v>0</v>
      </c>
      <c r="J274" s="202">
        <f>VLOOKUP(B274,[4]Weeks!$A$125:$X$161,13,FALSE)-VLOOKUP(B274,[4]Weeks!$A$165:$X$200,13,FALSE)</f>
        <v>0</v>
      </c>
      <c r="K274" s="202">
        <f>VLOOKUP(B274,[4]Weeks!$A$85:$X$121,13,FALSE)-VLOOKUP(B274,[4]Weeks!$A$125:$X$161,13,FALSE)</f>
        <v>0</v>
      </c>
      <c r="L274" s="202">
        <f>VLOOKUP(B274,[4]Weeks!$A$44:$X$81,13,FALSE)-VLOOKUP(B274,[4]Weeks!$A$85:$X$121,13,FALSE)</f>
        <v>0</v>
      </c>
      <c r="M274" s="202">
        <f>VLOOKUP(B274,[4]Weeks!$A$3:$X$39,13,FALSE)-VLOOKUP(B274,[4]Weeks!$A$44:$X$81,13,FALSE)</f>
        <v>0</v>
      </c>
      <c r="N274" s="11" t="str">
        <f t="shared" si="58"/>
        <v>-</v>
      </c>
      <c r="O274" s="202">
        <f t="shared" si="59"/>
        <v>0</v>
      </c>
      <c r="P274" s="41">
        <f>IF(ISNUMBER(VLOOKUP(B274,[4]CLOSURES!B:BI,12,FALSE)),TEXT(VLOOKUP(B274,[4]CLOSURES!B:BI,12,FALSE),"ddmmm"),IF(F274&lt;=0,0,IF(I274&lt;=0,0,IF(AND(F274&gt;0,O274&lt;=0),"&gt;52",IF(I274/O274&gt;52,"&gt;52", MAX(0,I274/O274-2))))))</f>
        <v>0</v>
      </c>
      <c r="R274" s="153"/>
    </row>
    <row r="275" spans="2:18" s="158" customFormat="1" ht="10.75" customHeight="1" x14ac:dyDescent="0.3">
      <c r="B275" s="40" t="s">
        <v>77</v>
      </c>
      <c r="C275" s="130">
        <f>'[5]Maj Pel Combined'!$H$27</f>
        <v>90.995999999999995</v>
      </c>
      <c r="D275" s="200">
        <f>F275-VLOOKUP(B275,[4]quotas!$B$85:$W$120,12,FALSE)</f>
        <v>0</v>
      </c>
      <c r="E275" s="200">
        <f t="shared" si="52"/>
        <v>0</v>
      </c>
      <c r="F275" s="201">
        <f>VLOOKUP(B275,[4]quotas!$B$46:$W$84,12,FALSE)</f>
        <v>90.995999999999995</v>
      </c>
      <c r="G275" s="202">
        <f>VLOOKUP(B275,[4]Cumulative!$A$56:$X$91,13,FALSE)</f>
        <v>0</v>
      </c>
      <c r="H275" s="151">
        <f t="shared" si="55"/>
        <v>0</v>
      </c>
      <c r="I275" s="201">
        <f t="shared" si="56"/>
        <v>90.995999999999995</v>
      </c>
      <c r="J275" s="202">
        <f>VLOOKUP(B275,[4]Weeks!$A$125:$X$161,13,FALSE)-VLOOKUP(B275,[4]Weeks!$A$165:$X$200,13,FALSE)</f>
        <v>0</v>
      </c>
      <c r="K275" s="202">
        <f>VLOOKUP(B275,[4]Weeks!$A$85:$X$121,13,FALSE)-VLOOKUP(B275,[4]Weeks!$A$125:$X$161,13,FALSE)</f>
        <v>0</v>
      </c>
      <c r="L275" s="202">
        <f>VLOOKUP(B275,[4]Weeks!$A$44:$X$81,13,FALSE)-VLOOKUP(B275,[4]Weeks!$A$85:$X$121,13,FALSE)</f>
        <v>0</v>
      </c>
      <c r="M275" s="202">
        <f>VLOOKUP(B275,[4]Weeks!$A$3:$X$39,13,FALSE)-VLOOKUP(B275,[4]Weeks!$A$44:$X$81,13,FALSE)</f>
        <v>0</v>
      </c>
      <c r="N275" s="11">
        <f t="shared" si="58"/>
        <v>0</v>
      </c>
      <c r="O275" s="202">
        <f t="shared" si="59"/>
        <v>0</v>
      </c>
      <c r="P275" s="41" t="str">
        <f>IF(ISNUMBER(VLOOKUP(B275,[4]CLOSURES!B:BI,12,FALSE)),TEXT(VLOOKUP(B275,[4]CLOSURES!B:BI,12,FALSE),"ddmmm"),IF(F275&lt;=0,0,IF(I275&lt;=0,0,IF(AND(F275&gt;0,O275&lt;=0),"&gt;52",IF(I275/O275&gt;52,"&gt;52", MAX(0,I275/O275-2))))))</f>
        <v>&gt;52</v>
      </c>
      <c r="R275" s="153"/>
    </row>
    <row r="276" spans="2:18" s="158" customFormat="1" ht="10.75" customHeight="1" x14ac:dyDescent="0.3">
      <c r="B276" s="40" t="s">
        <v>78</v>
      </c>
      <c r="C276" s="130">
        <f>'[5]Maj Pel Combined'!$H$26</f>
        <v>174.50399999999999</v>
      </c>
      <c r="D276" s="200">
        <f>F276-VLOOKUP(B276,[4]quotas!$B$85:$W$120,12,FALSE)</f>
        <v>0</v>
      </c>
      <c r="E276" s="200">
        <f t="shared" si="52"/>
        <v>0</v>
      </c>
      <c r="F276" s="201">
        <f>VLOOKUP(B276,[4]quotas!$B$46:$W$84,12,FALSE)</f>
        <v>174.50399999999999</v>
      </c>
      <c r="G276" s="202">
        <f>VLOOKUP(B276,[4]Cumulative!$A$56:$X$91,13,FALSE)</f>
        <v>0</v>
      </c>
      <c r="H276" s="151">
        <f t="shared" si="55"/>
        <v>0</v>
      </c>
      <c r="I276" s="201">
        <f t="shared" si="56"/>
        <v>174.50399999999999</v>
      </c>
      <c r="J276" s="202">
        <f>VLOOKUP(B276,[4]Weeks!$A$125:$X$161,13,FALSE)-VLOOKUP(B276,[4]Weeks!$A$165:$X$200,13,FALSE)</f>
        <v>0</v>
      </c>
      <c r="K276" s="202">
        <f>VLOOKUP(B276,[4]Weeks!$A$85:$X$121,13,FALSE)-VLOOKUP(B276,[4]Weeks!$A$125:$X$161,13,FALSE)</f>
        <v>0</v>
      </c>
      <c r="L276" s="202">
        <f>VLOOKUP(B276,[4]Weeks!$A$44:$X$81,13,FALSE)-VLOOKUP(B276,[4]Weeks!$A$85:$X$121,13,FALSE)</f>
        <v>0</v>
      </c>
      <c r="M276" s="202">
        <f>VLOOKUP(B276,[4]Weeks!$A$3:$X$39,13,FALSE)-VLOOKUP(B276,[4]Weeks!$A$44:$X$81,13,FALSE)</f>
        <v>0</v>
      </c>
      <c r="N276" s="11">
        <f t="shared" si="58"/>
        <v>0</v>
      </c>
      <c r="O276" s="202">
        <f t="shared" si="59"/>
        <v>0</v>
      </c>
      <c r="P276" s="41" t="str">
        <f>IF(ISNUMBER(VLOOKUP(B276,[4]CLOSURES!B:BI,12,FALSE)),TEXT(VLOOKUP(B276,[4]CLOSURES!B:BI,12,FALSE),"ddmmm"),IF(F276&lt;=0,0,IF(I276&lt;=0,0,IF(AND(F276&gt;0,O276&lt;=0),"&gt;52",IF(I276/O276&gt;52,"&gt;52", MAX(0,I276/O276-2))))))</f>
        <v>&gt;52</v>
      </c>
      <c r="R276" s="153"/>
    </row>
    <row r="277" spans="2:18" s="158" customFormat="1" ht="10.75" customHeight="1" x14ac:dyDescent="0.3">
      <c r="B277" s="40" t="s">
        <v>79</v>
      </c>
      <c r="C277" s="130">
        <f>'[5]Maj Pel Combined'!$H$6</f>
        <v>0</v>
      </c>
      <c r="D277" s="200">
        <f>F277-VLOOKUP(B277,[4]quotas!$B$85:$W$120,12,FALSE)</f>
        <v>0</v>
      </c>
      <c r="E277" s="200">
        <f t="shared" si="52"/>
        <v>0</v>
      </c>
      <c r="F277" s="201">
        <f>VLOOKUP(B277,[4]quotas!$B$46:$W$84,12,FALSE)</f>
        <v>0</v>
      </c>
      <c r="G277" s="202">
        <f>VLOOKUP(B277,[4]Cumulative!$A$56:$X$91,13,FALSE)</f>
        <v>0</v>
      </c>
      <c r="H277" s="151">
        <f t="shared" si="55"/>
        <v>0</v>
      </c>
      <c r="I277" s="201">
        <f t="shared" si="56"/>
        <v>0</v>
      </c>
      <c r="J277" s="202">
        <f>VLOOKUP(B277,[4]Weeks!$A$125:$X$161,13,FALSE)-VLOOKUP(B277,[4]Weeks!$A$165:$X$200,13,FALSE)</f>
        <v>0</v>
      </c>
      <c r="K277" s="202">
        <f>VLOOKUP(B277,[4]Weeks!$A$85:$X$121,13,FALSE)-VLOOKUP(B277,[4]Weeks!$A$125:$X$161,13,FALSE)</f>
        <v>0</v>
      </c>
      <c r="L277" s="202">
        <f>VLOOKUP(B277,[4]Weeks!$A$44:$X$81,13,FALSE)-VLOOKUP(B277,[4]Weeks!$A$85:$X$121,13,FALSE)</f>
        <v>0</v>
      </c>
      <c r="M277" s="202">
        <f>VLOOKUP(B277,[4]Weeks!$A$3:$X$39,13,FALSE)-VLOOKUP(B277,[4]Weeks!$A$44:$X$81,13,FALSE)</f>
        <v>0</v>
      </c>
      <c r="N277" s="11" t="str">
        <f t="shared" si="58"/>
        <v>-</v>
      </c>
      <c r="O277" s="202">
        <f t="shared" si="59"/>
        <v>0</v>
      </c>
      <c r="P277" s="41">
        <f>IF(ISNUMBER(VLOOKUP(B277,[4]CLOSURES!B:BI,12,FALSE)),TEXT(VLOOKUP(B277,[4]CLOSURES!B:BI,12,FALSE),"ddmmm"),IF(F277&lt;=0,0,IF(I277&lt;=0,0,IF(AND(F277&gt;0,O277&lt;=0),"&gt;52",IF(I277/O277&gt;52,"&gt;52", MAX(0,I277/O277-2))))))</f>
        <v>0</v>
      </c>
      <c r="R277" s="153"/>
    </row>
    <row r="278" spans="2:18" s="158" customFormat="1" ht="10.75" customHeight="1" x14ac:dyDescent="0.3">
      <c r="B278" s="40" t="s">
        <v>80</v>
      </c>
      <c r="C278" s="130">
        <f>'[5]Maj Pel Combined'!$H$14</f>
        <v>0</v>
      </c>
      <c r="D278" s="200">
        <f>F278-VLOOKUP(B278,[4]quotas!$B$85:$W$120,12,FALSE)</f>
        <v>0</v>
      </c>
      <c r="E278" s="200">
        <f t="shared" si="52"/>
        <v>0</v>
      </c>
      <c r="F278" s="201">
        <f>VLOOKUP(B278,[4]quotas!$B$46:$W$84,12,FALSE)</f>
        <v>0</v>
      </c>
      <c r="G278" s="202">
        <f>VLOOKUP(B278,[4]Cumulative!$A$56:$X$91,13,FALSE)</f>
        <v>0</v>
      </c>
      <c r="H278" s="151">
        <f t="shared" si="55"/>
        <v>0</v>
      </c>
      <c r="I278" s="201">
        <f t="shared" si="56"/>
        <v>0</v>
      </c>
      <c r="J278" s="202">
        <f>VLOOKUP(B278,[4]Weeks!$A$125:$X$161,13,FALSE)-VLOOKUP(B278,[4]Weeks!$A$165:$X$200,13,FALSE)</f>
        <v>0</v>
      </c>
      <c r="K278" s="202">
        <f>VLOOKUP(B278,[4]Weeks!$A$85:$X$121,13,FALSE)-VLOOKUP(B278,[4]Weeks!$A$125:$X$161,13,FALSE)</f>
        <v>0</v>
      </c>
      <c r="L278" s="202">
        <f>VLOOKUP(B278,[4]Weeks!$A$44:$X$81,13,FALSE)-VLOOKUP(B278,[4]Weeks!$A$85:$X$121,13,FALSE)</f>
        <v>0</v>
      </c>
      <c r="M278" s="202">
        <f>VLOOKUP(B278,[4]Weeks!$A$3:$X$39,13,FALSE)-VLOOKUP(B278,[4]Weeks!$A$44:$X$81,13,FALSE)</f>
        <v>0</v>
      </c>
      <c r="N278" s="11" t="str">
        <f t="shared" si="58"/>
        <v>-</v>
      </c>
      <c r="O278" s="202">
        <f t="shared" si="59"/>
        <v>0</v>
      </c>
      <c r="P278" s="41">
        <f>IF(ISNUMBER(VLOOKUP(B278,[4]CLOSURES!B:BI,12,FALSE)),TEXT(VLOOKUP(B278,[4]CLOSURES!B:BI,12,FALSE),"ddmmm"),IF(F278&lt;=0,0,IF(I278&lt;=0,0,IF(AND(F278&gt;0,O278&lt;=0),"&gt;52",IF(I278/O278&gt;52,"&gt;52", MAX(0,I278/O278-2))))))</f>
        <v>0</v>
      </c>
      <c r="R278" s="153"/>
    </row>
    <row r="279" spans="2:18" s="158" customFormat="1" ht="10.75" customHeight="1" x14ac:dyDescent="0.3">
      <c r="B279" s="40" t="s">
        <v>81</v>
      </c>
      <c r="C279" s="130">
        <f>'[5]Maj Pel Combined'!$H$13</f>
        <v>0</v>
      </c>
      <c r="D279" s="200">
        <f>F279-VLOOKUP(B279,[4]quotas!$B$85:$W$120,12,FALSE)</f>
        <v>0</v>
      </c>
      <c r="E279" s="200">
        <f t="shared" si="52"/>
        <v>0</v>
      </c>
      <c r="F279" s="201">
        <f>VLOOKUP(B279,[4]quotas!$B$46:$W$84,12,FALSE)</f>
        <v>0</v>
      </c>
      <c r="G279" s="202">
        <f>VLOOKUP(B279,[4]Cumulative!$A$56:$X$91,13,FALSE)</f>
        <v>0</v>
      </c>
      <c r="H279" s="151">
        <f t="shared" si="55"/>
        <v>0</v>
      </c>
      <c r="I279" s="201">
        <f t="shared" si="56"/>
        <v>0</v>
      </c>
      <c r="J279" s="202">
        <f>VLOOKUP(B279,[4]Weeks!$A$125:$X$161,13,FALSE)-VLOOKUP(B279,[4]Weeks!$A$165:$X$200,13,FALSE)</f>
        <v>0</v>
      </c>
      <c r="K279" s="202">
        <f>VLOOKUP(B279,[4]Weeks!$A$85:$X$121,13,FALSE)-VLOOKUP(B279,[4]Weeks!$A$125:$X$161,13,FALSE)</f>
        <v>0</v>
      </c>
      <c r="L279" s="202">
        <f>VLOOKUP(B279,[4]Weeks!$A$44:$X$81,13,FALSE)-VLOOKUP(B279,[4]Weeks!$A$85:$X$121,13,FALSE)</f>
        <v>0</v>
      </c>
      <c r="M279" s="202">
        <f>VLOOKUP(B279,[4]Weeks!$A$3:$X$39,13,FALSE)-VLOOKUP(B279,[4]Weeks!$A$44:$X$81,13,FALSE)</f>
        <v>0</v>
      </c>
      <c r="N279" s="11" t="str">
        <f t="shared" si="58"/>
        <v>-</v>
      </c>
      <c r="O279" s="202">
        <f t="shared" si="59"/>
        <v>0</v>
      </c>
      <c r="P279" s="41">
        <f>IF(ISNUMBER(VLOOKUP(B279,[4]CLOSURES!B:BI,12,FALSE)),TEXT(VLOOKUP(B279,[4]CLOSURES!B:BI,12,FALSE),"ddmmm"),IF(F279&lt;=0,0,IF(I279&lt;=0,0,IF(AND(F279&gt;0,O279&lt;=0),"&gt;52",IF(I279/O279&gt;52,"&gt;52", MAX(0,I279/O279-2))))))</f>
        <v>0</v>
      </c>
      <c r="R279" s="153"/>
    </row>
    <row r="280" spans="2:18" s="158" customFormat="1" ht="10.75" customHeight="1" x14ac:dyDescent="0.3">
      <c r="B280" s="152" t="s">
        <v>82</v>
      </c>
      <c r="C280" s="130">
        <f>'[5]Maj Pel Combined'!$H$11</f>
        <v>0</v>
      </c>
      <c r="D280" s="200">
        <f>F280-VLOOKUP(B280,[4]quotas!$B$85:$W$120,12,FALSE)</f>
        <v>0</v>
      </c>
      <c r="E280" s="200">
        <f>F280-C280</f>
        <v>0</v>
      </c>
      <c r="F280" s="201">
        <f>VLOOKUP(B280,[4]quotas!$B$46:$W$84,12,FALSE)</f>
        <v>0</v>
      </c>
      <c r="G280" s="202">
        <f>VLOOKUP(B280,[4]Cumulative!$A$56:$X$91,13,FALSE)</f>
        <v>0</v>
      </c>
      <c r="H280" s="151">
        <f>IF(AND(F280=0,G280&gt;0),"n/a",IF(F280=0,0,100*G280/F280))</f>
        <v>0</v>
      </c>
      <c r="I280" s="201">
        <f>IF(F280="*","*",F280-G280)</f>
        <v>0</v>
      </c>
      <c r="J280" s="202">
        <f>VLOOKUP(B280,[4]Weeks!$A$125:$X$161,13,FALSE)-VLOOKUP(B280,[4]Weeks!$A$165:$X$200,13,FALSE)</f>
        <v>0</v>
      </c>
      <c r="K280" s="202">
        <f>VLOOKUP(B280,[4]Weeks!$A$85:$X$121,13,FALSE)-VLOOKUP(B280,[4]Weeks!$A$125:$X$161,13,FALSE)</f>
        <v>0</v>
      </c>
      <c r="L280" s="202">
        <f>VLOOKUP(B280,[4]Weeks!$A$44:$X$81,13,FALSE)-VLOOKUP(B280,[4]Weeks!$A$85:$X$121,13,FALSE)</f>
        <v>0</v>
      </c>
      <c r="M280" s="202">
        <f>VLOOKUP(B280,[4]Weeks!$A$3:$X$39,13,FALSE)-VLOOKUP(B280,[4]Weeks!$A$44:$X$81,13,FALSE)</f>
        <v>0</v>
      </c>
      <c r="N280" s="11" t="str">
        <f>IF(C280="*","*",IF(C280&gt;0,M280/C280*100,"-"))</f>
        <v>-</v>
      </c>
      <c r="O280" s="202">
        <f>IF(C280="*","*",SUM(J280:M280)/4)</f>
        <v>0</v>
      </c>
      <c r="P280" s="41">
        <f>IF(ISNUMBER(VLOOKUP(B280,[4]CLOSURES!B:BI,12,FALSE)),TEXT(VLOOKUP(B280,[4]CLOSURES!B:BI,12,FALSE),"ddmmm"),IF(F280&lt;=0,0,IF(I280&lt;=0,0,IF(AND(F280&gt;0,O280&lt;=0),"&gt;52",IF(I280/O280&gt;52,"&gt;52", MAX(0,I280/O280-2))))))</f>
        <v>0</v>
      </c>
      <c r="R280" s="153"/>
    </row>
    <row r="281" spans="2:18" s="158" customFormat="1" ht="10.75" customHeight="1" x14ac:dyDescent="0.3">
      <c r="B281" s="152" t="s">
        <v>83</v>
      </c>
      <c r="C281" s="130">
        <f>'[5]Maj Pel Combined'!$H$15</f>
        <v>0</v>
      </c>
      <c r="D281" s="200">
        <f>F281-VLOOKUP(B281,[4]quotas!$B$85:$W$120,12,FALSE)</f>
        <v>0</v>
      </c>
      <c r="E281" s="200">
        <f>F281-C281</f>
        <v>0</v>
      </c>
      <c r="F281" s="201">
        <f>VLOOKUP(B281,[4]quotas!$B$46:$W$84,12,FALSE)</f>
        <v>0</v>
      </c>
      <c r="G281" s="202">
        <f>VLOOKUP(B281,[4]Cumulative!$A$56:$X$91,13,FALSE)</f>
        <v>0</v>
      </c>
      <c r="H281" s="151">
        <f>IF(AND(F281=0,G281&gt;0),"n/a",IF(F281=0,0,100*G281/F281))</f>
        <v>0</v>
      </c>
      <c r="I281" s="201">
        <f>IF(F281="*","*",F281-G281)</f>
        <v>0</v>
      </c>
      <c r="J281" s="202">
        <f>VLOOKUP(B281,[4]Weeks!$A$125:$X$161,13,FALSE)-VLOOKUP(B281,[4]Weeks!$A$165:$X$200,13,FALSE)</f>
        <v>0</v>
      </c>
      <c r="K281" s="202">
        <f>VLOOKUP(B281,[4]Weeks!$A$85:$X$121,13,FALSE)-VLOOKUP(B281,[4]Weeks!$A$125:$X$161,13,FALSE)</f>
        <v>0</v>
      </c>
      <c r="L281" s="202">
        <f>VLOOKUP(B281,[4]Weeks!$A$44:$X$81,13,FALSE)-VLOOKUP(B281,[4]Weeks!$A$85:$X$121,13,FALSE)</f>
        <v>0</v>
      </c>
      <c r="M281" s="202">
        <f>VLOOKUP(B281,[4]Weeks!$A$3:$X$39,13,FALSE)-VLOOKUP(B281,[4]Weeks!$A$44:$X$81,13,FALSE)</f>
        <v>0</v>
      </c>
      <c r="N281" s="11" t="str">
        <f>IF(C281="*","*",IF(C281&gt;0,M281/C281*100,"-"))</f>
        <v>-</v>
      </c>
      <c r="O281" s="202">
        <f t="shared" si="59"/>
        <v>0</v>
      </c>
      <c r="P281" s="41">
        <f>IF(ISNUMBER(VLOOKUP(B281,[4]CLOSURES!B:BI,12,FALSE)),TEXT(VLOOKUP(B281,[4]CLOSURES!B:BI,12,FALSE),"ddmmm"),IF(F281&lt;=0,0,IF(I281&lt;=0,0,IF(AND(F281&gt;0,O281&lt;=0),"&gt;52",IF(I281/O281&gt;52,"&gt;52", MAX(0,I281/O281-2))))))</f>
        <v>0</v>
      </c>
      <c r="R281" s="153"/>
    </row>
    <row r="282" spans="2:18" s="158" customFormat="1" ht="10.75" customHeight="1" x14ac:dyDescent="0.3">
      <c r="B282" s="170" t="s">
        <v>84</v>
      </c>
      <c r="C282" s="130">
        <f>'[5]Maj Pel Combined'!$H$10</f>
        <v>30.844000000000001</v>
      </c>
      <c r="D282" s="200">
        <f>F282-VLOOKUP(B282,[4]quotas!$B$85:$W$120,12,FALSE)</f>
        <v>0</v>
      </c>
      <c r="E282" s="200">
        <f t="shared" si="52"/>
        <v>0</v>
      </c>
      <c r="F282" s="201">
        <f>VLOOKUP(B282,[4]quotas!$B$46:$W$84,12,FALSE)</f>
        <v>30.844000000000001</v>
      </c>
      <c r="G282" s="202">
        <f>VLOOKUP(B282,[4]Cumulative!$A$56:$X$91,13,FALSE)</f>
        <v>0</v>
      </c>
      <c r="H282" s="151">
        <f t="shared" si="55"/>
        <v>0</v>
      </c>
      <c r="I282" s="201">
        <f>IF(F282="*","*",F282-G282)</f>
        <v>30.844000000000001</v>
      </c>
      <c r="J282" s="202">
        <f>IF(C282="*","*",[4]Weeks!M147-[4]Weeks!M187)</f>
        <v>0</v>
      </c>
      <c r="K282" s="202">
        <f>IF(C282="*","*",[4]Weeks!M107-[4]Weeks!M147)</f>
        <v>0</v>
      </c>
      <c r="L282" s="202">
        <f>VLOOKUP(B282,[4]Weeks!$A$44:$X$81,13,FALSE)-VLOOKUP(B282,[4]Weeks!$A$85:$X$121,13,FALSE)</f>
        <v>0</v>
      </c>
      <c r="M282" s="202">
        <f>VLOOKUP(B282,[4]Weeks!$A$3:$X$39,13,FALSE)-VLOOKUP(B282,[4]Weeks!$A$44:$X$81,13,FALSE)</f>
        <v>0</v>
      </c>
      <c r="N282" s="11">
        <f t="shared" si="58"/>
        <v>0</v>
      </c>
      <c r="O282" s="202">
        <f t="shared" si="59"/>
        <v>0</v>
      </c>
      <c r="P282" s="41" t="str">
        <f>IF(ISNUMBER(VLOOKUP(B282,[4]CLOSURES!B:BI,12,FALSE)),TEXT(VLOOKUP(B282,[4]CLOSURES!B:BI,12,FALSE),"ddmmm"),IF(F282&lt;=0,0,IF(I282&lt;=0,0,IF(AND(F282&gt;0,O282&lt;=0),"&gt;52",IF(I282/O282&gt;52,"&gt;52", MAX(0,I282/O282-2))))))</f>
        <v>&gt;52</v>
      </c>
      <c r="R282" s="153"/>
    </row>
    <row r="283" spans="2:18" s="158" customFormat="1" ht="10.75" customHeight="1" x14ac:dyDescent="0.3">
      <c r="B283" s="40" t="s">
        <v>85</v>
      </c>
      <c r="C283" s="130">
        <f>'[5]Maj Pel Combined'!$H$12</f>
        <v>30.763000000000002</v>
      </c>
      <c r="D283" s="200">
        <f>F283-VLOOKUP(B283,[4]quotas!$B$85:$W$120,12,FALSE)</f>
        <v>0</v>
      </c>
      <c r="E283" s="200">
        <f>F283-C283</f>
        <v>0</v>
      </c>
      <c r="F283" s="201">
        <f>VLOOKUP(B283,[4]quotas!$B$46:$W$84,12,FALSE)</f>
        <v>30.763000000000002</v>
      </c>
      <c r="G283" s="202">
        <f>VLOOKUP(B283,[4]Cumulative!$A$56:$X$91,13,FALSE)</f>
        <v>0</v>
      </c>
      <c r="H283" s="151">
        <f t="shared" si="55"/>
        <v>0</v>
      </c>
      <c r="I283" s="201">
        <f>IF(F283="*","*",F283-G283)</f>
        <v>30.763000000000002</v>
      </c>
      <c r="J283" s="202">
        <f>IF(C283="*","*",[4]Weeks!M148-[4]Weeks!M188)</f>
        <v>0</v>
      </c>
      <c r="K283" s="202">
        <f>IF(C283="*","*",[4]Weeks!M108-[4]Weeks!M148)</f>
        <v>0</v>
      </c>
      <c r="L283" s="202">
        <f>VLOOKUP(B283,[4]Weeks!$A$44:$X$81,13,FALSE)-VLOOKUP(B283,[4]Weeks!$A$85:$X$121,13,FALSE)</f>
        <v>0</v>
      </c>
      <c r="M283" s="202">
        <f>VLOOKUP(B283,[4]Weeks!$A$3:$X$39,13,FALSE)-VLOOKUP(B283,[4]Weeks!$A$44:$X$81,13,FALSE)</f>
        <v>0</v>
      </c>
      <c r="N283" s="11">
        <f>IF(C283="*","*",IF(C283&gt;0,M283/C283*100,"-"))</f>
        <v>0</v>
      </c>
      <c r="O283" s="202">
        <f>IF(C283="*","*",SUM(J283:M283)/4)</f>
        <v>0</v>
      </c>
      <c r="P283" s="41" t="str">
        <f>IF(ISNUMBER(VLOOKUP(B283,[4]CLOSURES!B:BI,12,FALSE)),TEXT(VLOOKUP(B283,[4]CLOSURES!B:BI,12,FALSE),"ddmmm"),IF(F283&lt;=0,0,IF(I283&lt;=0,0,IF(AND(F283&gt;0,O283&lt;=0),"&gt;52",IF(I283/O283&gt;52,"&gt;52", MAX(0,I283/O283-2))))))</f>
        <v>&gt;52</v>
      </c>
      <c r="R283" s="153"/>
    </row>
    <row r="284" spans="2:18" s="158" customFormat="1" ht="10.75" customHeight="1" x14ac:dyDescent="0.3">
      <c r="B284" s="162" t="s">
        <v>86</v>
      </c>
      <c r="C284" s="130">
        <f>SUM(C259:C268)+SUM(C271:C283)</f>
        <v>465.90699999999993</v>
      </c>
      <c r="D284" s="202">
        <f>SUM(D259:D268)+SUM(D271:D283)</f>
        <v>0</v>
      </c>
      <c r="E284" s="200">
        <f t="shared" si="52"/>
        <v>0</v>
      </c>
      <c r="F284" s="201">
        <f>SUM(F259:F268)+SUM(F271:F283)</f>
        <v>465.90699999999993</v>
      </c>
      <c r="G284" s="202">
        <f>SUM(G259:G268)+SUM(G271:G283)</f>
        <v>0</v>
      </c>
      <c r="H284" s="151">
        <f t="shared" si="55"/>
        <v>0</v>
      </c>
      <c r="I284" s="201">
        <f>IF(F284="*","*",F284-G284)</f>
        <v>465.90699999999993</v>
      </c>
      <c r="J284" s="202">
        <f>SUM(J259:J268)+SUM(J271:J283)</f>
        <v>0</v>
      </c>
      <c r="K284" s="202">
        <f>SUM(K259:K268)+SUM(K271:K283)</f>
        <v>0</v>
      </c>
      <c r="L284" s="202">
        <f>SUM(L259:L268)+SUM(L271:L283)</f>
        <v>0</v>
      </c>
      <c r="M284" s="202">
        <f>SUM(M259:M268)+SUM(M271:M283)</f>
        <v>0</v>
      </c>
      <c r="N284" s="11">
        <f>IF(C284="*","*",IF(C284&gt;0,M284/C284*100,"-"))</f>
        <v>0</v>
      </c>
      <c r="O284" s="202">
        <f>IF(C284="*","*",SUM(J284:M284)/4)</f>
        <v>0</v>
      </c>
      <c r="P284" s="41" t="str">
        <f>IF(ISNUMBER(VLOOKUP(B284,[4]CLOSURES!B:BI,12,FALSE)),TEXT(VLOOKUP(B284,[4]CLOSURES!B:BI,12,FALSE),"ddmmm"),IF(F284&lt;=0,0,IF(I284&lt;=0,0,IF(AND(F284&gt;0,O284&lt;=0),"&gt;52",IF(I284/O284&gt;52,"&gt;52", MAX(0,I284/O284-2))))))</f>
        <v>&gt;52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f>'[5]Maj Pel Combined'!$H$31</f>
        <v>0</v>
      </c>
      <c r="D286" s="200"/>
      <c r="E286" s="200">
        <f>IF(C254="*","*",([4]Cumulative!M58+[4]Cumulative!M61)+SUM([4]Cumulative!M68:M69)+SUM([4]Cumulative!M76:M77)+[4]Cumulative!M84)</f>
        <v>0</v>
      </c>
      <c r="F286" s="201">
        <f>C286</f>
        <v>0</v>
      </c>
      <c r="G286" s="202">
        <v>0</v>
      </c>
      <c r="H286" s="151">
        <f t="shared" si="55"/>
        <v>0</v>
      </c>
      <c r="I286" s="201">
        <f t="shared" si="56"/>
        <v>0</v>
      </c>
      <c r="J286" s="202">
        <v>0</v>
      </c>
      <c r="K286" s="202">
        <v>0</v>
      </c>
      <c r="L286" s="202">
        <v>0</v>
      </c>
      <c r="M286" s="202">
        <v>0</v>
      </c>
      <c r="N286" s="11" t="str">
        <f>IF(C286="*","*",IF(C286&gt;0,M286/C286*100,"-"))</f>
        <v>-</v>
      </c>
      <c r="O286" s="202">
        <f>IF(C286="*","*",SUM(J286:M286)/4)</f>
        <v>0</v>
      </c>
      <c r="P286" s="41">
        <f>IF(ISNUMBER(VLOOKUP(B286,[4]CLOSURES!B:BI,12,FALSE)),TEXT(VLOOKUP(B286,[4]CLOSURES!B:BI,12,FALSE),"ddmmm"),IF(F286&lt;=0,0,IF(I286&lt;=0,0,IF(AND(F286&gt;0,O286&lt;=0),"&gt;52",IF(I286/O286&gt;52,"&gt;52", MAX(0,I286/O286-2))))))</f>
        <v>0</v>
      </c>
      <c r="R286" s="153"/>
    </row>
    <row r="287" spans="2:18" s="158" customFormat="1" ht="10.75" customHeight="1" x14ac:dyDescent="0.3">
      <c r="B287" s="44" t="s">
        <v>88</v>
      </c>
      <c r="C287" s="130">
        <f>'[5]Maj Pel Combined'!$H$33</f>
        <v>8.1000000000000003E-2</v>
      </c>
      <c r="D287" s="200" t="s">
        <v>64</v>
      </c>
      <c r="E287" s="200" t="s">
        <v>64</v>
      </c>
      <c r="F287" s="201">
        <f>C287</f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f>IF(C287="*","*",SUM(J287:M287)/4)</f>
        <v>0</v>
      </c>
      <c r="P287" s="41" t="str">
        <f>IF(ISNUMBER(VLOOKUP(B287,[4]CLOSURES!B:BI,12,FALSE)),TEXT(VLOOKUP(B287,[4]CLOSURES!B:BI,12,FALSE),"ddmmm"),IF(F287&lt;=0,0,IF(I287&lt;=0,0,IF(AND(F287&gt;0,O287&lt;=0),"&gt;52",IF(I287/O287&gt;52,"&gt;52", MAX(0,I287/O287-2))))))</f>
        <v>&gt;52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f t="shared" si="52"/>
        <v>0</v>
      </c>
      <c r="F288" s="201">
        <f>C288</f>
        <v>0</v>
      </c>
      <c r="G288" s="202">
        <v>0</v>
      </c>
      <c r="H288" s="151">
        <f t="shared" si="55"/>
        <v>0</v>
      </c>
      <c r="I288" s="201">
        <f t="shared" si="56"/>
        <v>0</v>
      </c>
      <c r="J288" s="202">
        <v>0</v>
      </c>
      <c r="K288" s="202">
        <v>0</v>
      </c>
      <c r="L288" s="202">
        <v>0</v>
      </c>
      <c r="M288" s="202">
        <v>0</v>
      </c>
      <c r="N288" s="11" t="str">
        <f>IF(C288="*","*",IF(C288&gt;0,M288/C288*100,"-"))</f>
        <v>-</v>
      </c>
      <c r="O288" s="202">
        <f>IF(C288="*","*",SUM(J288:M288)/4)</f>
        <v>0</v>
      </c>
      <c r="P288" s="41">
        <f>IF(ISNUMBER(VLOOKUP(B288,[4]CLOSURES!B:BI,12,FALSE)),TEXT(VLOOKUP(B288,[4]CLOSURES!B:BI,12,FALSE),"ddmmm"),IF(F288&lt;=0,0,IF(I288&lt;=0,0,IF(AND(F288&gt;0,O288&lt;=0),"&gt;52",IF(I288/O288&gt;52,"&gt;52", MAX(0,I288/O288-2))))))</f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f>'[5]Maj Pel Combined'!$H$41</f>
        <v>0</v>
      </c>
      <c r="G290" s="202"/>
      <c r="H290" s="151"/>
      <c r="I290" s="201">
        <f>F290</f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f>C284+SUM(C286:C288)</f>
        <v>465.98799999999994</v>
      </c>
      <c r="D291" s="131">
        <f>D284+SUM(D286:D290)</f>
        <v>0</v>
      </c>
      <c r="E291" s="131">
        <f>E284+SUM(E286:E290)</f>
        <v>0</v>
      </c>
      <c r="F291" s="132">
        <f>F284+SUM(F286:F290)</f>
        <v>465.98799999999994</v>
      </c>
      <c r="G291" s="131">
        <f>G284+SUM(G286:G290)</f>
        <v>0</v>
      </c>
      <c r="H291" s="156">
        <f t="shared" si="55"/>
        <v>0</v>
      </c>
      <c r="I291" s="132">
        <f t="shared" si="56"/>
        <v>465.98799999999994</v>
      </c>
      <c r="J291" s="131">
        <f>VLOOKUP(B291,[4]Weeks!$A$125:$X$161,13,FALSE)-VLOOKUP(B291,[4]Weeks!$A$165:$X$200,13,FALSE)</f>
        <v>0</v>
      </c>
      <c r="K291" s="131">
        <f>VLOOKUP(B291,[4]Weeks!$A$85:$X$121,13,FALSE)-VLOOKUP(B291,[4]Weeks!$A$125:$X$161,13,FALSE)</f>
        <v>0</v>
      </c>
      <c r="L291" s="131">
        <f>VLOOKUP(B291,[4]Weeks!$A$44:$X$81,13,FALSE)-VLOOKUP(B291,[4]Weeks!$A$85:$X$121,13,FALSE)</f>
        <v>0</v>
      </c>
      <c r="M291" s="131">
        <f>M284+M286+M288</f>
        <v>0</v>
      </c>
      <c r="N291" s="53">
        <f>IF(C291="*","*",IF(C291&gt;0,M291/C291*100,"-"))</f>
        <v>0</v>
      </c>
      <c r="O291" s="131">
        <f>IF(C291="*","*",SUM(J291:M291)/4)</f>
        <v>0</v>
      </c>
      <c r="P291" s="49" t="str">
        <f>IF(ISNUMBER(VLOOKUP(B291,[4]CLOSURES!B:BI,12,FALSE)),TEXT(VLOOKUP(B291,[4]CLOSURES!B:BI,12,FALSE),"ddmmm"),IF(F291&lt;=0,0,IF(I291&lt;=0,0,IF(AND(F291&gt;0,O291&lt;=0),"&gt;52",IF(I291/O291&gt;52,"&gt;52", MAX(0,I291/O291-2))))))</f>
        <v>&gt;52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f>$J7</f>
        <v>44895</v>
      </c>
      <c r="K296" s="33">
        <f>$K7</f>
        <v>44902</v>
      </c>
      <c r="L296" s="33">
        <f>$L7</f>
        <v>44909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f>'[5]Maj Pel Combined'!$I$23</f>
        <v>187.5</v>
      </c>
      <c r="D299" s="200">
        <f>F299-VLOOKUP(B299,[4]quotas!$B$85:$W$120,13,FALSE)</f>
        <v>0</v>
      </c>
      <c r="E299" s="200">
        <f t="shared" ref="E299:E328" si="60">F299-C299</f>
        <v>-186</v>
      </c>
      <c r="F299" s="201">
        <f>VLOOKUP(B299,[4]quotas!$B$46:$W$84,13,FALSE)</f>
        <v>1.5</v>
      </c>
      <c r="G299" s="202">
        <f>VLOOKUP(B299,[4]Cumulative!$A$56:$X$91,14,FALSE)</f>
        <v>0</v>
      </c>
      <c r="H299" s="151">
        <f>IF(AND(F299=0,G299&gt;0),"n/a",IF(F299=0,0,100*G299/F299))</f>
        <v>0</v>
      </c>
      <c r="I299" s="201">
        <f>IF(F299="*","*",F299-G299)</f>
        <v>1.5</v>
      </c>
      <c r="J299" s="202">
        <f>VLOOKUP(B299,[4]Weeks!$A$125:$X$161,14,FALSE)-VLOOKUP(B299,[4]Weeks!$A$165:$X$200,14,FALSE)</f>
        <v>0</v>
      </c>
      <c r="K299" s="202">
        <f>VLOOKUP(B299,[4]Weeks!$A$85:$X$121,14,FALSE)-VLOOKUP(B299,[4]Weeks!$A$125:$X$161,14,FALSE)</f>
        <v>0</v>
      </c>
      <c r="L299" s="202">
        <f>VLOOKUP(B299,[4]Weeks!$A$44:$X$81,14,FALSE)-VLOOKUP(B299,[4]Weeks!$A$85:$X$121,14,FALSE)</f>
        <v>0</v>
      </c>
      <c r="M299" s="202">
        <f>VLOOKUP(B299,[4]Weeks!$A$3:$X$39,14,FALSE)-VLOOKUP(B299,[4]Weeks!$A$44:$X$81,14,FALSE)</f>
        <v>0</v>
      </c>
      <c r="N299" s="11">
        <f t="shared" ref="N299:N308" si="61">IF(C299="*","*",IF(C299&gt;0,M299/C299*100,"-"))</f>
        <v>0</v>
      </c>
      <c r="O299" s="202">
        <f t="shared" ref="O299:O308" si="62">IF(C299="*","*",SUM(J299:M299)/4)</f>
        <v>0</v>
      </c>
      <c r="P299" s="41" t="str">
        <f>IF(ISNUMBER(VLOOKUP(B299,[4]CLOSURES!B:BI,13,FALSE)),TEXT(VLOOKUP(B299,[4]CLOSURES!B:BI,13,FALSE),"ddmmm"),IF(F299&lt;=0,0,IF(I299&lt;=0,0,IF(AND(F299&gt;0,O299&lt;=0),"&gt;52",IF(I299/O299&gt;52,"&gt;52", MAX(0,I299/O299-2))))))</f>
        <v>&gt;52</v>
      </c>
      <c r="R299" s="153"/>
    </row>
    <row r="300" spans="2:18" s="158" customFormat="1" ht="10.75" customHeight="1" x14ac:dyDescent="0.3">
      <c r="B300" s="40" t="s">
        <v>63</v>
      </c>
      <c r="C300" s="130">
        <f>'[5]Maj Pel Combined'!$I$16</f>
        <v>0</v>
      </c>
      <c r="D300" s="200">
        <f>F300-VLOOKUP(B300,[4]quotas!$B$85:$W$120,13,FALSE)</f>
        <v>0</v>
      </c>
      <c r="E300" s="200">
        <f t="shared" si="60"/>
        <v>0</v>
      </c>
      <c r="F300" s="201">
        <f>VLOOKUP(B300,[4]quotas!$B$46:$W$84,13,FALSE)</f>
        <v>0</v>
      </c>
      <c r="G300" s="202">
        <f>VLOOKUP(B300,[4]Cumulative!$A$56:$X$91,14,FALSE)</f>
        <v>0</v>
      </c>
      <c r="H300" s="151">
        <f t="shared" ref="H300:H331" si="63">IF(AND(F300=0,G300&gt;0),"n/a",IF(F300=0,0,100*G300/F300))</f>
        <v>0</v>
      </c>
      <c r="I300" s="201">
        <f t="shared" ref="I300:I331" si="64">IF(F300="*","*",F300-G300)</f>
        <v>0</v>
      </c>
      <c r="J300" s="202">
        <f>VLOOKUP(B300,[4]Weeks!$A$125:$X$161,14,FALSE)-VLOOKUP(B300,[4]Weeks!$A$165:$X$200,14,FALSE)</f>
        <v>0</v>
      </c>
      <c r="K300" s="202">
        <f>VLOOKUP(B300,[4]Weeks!$A$85:$X$121,14,FALSE)-VLOOKUP(B300,[4]Weeks!$A$125:$X$161,14,FALSE)</f>
        <v>0</v>
      </c>
      <c r="L300" s="202">
        <f>VLOOKUP(B300,[4]Weeks!$A$44:$X$81,14,FALSE)-VLOOKUP(B300,[4]Weeks!$A$85:$X$121,14,FALSE)</f>
        <v>0</v>
      </c>
      <c r="M300" s="202">
        <f>VLOOKUP(B300,[4]Weeks!$A$3:$X$39,14,FALSE)-VLOOKUP(B300,[4]Weeks!$A$44:$X$81,14,FALSE)</f>
        <v>0</v>
      </c>
      <c r="N300" s="11" t="str">
        <f t="shared" si="61"/>
        <v>-</v>
      </c>
      <c r="O300" s="202">
        <f t="shared" si="62"/>
        <v>0</v>
      </c>
      <c r="P300" s="41" t="str">
        <f>IF(ISNUMBER(VLOOKUP(B300,[4]CLOSURES!B:BI,13,FALSE)),TEXT(VLOOKUP(B300,[4]CLOSURES!B:BI,13,FALSE),"ddmmm"),IF(F300&lt;=0,0,IF(I300&lt;=0,0,IF(AND(F300&gt;0,O300&lt;=0),"&gt;52",IF(I300/O300&gt;52,"&gt;52", MAX(0,I300/O300-2))))))</f>
        <v>01Jan</v>
      </c>
      <c r="R300" s="153"/>
    </row>
    <row r="301" spans="2:18" s="158" customFormat="1" ht="10.75" customHeight="1" x14ac:dyDescent="0.3">
      <c r="B301" s="40" t="s">
        <v>65</v>
      </c>
      <c r="C301" s="130">
        <f>'[5]Maj Pel Combined'!$I$20</f>
        <v>0</v>
      </c>
      <c r="D301" s="200">
        <f>F301-VLOOKUP(B301,[4]quotas!$B$85:$W$120,13,FALSE)</f>
        <v>0</v>
      </c>
      <c r="E301" s="200">
        <f t="shared" si="60"/>
        <v>0</v>
      </c>
      <c r="F301" s="201">
        <f>VLOOKUP(B301,[4]quotas!$B$46:$W$84,13,FALSE)</f>
        <v>0</v>
      </c>
      <c r="G301" s="202">
        <f>VLOOKUP(B301,[4]Cumulative!$A$56:$X$91,14,FALSE)</f>
        <v>0</v>
      </c>
      <c r="H301" s="151">
        <f t="shared" si="63"/>
        <v>0</v>
      </c>
      <c r="I301" s="201">
        <f t="shared" si="64"/>
        <v>0</v>
      </c>
      <c r="J301" s="202">
        <f>VLOOKUP(B301,[4]Weeks!$A$125:$X$161,14,FALSE)-VLOOKUP(B301,[4]Weeks!$A$165:$X$200,14,FALSE)</f>
        <v>0</v>
      </c>
      <c r="K301" s="202">
        <f>VLOOKUP(B301,[4]Weeks!$A$85:$X$121,14,FALSE)-VLOOKUP(B301,[4]Weeks!$A$125:$X$161,14,FALSE)</f>
        <v>0</v>
      </c>
      <c r="L301" s="202">
        <f>VLOOKUP(B301,[4]Weeks!$A$44:$X$81,14,FALSE)-VLOOKUP(B301,[4]Weeks!$A$85:$X$121,14,FALSE)</f>
        <v>0</v>
      </c>
      <c r="M301" s="202">
        <f>VLOOKUP(B301,[4]Weeks!$A$3:$X$39,14,FALSE)-VLOOKUP(B301,[4]Weeks!$A$44:$X$81,14,FALSE)</f>
        <v>0</v>
      </c>
      <c r="N301" s="11" t="str">
        <f t="shared" si="61"/>
        <v>-</v>
      </c>
      <c r="O301" s="202">
        <f t="shared" si="62"/>
        <v>0</v>
      </c>
      <c r="P301" s="41" t="str">
        <f>IF(ISNUMBER(VLOOKUP(B301,[4]CLOSURES!B:BI,13,FALSE)),TEXT(VLOOKUP(B301,[4]CLOSURES!B:BI,13,FALSE),"ddmmm"),IF(F301&lt;=0,0,IF(I301&lt;=0,0,IF(AND(F301&gt;0,O301&lt;=0),"&gt;52",IF(I301/O301&gt;52,"&gt;52", MAX(0,I301/O301-2))))))</f>
        <v>01Jan</v>
      </c>
      <c r="R301" s="153"/>
    </row>
    <row r="302" spans="2:18" s="158" customFormat="1" ht="10.75" customHeight="1" x14ac:dyDescent="0.3">
      <c r="B302" s="40" t="s">
        <v>66</v>
      </c>
      <c r="C302" s="130">
        <f>'[5]Maj Pel Combined'!$I$24</f>
        <v>152.5</v>
      </c>
      <c r="D302" s="200">
        <f>F302-VLOOKUP(B302,[4]quotas!$B$85:$W$120,13,FALSE)</f>
        <v>0</v>
      </c>
      <c r="E302" s="200">
        <f t="shared" si="60"/>
        <v>0</v>
      </c>
      <c r="F302" s="201">
        <f>VLOOKUP(B302,[4]quotas!$B$46:$W$84,13,FALSE)</f>
        <v>152.5</v>
      </c>
      <c r="G302" s="202">
        <f>VLOOKUP(B302,[4]Cumulative!$A$56:$X$91,14,FALSE)</f>
        <v>0</v>
      </c>
      <c r="H302" s="151">
        <f t="shared" si="63"/>
        <v>0</v>
      </c>
      <c r="I302" s="201">
        <f t="shared" si="64"/>
        <v>152.5</v>
      </c>
      <c r="J302" s="202">
        <f>VLOOKUP(B302,[4]Weeks!$A$125:$X$161,14,FALSE)-VLOOKUP(B302,[4]Weeks!$A$165:$X$200,14,FALSE)</f>
        <v>0</v>
      </c>
      <c r="K302" s="202">
        <f>VLOOKUP(B302,[4]Weeks!$A$85:$X$121,14,FALSE)-VLOOKUP(B302,[4]Weeks!$A$125:$X$161,14,FALSE)</f>
        <v>0</v>
      </c>
      <c r="L302" s="202">
        <f>VLOOKUP(B302,[4]Weeks!$A$44:$X$81,14,FALSE)-VLOOKUP(B302,[4]Weeks!$A$85:$X$121,14,FALSE)</f>
        <v>0</v>
      </c>
      <c r="M302" s="202">
        <f>VLOOKUP(B302,[4]Weeks!$A$3:$X$39,14,FALSE)-VLOOKUP(B302,[4]Weeks!$A$44:$X$81,14,FALSE)</f>
        <v>0</v>
      </c>
      <c r="N302" s="11">
        <f t="shared" si="61"/>
        <v>0</v>
      </c>
      <c r="O302" s="202">
        <f t="shared" si="62"/>
        <v>0</v>
      </c>
      <c r="P302" s="41" t="str">
        <f>IF(ISNUMBER(VLOOKUP(B302,[4]CLOSURES!B:BI,13,FALSE)),TEXT(VLOOKUP(B302,[4]CLOSURES!B:BI,13,FALSE),"ddmmm"),IF(F302&lt;=0,0,IF(I302&lt;=0,0,IF(AND(F302&gt;0,O302&lt;=0),"&gt;52",IF(I302/O302&gt;52,"&gt;52", MAX(0,I302/O302-2))))))</f>
        <v>&gt;52</v>
      </c>
      <c r="R302" s="153"/>
    </row>
    <row r="303" spans="2:18" s="158" customFormat="1" ht="10.75" customHeight="1" x14ac:dyDescent="0.3">
      <c r="B303" s="40" t="s">
        <v>67</v>
      </c>
      <c r="C303" s="130">
        <f>'[5]Maj Pel Combined'!$I$17</f>
        <v>28.896000000000001</v>
      </c>
      <c r="D303" s="200">
        <f>F303-VLOOKUP(B303,[4]quotas!$B$85:$W$120,13,FALSE)</f>
        <v>0</v>
      </c>
      <c r="E303" s="200">
        <f>F303-C303</f>
        <v>0</v>
      </c>
      <c r="F303" s="201">
        <f>VLOOKUP(B303,[4]quotas!$B$46:$W$84,13,FALSE)</f>
        <v>28.896000000000001</v>
      </c>
      <c r="G303" s="202">
        <f>VLOOKUP(B303,[4]Cumulative!$A$56:$X$91,14,FALSE)</f>
        <v>29.645999996185306</v>
      </c>
      <c r="H303" s="151">
        <f>IF(AND(F303=0,G303&gt;0),"n/a",IF(F303=0,0,100*G303/F303))</f>
        <v>102.59551493696465</v>
      </c>
      <c r="I303" s="201">
        <f>IF(F303="*","*",F303-G303)</f>
        <v>-0.74999999618530566</v>
      </c>
      <c r="J303" s="202">
        <f>VLOOKUP(B303,[4]Weeks!$A$125:$X$161,14,FALSE)-VLOOKUP(B303,[4]Weeks!$A$165:$X$200,14,FALSE)</f>
        <v>3.2000000000000028E-2</v>
      </c>
      <c r="K303" s="202">
        <f>VLOOKUP(B303,[4]Weeks!$A$85:$X$121,14,FALSE)-VLOOKUP(B303,[4]Weeks!$A$125:$X$161,14,FALSE)</f>
        <v>2.0000000000003126E-2</v>
      </c>
      <c r="L303" s="202">
        <f>VLOOKUP(B303,[4]Weeks!$A$44:$X$81,14,FALSE)-VLOOKUP(B303,[4]Weeks!$A$85:$X$121,14,FALSE)</f>
        <v>1.0000000000001563E-2</v>
      </c>
      <c r="M303" s="202">
        <f>VLOOKUP(B303,[4]Weeks!$A$3:$X$39,14,FALSE)-VLOOKUP(B303,[4]Weeks!$A$44:$X$81,14,FALSE)</f>
        <v>1.0000000000001563E-2</v>
      </c>
      <c r="N303" s="11">
        <f>IF(C303="*","*",IF(C303&gt;0,M303/C303*100,"-"))</f>
        <v>3.4606866002220245E-2</v>
      </c>
      <c r="O303" s="202">
        <f t="shared" si="62"/>
        <v>1.800000000000157E-2</v>
      </c>
      <c r="P303" s="41" t="str">
        <f>IF(ISNUMBER(VLOOKUP(B303,[4]CLOSURES!B:BI,13,FALSE)),TEXT(VLOOKUP(B303,[4]CLOSURES!B:BI,13,FALSE),"ddmmm"),IF(F303&lt;=0,0,IF(I303&lt;=0,0,IF(AND(F303&gt;0,O303&lt;=0),"&gt;52",IF(I303/O303&gt;52,"&gt;52", MAX(0,I303/O303-2))))))</f>
        <v>01Jan</v>
      </c>
      <c r="R303" s="153"/>
    </row>
    <row r="304" spans="2:18" s="158" customFormat="1" ht="10.75" customHeight="1" x14ac:dyDescent="0.3">
      <c r="B304" s="40" t="s">
        <v>68</v>
      </c>
      <c r="C304" s="130">
        <f>'[5]Maj Pel Combined'!$I$25</f>
        <v>0</v>
      </c>
      <c r="D304" s="200">
        <f>F304-VLOOKUP(B304,[4]quotas!$B$85:$W$120,13,FALSE)</f>
        <v>0</v>
      </c>
      <c r="E304" s="200">
        <f t="shared" si="60"/>
        <v>0</v>
      </c>
      <c r="F304" s="201">
        <f>VLOOKUP(B304,[4]quotas!$B$46:$W$84,13,FALSE)</f>
        <v>0</v>
      </c>
      <c r="G304" s="202">
        <f>VLOOKUP(B304,[4]Cumulative!$A$56:$X$91,14,FALSE)</f>
        <v>0</v>
      </c>
      <c r="H304" s="151">
        <f t="shared" si="63"/>
        <v>0</v>
      </c>
      <c r="I304" s="201">
        <f t="shared" si="64"/>
        <v>0</v>
      </c>
      <c r="J304" s="202">
        <f>VLOOKUP(B304,[4]Weeks!$A$125:$X$161,14,FALSE)-VLOOKUP(B304,[4]Weeks!$A$165:$X$200,14,FALSE)</f>
        <v>0</v>
      </c>
      <c r="K304" s="202">
        <f>VLOOKUP(B304,[4]Weeks!$A$85:$X$121,14,FALSE)-VLOOKUP(B304,[4]Weeks!$A$125:$X$161,14,FALSE)</f>
        <v>0</v>
      </c>
      <c r="L304" s="202">
        <f>VLOOKUP(B304,[4]Weeks!$A$44:$X$81,14,FALSE)-VLOOKUP(B304,[4]Weeks!$A$85:$X$121,14,FALSE)</f>
        <v>0</v>
      </c>
      <c r="M304" s="202">
        <f>VLOOKUP(B304,[4]Weeks!$A$3:$X$39,14,FALSE)-VLOOKUP(B304,[4]Weeks!$A$44:$X$81,14,FALSE)</f>
        <v>0</v>
      </c>
      <c r="N304" s="11" t="str">
        <f t="shared" si="61"/>
        <v>-</v>
      </c>
      <c r="O304" s="202">
        <f t="shared" si="62"/>
        <v>0</v>
      </c>
      <c r="P304" s="41" t="str">
        <f>IF(ISNUMBER(VLOOKUP(B304,[4]CLOSURES!B:BI,13,FALSE)),TEXT(VLOOKUP(B304,[4]CLOSURES!B:BI,13,FALSE),"ddmmm"),IF(F304&lt;=0,0,IF(I304&lt;=0,0,IF(AND(F304&gt;0,O304&lt;=0),"&gt;52",IF(I304/O304&gt;52,"&gt;52", MAX(0,I304/O304-2))))))</f>
        <v>01Jan</v>
      </c>
      <c r="R304" s="153"/>
    </row>
    <row r="305" spans="2:18" s="158" customFormat="1" ht="10.75" customHeight="1" x14ac:dyDescent="0.3">
      <c r="B305" s="40" t="s">
        <v>69</v>
      </c>
      <c r="C305" s="130">
        <f>'[5]Maj Pel Combined'!$I$22</f>
        <v>0</v>
      </c>
      <c r="D305" s="200">
        <f>F305-VLOOKUP(B305,[4]quotas!$B$85:$W$120,13,FALSE)</f>
        <v>0</v>
      </c>
      <c r="E305" s="200">
        <f t="shared" si="60"/>
        <v>0</v>
      </c>
      <c r="F305" s="201">
        <f>VLOOKUP(B305,[4]quotas!$B$46:$W$84,13,FALSE)</f>
        <v>0</v>
      </c>
      <c r="G305" s="202">
        <f>VLOOKUP(B305,[4]Cumulative!$A$56:$X$91,14,FALSE)</f>
        <v>0</v>
      </c>
      <c r="H305" s="151">
        <f t="shared" si="63"/>
        <v>0</v>
      </c>
      <c r="I305" s="201">
        <f t="shared" si="64"/>
        <v>0</v>
      </c>
      <c r="J305" s="202">
        <f>VLOOKUP(B305,[4]Weeks!$A$125:$X$161,14,FALSE)-VLOOKUP(B305,[4]Weeks!$A$165:$X$200,14,FALSE)</f>
        <v>0</v>
      </c>
      <c r="K305" s="202">
        <f>VLOOKUP(B305,[4]Weeks!$A$85:$X$121,14,FALSE)-VLOOKUP(B305,[4]Weeks!$A$125:$X$161,14,FALSE)</f>
        <v>0</v>
      </c>
      <c r="L305" s="202">
        <f>VLOOKUP(B305,[4]Weeks!$A$44:$X$81,14,FALSE)-VLOOKUP(B305,[4]Weeks!$A$85:$X$121,14,FALSE)</f>
        <v>0</v>
      </c>
      <c r="M305" s="202">
        <f>VLOOKUP(B305,[4]Weeks!$A$3:$X$39,14,FALSE)-VLOOKUP(B305,[4]Weeks!$A$44:$X$81,14,FALSE)</f>
        <v>0</v>
      </c>
      <c r="N305" s="11" t="str">
        <f t="shared" si="61"/>
        <v>-</v>
      </c>
      <c r="O305" s="202">
        <f t="shared" si="62"/>
        <v>0</v>
      </c>
      <c r="P305" s="41" t="str">
        <f>IF(ISNUMBER(VLOOKUP(B305,[4]CLOSURES!B:BI,13,FALSE)),TEXT(VLOOKUP(B305,[4]CLOSURES!B:BI,13,FALSE),"ddmmm"),IF(F305&lt;=0,0,IF(I305&lt;=0,0,IF(AND(F305&gt;0,O305&lt;=0),"&gt;52",IF(I305/O305&gt;52,"&gt;52", MAX(0,I305/O305-2))))))</f>
        <v>01Jan</v>
      </c>
      <c r="R305" s="153"/>
    </row>
    <row r="306" spans="2:18" s="158" customFormat="1" ht="10.75" customHeight="1" x14ac:dyDescent="0.3">
      <c r="B306" s="40" t="s">
        <v>70</v>
      </c>
      <c r="C306" s="130">
        <f>'[5]Maj Pel Combined'!$I$21</f>
        <v>0.1</v>
      </c>
      <c r="D306" s="200">
        <f>F306-VLOOKUP(B306,[4]quotas!$B$85:$W$120,13,FALSE)</f>
        <v>0</v>
      </c>
      <c r="E306" s="200">
        <f t="shared" si="60"/>
        <v>0</v>
      </c>
      <c r="F306" s="201">
        <f>VLOOKUP(B306,[4]quotas!$B$46:$W$84,13,FALSE)</f>
        <v>0.1</v>
      </c>
      <c r="G306" s="202">
        <f>VLOOKUP(B306,[4]Cumulative!$A$56:$X$91,14,FALSE)</f>
        <v>0</v>
      </c>
      <c r="H306" s="151">
        <f t="shared" si="63"/>
        <v>0</v>
      </c>
      <c r="I306" s="201">
        <f t="shared" si="64"/>
        <v>0.1</v>
      </c>
      <c r="J306" s="202">
        <f>VLOOKUP(B306,[4]Weeks!$A$125:$X$161,14,FALSE)-VLOOKUP(B306,[4]Weeks!$A$165:$X$200,14,FALSE)</f>
        <v>0</v>
      </c>
      <c r="K306" s="202">
        <f>VLOOKUP(B306,[4]Weeks!$A$85:$X$121,14,FALSE)-VLOOKUP(B306,[4]Weeks!$A$125:$X$161,14,FALSE)</f>
        <v>0</v>
      </c>
      <c r="L306" s="202">
        <f>VLOOKUP(B306,[4]Weeks!$A$44:$X$81,14,FALSE)-VLOOKUP(B306,[4]Weeks!$A$85:$X$121,14,FALSE)</f>
        <v>0</v>
      </c>
      <c r="M306" s="202">
        <f>VLOOKUP(B306,[4]Weeks!$A$3:$X$39,14,FALSE)-VLOOKUP(B306,[4]Weeks!$A$44:$X$81,14,FALSE)</f>
        <v>0</v>
      </c>
      <c r="N306" s="11">
        <f t="shared" si="61"/>
        <v>0</v>
      </c>
      <c r="O306" s="202">
        <f t="shared" si="62"/>
        <v>0</v>
      </c>
      <c r="P306" s="41" t="str">
        <f>IF(ISNUMBER(VLOOKUP(B306,[4]CLOSURES!B:BI,13,FALSE)),TEXT(VLOOKUP(B306,[4]CLOSURES!B:BI,13,FALSE),"ddmmm"),IF(F306&lt;=0,0,IF(I306&lt;=0,0,IF(AND(F306&gt;0,O306&lt;=0),"&gt;52",IF(I306/O306&gt;52,"&gt;52", MAX(0,I306/O306-2))))))</f>
        <v>01Jan</v>
      </c>
      <c r="R306" s="153"/>
    </row>
    <row r="307" spans="2:18" s="158" customFormat="1" ht="10.75" customHeight="1" x14ac:dyDescent="0.3">
      <c r="B307" s="40" t="s">
        <v>71</v>
      </c>
      <c r="C307" s="130">
        <f>'[5]Maj Pel Combined'!$I$18</f>
        <v>48.3</v>
      </c>
      <c r="D307" s="200">
        <f>F307-VLOOKUP(B307,[4]quotas!$B$85:$W$120,13,FALSE)</f>
        <v>0</v>
      </c>
      <c r="E307" s="200">
        <f t="shared" si="60"/>
        <v>-48</v>
      </c>
      <c r="F307" s="201">
        <f>VLOOKUP(B307,[4]quotas!$B$46:$W$84,13,FALSE)</f>
        <v>0.29999999999999716</v>
      </c>
      <c r="G307" s="202">
        <f>VLOOKUP(B307,[4]Cumulative!$A$56:$X$91,14,FALSE)</f>
        <v>0</v>
      </c>
      <c r="H307" s="151">
        <f t="shared" si="63"/>
        <v>0</v>
      </c>
      <c r="I307" s="201">
        <f t="shared" si="64"/>
        <v>0.29999999999999716</v>
      </c>
      <c r="J307" s="202">
        <f>VLOOKUP(B307,[4]Weeks!$A$125:$X$161,14,FALSE)-VLOOKUP(B307,[4]Weeks!$A$165:$X$200,14,FALSE)</f>
        <v>0</v>
      </c>
      <c r="K307" s="202">
        <f>VLOOKUP(B307,[4]Weeks!$A$85:$X$121,14,FALSE)-VLOOKUP(B307,[4]Weeks!$A$125:$X$161,14,FALSE)</f>
        <v>0</v>
      </c>
      <c r="L307" s="202">
        <f>VLOOKUP(B307,[4]Weeks!$A$44:$X$81,14,FALSE)-VLOOKUP(B307,[4]Weeks!$A$85:$X$121,14,FALSE)</f>
        <v>0</v>
      </c>
      <c r="M307" s="202">
        <f>VLOOKUP(B307,[4]Weeks!$A$3:$X$39,14,FALSE)-VLOOKUP(B307,[4]Weeks!$A$44:$X$81,14,FALSE)</f>
        <v>0</v>
      </c>
      <c r="N307" s="11">
        <f t="shared" si="61"/>
        <v>0</v>
      </c>
      <c r="O307" s="202">
        <f t="shared" si="62"/>
        <v>0</v>
      </c>
      <c r="P307" s="41" t="str">
        <f>IF(ISNUMBER(VLOOKUP(B307,[4]CLOSURES!B:BI,13,FALSE)),TEXT(VLOOKUP(B307,[4]CLOSURES!B:BI,13,FALSE),"ddmmm"),IF(F307&lt;=0,0,IF(I307&lt;=0,0,IF(AND(F307&gt;0,O307&lt;=0),"&gt;52",IF(I307/O307&gt;52,"&gt;52", MAX(0,I307/O307-2))))))</f>
        <v>&gt;52</v>
      </c>
      <c r="R307" s="153"/>
    </row>
    <row r="308" spans="2:18" s="158" customFormat="1" ht="10.75" customHeight="1" x14ac:dyDescent="0.3">
      <c r="B308" s="40" t="s">
        <v>72</v>
      </c>
      <c r="C308" s="130">
        <f>'[5]Maj Pel Combined'!$I$19</f>
        <v>31.6</v>
      </c>
      <c r="D308" s="200">
        <f>F308-VLOOKUP(B308,[4]quotas!$B$85:$W$120,13,FALSE)</f>
        <v>0</v>
      </c>
      <c r="E308" s="200">
        <f t="shared" si="60"/>
        <v>-31.6</v>
      </c>
      <c r="F308" s="201">
        <f>VLOOKUP(B308,[4]quotas!$B$46:$W$84,13,FALSE)</f>
        <v>0</v>
      </c>
      <c r="G308" s="202">
        <f>VLOOKUP(B308,[4]Cumulative!$A$56:$X$91,14,FALSE)</f>
        <v>1.5</v>
      </c>
      <c r="H308" s="151" t="str">
        <f t="shared" si="63"/>
        <v>n/a</v>
      </c>
      <c r="I308" s="201">
        <f t="shared" si="64"/>
        <v>-1.5</v>
      </c>
      <c r="J308" s="202">
        <f>VLOOKUP(B308,[4]Weeks!$A$125:$X$161,14,FALSE)-VLOOKUP(B308,[4]Weeks!$A$165:$X$200,14,FALSE)</f>
        <v>0</v>
      </c>
      <c r="K308" s="202">
        <f>VLOOKUP(B308,[4]Weeks!$A$85:$X$121,14,FALSE)-VLOOKUP(B308,[4]Weeks!$A$125:$X$161,14,FALSE)</f>
        <v>0</v>
      </c>
      <c r="L308" s="202">
        <f>VLOOKUP(B308,[4]Weeks!$A$44:$X$81,14,FALSE)-VLOOKUP(B308,[4]Weeks!$A$85:$X$121,14,FALSE)</f>
        <v>0</v>
      </c>
      <c r="M308" s="202">
        <f>VLOOKUP(B308,[4]Weeks!$A$3:$X$39,14,FALSE)-VLOOKUP(B308,[4]Weeks!$A$44:$X$81,14,FALSE)</f>
        <v>0</v>
      </c>
      <c r="N308" s="11">
        <f t="shared" si="61"/>
        <v>0</v>
      </c>
      <c r="O308" s="202">
        <f t="shared" si="62"/>
        <v>0</v>
      </c>
      <c r="P308" s="41">
        <f>IF(ISNUMBER(VLOOKUP(B308,[4]CLOSURES!B:BI,13,FALSE)),TEXT(VLOOKUP(B308,[4]CLOSURES!B:BI,13,FALSE),"ddmmm"),IF(F308&lt;=0,0,IF(I308&lt;=0,0,IF(AND(F308&gt;0,O308&lt;=0),"&gt;52",IF(I308/O308&gt;52,"&gt;52", MAX(0,I308/O308-2))))))</f>
        <v>0</v>
      </c>
      <c r="R308" s="153"/>
    </row>
    <row r="309" spans="2:18" s="158" customFormat="1" ht="10.75" customHeight="1" x14ac:dyDescent="0.3">
      <c r="B309" s="43" t="s">
        <v>73</v>
      </c>
      <c r="C309" s="130">
        <f>SUM(C299:C308)</f>
        <v>448.89600000000007</v>
      </c>
      <c r="D309" s="200">
        <f>SUM(D299:D308)</f>
        <v>0</v>
      </c>
      <c r="E309" s="200">
        <f t="shared" si="60"/>
        <v>-265.60000000000008</v>
      </c>
      <c r="F309" s="201">
        <f>SUM(F299:F308)</f>
        <v>183.29599999999999</v>
      </c>
      <c r="G309" s="202">
        <f>SUM(G299:G308)</f>
        <v>31.145999996185306</v>
      </c>
      <c r="H309" s="151">
        <f t="shared" si="63"/>
        <v>16.992187497918835</v>
      </c>
      <c r="I309" s="201">
        <f t="shared" si="64"/>
        <v>152.15000000381468</v>
      </c>
      <c r="J309" s="202">
        <f t="shared" ref="J309:O309" si="65">SUM(J299:J308)</f>
        <v>3.2000000000000028E-2</v>
      </c>
      <c r="K309" s="202">
        <f t="shared" si="65"/>
        <v>2.0000000000003126E-2</v>
      </c>
      <c r="L309" s="202">
        <f t="shared" si="65"/>
        <v>1.0000000000001563E-2</v>
      </c>
      <c r="M309" s="202">
        <f t="shared" si="65"/>
        <v>1.0000000000001563E-2</v>
      </c>
      <c r="N309" s="11">
        <f t="shared" si="65"/>
        <v>3.4606866002220245E-2</v>
      </c>
      <c r="O309" s="202">
        <f t="shared" si="65"/>
        <v>1.800000000000157E-2</v>
      </c>
      <c r="P309" s="41" t="str">
        <f>IF(ISNUMBER(VLOOKUP(B309,[4]CLOSURES!B:BI,13,FALSE)),TEXT(VLOOKUP(B309,[4]CLOSURES!B:BI,13,FALSE),"ddmmm"),IF(F309&lt;=0,0,IF(I309&lt;=0,0,IF(AND(F309&gt;0,O309&lt;=0),"&gt;52",IF(I309/O309&gt;52,"&gt;52", MAX(0,I309/O309-2))))))</f>
        <v>&gt;52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f>'[5]Maj Pel Combined'!$I$5</f>
        <v>1.958</v>
      </c>
      <c r="D311" s="200">
        <f>F311-VLOOKUP(B311,[4]quotas!$B$85:$W$120,13,FALSE)</f>
        <v>0</v>
      </c>
      <c r="E311" s="200">
        <f t="shared" si="60"/>
        <v>0.59999999999999987</v>
      </c>
      <c r="F311" s="201">
        <f>VLOOKUP(B311,[4]quotas!$B$46:$W$84,13,FALSE)</f>
        <v>2.5579999999999998</v>
      </c>
      <c r="G311" s="202">
        <f>VLOOKUP(B311,[4]Cumulative!$A$56:$X$91,14,FALSE)</f>
        <v>0.13800110000371935</v>
      </c>
      <c r="H311" s="151">
        <f t="shared" si="63"/>
        <v>5.3948827210210846</v>
      </c>
      <c r="I311" s="201">
        <f t="shared" si="64"/>
        <v>2.4199988999962807</v>
      </c>
      <c r="J311" s="202">
        <f>VLOOKUP(B311,[4]Weeks!$A$125:$X$161,14,FALSE)-VLOOKUP(B311,[4]Weeks!$A$165:$X$200,14,FALSE)</f>
        <v>0</v>
      </c>
      <c r="K311" s="202">
        <f>VLOOKUP(B311,[4]Weeks!$A$85:$X$121,14,FALSE)-VLOOKUP(B311,[4]Weeks!$A$125:$X$161,14,FALSE)</f>
        <v>0</v>
      </c>
      <c r="L311" s="202">
        <f>VLOOKUP(B311,[4]Weeks!$A$44:$X$81,14,FALSE)-VLOOKUP(B311,[4]Weeks!$A$85:$X$121,14,FALSE)</f>
        <v>0</v>
      </c>
      <c r="M311" s="202">
        <f>VLOOKUP(B311,[4]Weeks!$A$3:$X$39,14,FALSE)-VLOOKUP(B311,[4]Weeks!$A$44:$X$81,14,FALSE)</f>
        <v>0</v>
      </c>
      <c r="N311" s="11">
        <f t="shared" ref="N311:N319" si="66">IF(C311="*","*",IF(C311&gt;0,M311/C311*100,"-"))</f>
        <v>0</v>
      </c>
      <c r="O311" s="202">
        <f t="shared" ref="O311:O321" si="67">IF(C311="*","*",SUM(J311:M311)/4)</f>
        <v>0</v>
      </c>
      <c r="P311" s="41" t="str">
        <f>IF(ISNUMBER(VLOOKUP(B311,[4]CLOSURES!B:BI,13,FALSE)),TEXT(VLOOKUP(B311,[4]CLOSURES!B:BI,13,FALSE),"ddmmm"),IF(F311&lt;=0,0,IF(I311&lt;=0,0,IF(AND(F311&gt;0,O311&lt;=0),"&gt;52",IF(I311/O311&gt;52,"&gt;52", MAX(0,I311/O311-2))))))</f>
        <v>&gt;52</v>
      </c>
      <c r="R311" s="153"/>
    </row>
    <row r="312" spans="2:18" s="158" customFormat="1" ht="10.75" customHeight="1" x14ac:dyDescent="0.3">
      <c r="B312" s="40" t="s">
        <v>75</v>
      </c>
      <c r="C312" s="130">
        <f>'[5]Maj Pel Combined'!$I$7</f>
        <v>3.4260000000000002</v>
      </c>
      <c r="D312" s="200">
        <f>F312-VLOOKUP(B312,[4]quotas!$B$85:$W$120,13,FALSE)</f>
        <v>0</v>
      </c>
      <c r="E312" s="200">
        <f>F312-C312</f>
        <v>0</v>
      </c>
      <c r="F312" s="201">
        <f>VLOOKUP(B312,[4]quotas!$B$46:$W$84,13,FALSE)</f>
        <v>3.4260000000000002</v>
      </c>
      <c r="G312" s="202">
        <f>VLOOKUP(B312,[4]Cumulative!$A$56:$X$91,14,FALSE)</f>
        <v>0</v>
      </c>
      <c r="H312" s="151">
        <f>IF(AND(F312=0,G312&gt;0),"n/a",IF(F312=0,0,100*G312/F312))</f>
        <v>0</v>
      </c>
      <c r="I312" s="201">
        <f>IF(F312="*","*",F312-G312)</f>
        <v>3.4260000000000002</v>
      </c>
      <c r="J312" s="202">
        <f>VLOOKUP(B312,[4]Weeks!$A$125:$X$161,14,FALSE)-VLOOKUP(B312,[4]Weeks!$A$165:$X$200,14,FALSE)</f>
        <v>0</v>
      </c>
      <c r="K312" s="202">
        <f>VLOOKUP(B312,[4]Weeks!$A$85:$X$121,14,FALSE)-VLOOKUP(B312,[4]Weeks!$A$125:$X$161,14,FALSE)</f>
        <v>0</v>
      </c>
      <c r="L312" s="202">
        <f>VLOOKUP(B312,[4]Weeks!$A$44:$X$81,14,FALSE)-VLOOKUP(B312,[4]Weeks!$A$85:$X$121,14,FALSE)</f>
        <v>0</v>
      </c>
      <c r="M312" s="202">
        <f>VLOOKUP(B312,[4]Weeks!$A$3:$X$39,14,FALSE)-VLOOKUP(B312,[4]Weeks!$A$44:$X$81,14,FALSE)</f>
        <v>0</v>
      </c>
      <c r="N312" s="11">
        <f>IF(C312="*","*",IF(C312&gt;0,M312/C312*100,"-"))</f>
        <v>0</v>
      </c>
      <c r="O312" s="202">
        <f>IF(C312="*","*",SUM(J312:M312)/4)</f>
        <v>0</v>
      </c>
      <c r="P312" s="41" t="str">
        <f>IF(ISNUMBER(VLOOKUP(B312,[4]CLOSURES!B:BI,13,FALSE)),TEXT(VLOOKUP(B312,[4]CLOSURES!B:BI,13,FALSE),"ddmmm"),IF(F312&lt;=0,0,IF(I312&lt;=0,0,IF(AND(F312&gt;0,O312&lt;=0),"&gt;52",IF(I312/O312&gt;52,"&gt;52", MAX(0,I312/O312-2))))))</f>
        <v>&gt;52</v>
      </c>
      <c r="R312" s="153"/>
    </row>
    <row r="313" spans="2:18" s="158" customFormat="1" ht="10.75" customHeight="1" x14ac:dyDescent="0.3">
      <c r="B313" s="40" t="s">
        <v>152</v>
      </c>
      <c r="C313" s="130">
        <f>'[5]Maj Pel Combined'!$I$8</f>
        <v>0</v>
      </c>
      <c r="D313" s="200">
        <f>F313-VLOOKUP(B313,[4]quotas!$B$85:$W$120,13,FALSE)</f>
        <v>0</v>
      </c>
      <c r="E313" s="200">
        <f>F313-C313</f>
        <v>0</v>
      </c>
      <c r="F313" s="201">
        <f>VLOOKUP(B313,[4]quotas!$B$46:$W$84,13,FALSE)</f>
        <v>0</v>
      </c>
      <c r="G313" s="202">
        <f>VLOOKUP(B313,[4]Cumulative!$A$56:$X$91,14,FALSE)</f>
        <v>0</v>
      </c>
      <c r="H313" s="151">
        <f>IF(AND(F313=0,G313&gt;0),"n/a",IF(F313=0,0,100*G313/F313))</f>
        <v>0</v>
      </c>
      <c r="I313" s="201">
        <f>IF(F313="*","*",F313-G313)</f>
        <v>0</v>
      </c>
      <c r="J313" s="202">
        <f>VLOOKUP(B313,[4]Weeks!$A$125:$X$161,14,FALSE)-VLOOKUP(B313,[4]Weeks!$A$165:$X$200,14,FALSE)</f>
        <v>0</v>
      </c>
      <c r="K313" s="202">
        <f>VLOOKUP(B313,[4]Weeks!$A$85:$X$121,14,FALSE)-VLOOKUP(B313,[4]Weeks!$A$125:$X$161,14,FALSE)</f>
        <v>0</v>
      </c>
      <c r="L313" s="202">
        <f>VLOOKUP(B313,[4]Weeks!$A$44:$X$81,14,FALSE)-VLOOKUP(B313,[4]Weeks!$A$85:$X$121,14,FALSE)</f>
        <v>0</v>
      </c>
      <c r="M313" s="202">
        <f>VLOOKUP(B313,[4]Weeks!$A$3:$X$39,14,FALSE)-VLOOKUP(B313,[4]Weeks!$A$44:$X$81,14,FALSE)</f>
        <v>0</v>
      </c>
      <c r="N313" s="11" t="str">
        <f>IF(C313="*","*",IF(C313&gt;0,M313/C313*100,"-"))</f>
        <v>-</v>
      </c>
      <c r="O313" s="202">
        <f>IF(C313="*","*",SUM(J313:M313)/4)</f>
        <v>0</v>
      </c>
      <c r="P313" s="41" t="str">
        <f>IF(ISNUMBER(VLOOKUP(B313,[4]CLOSURES!B:BI,13,FALSE)),TEXT(VLOOKUP(B313,[4]CLOSURES!B:BI,13,FALSE),"ddmmm"),IF(F313&lt;=0,0,IF(I313&lt;=0,0,IF(AND(F313&gt;0,O313&lt;=0),"&gt;52",IF(I313/O313&gt;52,"&gt;52", MAX(0,I313/O313-2))))))</f>
        <v>01Jan</v>
      </c>
      <c r="R313" s="153"/>
    </row>
    <row r="314" spans="2:18" s="158" customFormat="1" ht="10.75" customHeight="1" x14ac:dyDescent="0.3">
      <c r="B314" s="40" t="s">
        <v>76</v>
      </c>
      <c r="C314" s="130">
        <f>'[5]Maj Pel Combined'!$I$9</f>
        <v>1.4710000000000001</v>
      </c>
      <c r="D314" s="200">
        <f>F314-VLOOKUP(B314,[4]quotas!$B$85:$W$120,13,FALSE)</f>
        <v>0</v>
      </c>
      <c r="E314" s="200">
        <f t="shared" si="60"/>
        <v>0.5</v>
      </c>
      <c r="F314" s="201">
        <f>VLOOKUP(B314,[4]quotas!$B$46:$W$84,13,FALSE)</f>
        <v>1.9710000000000001</v>
      </c>
      <c r="G314" s="202">
        <f>VLOOKUP(B314,[4]Cumulative!$A$56:$X$91,14,FALSE)</f>
        <v>9.787000004947187E-2</v>
      </c>
      <c r="H314" s="151">
        <f t="shared" si="63"/>
        <v>4.9654997488316521</v>
      </c>
      <c r="I314" s="201">
        <f t="shared" si="64"/>
        <v>1.8731299999505282</v>
      </c>
      <c r="J314" s="202">
        <f>VLOOKUP(B314,[4]Weeks!$A$125:$X$161,14,FALSE)-VLOOKUP(B314,[4]Weeks!$A$165:$X$200,14,FALSE)</f>
        <v>0</v>
      </c>
      <c r="K314" s="202">
        <f>VLOOKUP(B314,[4]Weeks!$A$85:$X$121,14,FALSE)-VLOOKUP(B314,[4]Weeks!$A$125:$X$161,14,FALSE)</f>
        <v>0</v>
      </c>
      <c r="L314" s="202">
        <f>VLOOKUP(B314,[4]Weeks!$A$44:$X$81,14,FALSE)-VLOOKUP(B314,[4]Weeks!$A$85:$X$121,14,FALSE)</f>
        <v>0</v>
      </c>
      <c r="M314" s="202">
        <f>VLOOKUP(B314,[4]Weeks!$A$3:$X$39,14,FALSE)-VLOOKUP(B314,[4]Weeks!$A$44:$X$81,14,FALSE)</f>
        <v>0</v>
      </c>
      <c r="N314" s="11">
        <f t="shared" si="66"/>
        <v>0</v>
      </c>
      <c r="O314" s="202">
        <f t="shared" si="67"/>
        <v>0</v>
      </c>
      <c r="P314" s="41" t="str">
        <f>IF(ISNUMBER(VLOOKUP(B314,[4]CLOSURES!B:BI,13,FALSE)),TEXT(VLOOKUP(B314,[4]CLOSURES!B:BI,13,FALSE),"ddmmm"),IF(F314&lt;=0,0,IF(I314&lt;=0,0,IF(AND(F314&gt;0,O314&lt;=0),"&gt;52",IF(I314/O314&gt;52,"&gt;52", MAX(0,I314/O314-2))))))</f>
        <v>&gt;52</v>
      </c>
      <c r="R314" s="153"/>
    </row>
    <row r="315" spans="2:18" s="158" customFormat="1" ht="10.75" customHeight="1" x14ac:dyDescent="0.3">
      <c r="B315" s="40" t="s">
        <v>77</v>
      </c>
      <c r="C315" s="130">
        <f>'[5]Maj Pel Combined'!$I$27</f>
        <v>12.568</v>
      </c>
      <c r="D315" s="200">
        <f>F315-VLOOKUP(B315,[4]quotas!$B$85:$W$120,13,FALSE)</f>
        <v>0</v>
      </c>
      <c r="E315" s="200">
        <f t="shared" si="60"/>
        <v>-12.5</v>
      </c>
      <c r="F315" s="201">
        <f>VLOOKUP(B315,[4]quotas!$B$46:$W$84,13,FALSE)</f>
        <v>6.7999999999999616E-2</v>
      </c>
      <c r="G315" s="202">
        <f>VLOOKUP(B315,[4]Cumulative!$A$56:$X$91,14,FALSE)</f>
        <v>0</v>
      </c>
      <c r="H315" s="151">
        <f t="shared" si="63"/>
        <v>0</v>
      </c>
      <c r="I315" s="201">
        <f t="shared" si="64"/>
        <v>6.7999999999999616E-2</v>
      </c>
      <c r="J315" s="202">
        <f>VLOOKUP(B315,[4]Weeks!$A$125:$X$161,14,FALSE)-VLOOKUP(B315,[4]Weeks!$A$165:$X$200,14,FALSE)</f>
        <v>0</v>
      </c>
      <c r="K315" s="202">
        <f>VLOOKUP(B315,[4]Weeks!$A$85:$X$121,14,FALSE)-VLOOKUP(B315,[4]Weeks!$A$125:$X$161,14,FALSE)</f>
        <v>0</v>
      </c>
      <c r="L315" s="202">
        <f>VLOOKUP(B315,[4]Weeks!$A$44:$X$81,14,FALSE)-VLOOKUP(B315,[4]Weeks!$A$85:$X$121,14,FALSE)</f>
        <v>0</v>
      </c>
      <c r="M315" s="202">
        <f>VLOOKUP(B315,[4]Weeks!$A$3:$X$39,14,FALSE)-VLOOKUP(B315,[4]Weeks!$A$44:$X$81,14,FALSE)</f>
        <v>0</v>
      </c>
      <c r="N315" s="11">
        <f t="shared" si="66"/>
        <v>0</v>
      </c>
      <c r="O315" s="202">
        <f t="shared" si="67"/>
        <v>0</v>
      </c>
      <c r="P315" s="41" t="str">
        <f>IF(ISNUMBER(VLOOKUP(B315,[4]CLOSURES!B:BI,13,FALSE)),TEXT(VLOOKUP(B315,[4]CLOSURES!B:BI,13,FALSE),"ddmmm"),IF(F315&lt;=0,0,IF(I315&lt;=0,0,IF(AND(F315&gt;0,O315&lt;=0),"&gt;52",IF(I315/O315&gt;52,"&gt;52", MAX(0,I315/O315-2))))))</f>
        <v>&gt;52</v>
      </c>
      <c r="R315" s="153"/>
    </row>
    <row r="316" spans="2:18" s="158" customFormat="1" ht="10.75" customHeight="1" x14ac:dyDescent="0.3">
      <c r="B316" s="40" t="s">
        <v>78</v>
      </c>
      <c r="C316" s="130">
        <f>'[5]Maj Pel Combined'!$I$26</f>
        <v>309.13200000000001</v>
      </c>
      <c r="D316" s="200">
        <f>F316-VLOOKUP(B316,[4]quotas!$B$85:$W$120,13,FALSE)</f>
        <v>0</v>
      </c>
      <c r="E316" s="200">
        <f t="shared" si="60"/>
        <v>-309</v>
      </c>
      <c r="F316" s="201">
        <f>VLOOKUP(B316,[4]quotas!$B$46:$W$84,13,FALSE)</f>
        <v>0.132000000000005</v>
      </c>
      <c r="G316" s="202">
        <f>VLOOKUP(B316,[4]Cumulative!$A$56:$X$91,14,FALSE)</f>
        <v>0</v>
      </c>
      <c r="H316" s="151">
        <f t="shared" si="63"/>
        <v>0</v>
      </c>
      <c r="I316" s="201">
        <f t="shared" si="64"/>
        <v>0.132000000000005</v>
      </c>
      <c r="J316" s="202">
        <f>VLOOKUP(B316,[4]Weeks!$A$125:$X$161,14,FALSE)-VLOOKUP(B316,[4]Weeks!$A$165:$X$200,14,FALSE)</f>
        <v>0</v>
      </c>
      <c r="K316" s="202">
        <f>VLOOKUP(B316,[4]Weeks!$A$85:$X$121,14,FALSE)-VLOOKUP(B316,[4]Weeks!$A$125:$X$161,14,FALSE)</f>
        <v>0</v>
      </c>
      <c r="L316" s="202">
        <f>VLOOKUP(B316,[4]Weeks!$A$44:$X$81,14,FALSE)-VLOOKUP(B316,[4]Weeks!$A$85:$X$121,14,FALSE)</f>
        <v>0</v>
      </c>
      <c r="M316" s="202">
        <f>VLOOKUP(B316,[4]Weeks!$A$3:$X$39,14,FALSE)-VLOOKUP(B316,[4]Weeks!$A$44:$X$81,14,FALSE)</f>
        <v>0</v>
      </c>
      <c r="N316" s="11">
        <f t="shared" si="66"/>
        <v>0</v>
      </c>
      <c r="O316" s="202">
        <f t="shared" si="67"/>
        <v>0</v>
      </c>
      <c r="P316" s="41" t="str">
        <f>IF(ISNUMBER(VLOOKUP(B316,[4]CLOSURES!B:BI,13,FALSE)),TEXT(VLOOKUP(B316,[4]CLOSURES!B:BI,13,FALSE),"ddmmm"),IF(F316&lt;=0,0,IF(I316&lt;=0,0,IF(AND(F316&gt;0,O316&lt;=0),"&gt;52",IF(I316/O316&gt;52,"&gt;52", MAX(0,I316/O316-2))))))</f>
        <v>&gt;52</v>
      </c>
      <c r="R316" s="153"/>
    </row>
    <row r="317" spans="2:18" s="158" customFormat="1" ht="10.75" customHeight="1" x14ac:dyDescent="0.3">
      <c r="B317" s="40" t="s">
        <v>79</v>
      </c>
      <c r="C317" s="130">
        <f>'[5]Maj Pel Combined'!$I$6</f>
        <v>1.958</v>
      </c>
      <c r="D317" s="200">
        <f>F317-VLOOKUP(B317,[4]quotas!$B$85:$W$120,13,FALSE)</f>
        <v>0</v>
      </c>
      <c r="E317" s="200">
        <f t="shared" si="60"/>
        <v>0</v>
      </c>
      <c r="F317" s="201">
        <f>VLOOKUP(B317,[4]quotas!$B$46:$W$84,13,FALSE)</f>
        <v>1.958</v>
      </c>
      <c r="G317" s="202">
        <f>VLOOKUP(B317,[4]Cumulative!$A$56:$X$91,14,FALSE)</f>
        <v>0</v>
      </c>
      <c r="H317" s="151">
        <f t="shared" si="63"/>
        <v>0</v>
      </c>
      <c r="I317" s="201">
        <f t="shared" si="64"/>
        <v>1.958</v>
      </c>
      <c r="J317" s="202">
        <f>VLOOKUP(B317,[4]Weeks!$A$125:$X$161,14,FALSE)-VLOOKUP(B317,[4]Weeks!$A$165:$X$200,14,FALSE)</f>
        <v>0</v>
      </c>
      <c r="K317" s="202">
        <f>VLOOKUP(B317,[4]Weeks!$A$85:$X$121,14,FALSE)-VLOOKUP(B317,[4]Weeks!$A$125:$X$161,14,FALSE)</f>
        <v>0</v>
      </c>
      <c r="L317" s="202">
        <f>VLOOKUP(B317,[4]Weeks!$A$44:$X$81,14,FALSE)-VLOOKUP(B317,[4]Weeks!$A$85:$X$121,14,FALSE)</f>
        <v>0</v>
      </c>
      <c r="M317" s="202">
        <f>VLOOKUP(B317,[4]Weeks!$A$3:$X$39,14,FALSE)-VLOOKUP(B317,[4]Weeks!$A$44:$X$81,14,FALSE)</f>
        <v>0</v>
      </c>
      <c r="N317" s="11">
        <f t="shared" si="66"/>
        <v>0</v>
      </c>
      <c r="O317" s="202">
        <f t="shared" si="67"/>
        <v>0</v>
      </c>
      <c r="P317" s="41" t="str">
        <f>IF(ISNUMBER(VLOOKUP(B317,[4]CLOSURES!B:BI,13,FALSE)),TEXT(VLOOKUP(B317,[4]CLOSURES!B:BI,13,FALSE),"ddmmm"),IF(F317&lt;=0,0,IF(I317&lt;=0,0,IF(AND(F317&gt;0,O317&lt;=0),"&gt;52",IF(I317/O317&gt;52,"&gt;52", MAX(0,I317/O317-2))))))</f>
        <v>&gt;52</v>
      </c>
      <c r="R317" s="153"/>
    </row>
    <row r="318" spans="2:18" s="158" customFormat="1" ht="10.75" customHeight="1" x14ac:dyDescent="0.3">
      <c r="B318" s="40" t="s">
        <v>80</v>
      </c>
      <c r="C318" s="130">
        <f>'[5]Maj Pel Combined'!$I$14</f>
        <v>1.474</v>
      </c>
      <c r="D318" s="200">
        <f>F318-VLOOKUP(B318,[4]quotas!$B$85:$W$120,13,FALSE)</f>
        <v>0</v>
      </c>
      <c r="E318" s="200">
        <f t="shared" si="60"/>
        <v>0.5</v>
      </c>
      <c r="F318" s="201">
        <f>VLOOKUP(B318,[4]quotas!$B$46:$W$84,13,FALSE)</f>
        <v>1.974</v>
      </c>
      <c r="G318" s="202">
        <f>VLOOKUP(B318,[4]Cumulative!$A$56:$X$91,14,FALSE)</f>
        <v>0.34110000055283329</v>
      </c>
      <c r="H318" s="151">
        <f t="shared" si="63"/>
        <v>17.279635286364403</v>
      </c>
      <c r="I318" s="201">
        <f t="shared" si="64"/>
        <v>1.6328999994471667</v>
      </c>
      <c r="J318" s="202">
        <f>VLOOKUP(B318,[4]Weeks!$A$125:$X$161,14,FALSE)-VLOOKUP(B318,[4]Weeks!$A$165:$X$200,14,FALSE)</f>
        <v>0</v>
      </c>
      <c r="K318" s="202">
        <f>VLOOKUP(B318,[4]Weeks!$A$85:$X$121,14,FALSE)-VLOOKUP(B318,[4]Weeks!$A$125:$X$161,14,FALSE)</f>
        <v>0</v>
      </c>
      <c r="L318" s="202">
        <f>VLOOKUP(B318,[4]Weeks!$A$44:$X$81,14,FALSE)-VLOOKUP(B318,[4]Weeks!$A$85:$X$121,14,FALSE)</f>
        <v>0</v>
      </c>
      <c r="M318" s="202">
        <f>VLOOKUP(B318,[4]Weeks!$A$3:$X$39,14,FALSE)-VLOOKUP(B318,[4]Weeks!$A$44:$X$81,14,FALSE)</f>
        <v>3.0000000447039099E-4</v>
      </c>
      <c r="N318" s="11">
        <f t="shared" si="66"/>
        <v>2.0352781850094367E-2</v>
      </c>
      <c r="O318" s="202">
        <f t="shared" si="67"/>
        <v>7.5000001117597748E-5</v>
      </c>
      <c r="P318" s="41" t="str">
        <f>IF(ISNUMBER(VLOOKUP(B318,[4]CLOSURES!B:BI,13,FALSE)),TEXT(VLOOKUP(B318,[4]CLOSURES!B:BI,13,FALSE),"ddmmm"),IF(F318&lt;=0,0,IF(I318&lt;=0,0,IF(AND(F318&gt;0,O318&lt;=0),"&gt;52",IF(I318/O318&gt;52,"&gt;52", MAX(0,I318/O318-2))))))</f>
        <v>&gt;52</v>
      </c>
      <c r="R318" s="153"/>
    </row>
    <row r="319" spans="2:18" s="158" customFormat="1" ht="10.75" customHeight="1" x14ac:dyDescent="0.3">
      <c r="B319" s="40" t="s">
        <v>81</v>
      </c>
      <c r="C319" s="130">
        <f>'[5]Maj Pel Combined'!$I$13</f>
        <v>4.7370000000000001</v>
      </c>
      <c r="D319" s="200">
        <f>F319-VLOOKUP(B319,[4]quotas!$B$85:$W$120,13,FALSE)</f>
        <v>0</v>
      </c>
      <c r="E319" s="200">
        <f t="shared" si="60"/>
        <v>15.199999999999998</v>
      </c>
      <c r="F319" s="201">
        <f>VLOOKUP(B319,[4]quotas!$B$46:$W$84,13,FALSE)</f>
        <v>19.936999999999998</v>
      </c>
      <c r="G319" s="202">
        <f>VLOOKUP(B319,[4]Cumulative!$A$56:$X$91,14,FALSE)</f>
        <v>19.442000002861008</v>
      </c>
      <c r="H319" s="151">
        <f t="shared" si="63"/>
        <v>97.517179128560016</v>
      </c>
      <c r="I319" s="201">
        <f t="shared" si="64"/>
        <v>0.49499999713899001</v>
      </c>
      <c r="J319" s="202">
        <f>VLOOKUP(B319,[4]Weeks!$A$125:$X$161,14,FALSE)-VLOOKUP(B319,[4]Weeks!$A$165:$X$200,14,FALSE)</f>
        <v>0.13299999999999912</v>
      </c>
      <c r="K319" s="202">
        <f>VLOOKUP(B319,[4]Weeks!$A$85:$X$121,14,FALSE)-VLOOKUP(B319,[4]Weeks!$A$125:$X$161,14,FALSE)</f>
        <v>1.5000000000000568E-2</v>
      </c>
      <c r="L319" s="202">
        <f>VLOOKUP(B319,[4]Weeks!$A$44:$X$81,14,FALSE)-VLOOKUP(B319,[4]Weeks!$A$85:$X$121,14,FALSE)</f>
        <v>0</v>
      </c>
      <c r="M319" s="202">
        <f>VLOOKUP(B319,[4]Weeks!$A$3:$X$39,14,FALSE)-VLOOKUP(B319,[4]Weeks!$A$44:$X$81,14,FALSE)</f>
        <v>0</v>
      </c>
      <c r="N319" s="11">
        <f t="shared" si="66"/>
        <v>0</v>
      </c>
      <c r="O319" s="202">
        <f t="shared" si="67"/>
        <v>3.6999999999999922E-2</v>
      </c>
      <c r="P319" s="41">
        <f>IF(ISNUMBER(VLOOKUP(B319,[4]CLOSURES!B:BI,13,FALSE)),TEXT(VLOOKUP(B319,[4]CLOSURES!B:BI,13,FALSE),"ddmmm"),IF(F319&lt;=0,0,IF(I319&lt;=0,0,IF(AND(F319&gt;0,O319&lt;=0),"&gt;52",IF(I319/O319&gt;52,"&gt;52", MAX(0,I319/O319-2))))))</f>
        <v>11.378378301053813</v>
      </c>
      <c r="R319" s="153"/>
    </row>
    <row r="320" spans="2:18" s="158" customFormat="1" ht="10.75" customHeight="1" x14ac:dyDescent="0.3">
      <c r="B320" s="152" t="s">
        <v>82</v>
      </c>
      <c r="C320" s="130">
        <f>'[5]Maj Pel Combined'!$I$11</f>
        <v>10.063000000000001</v>
      </c>
      <c r="D320" s="200">
        <f>F320-VLOOKUP(B320,[4]quotas!$B$85:$W$120,13,FALSE)</f>
        <v>0</v>
      </c>
      <c r="E320" s="200">
        <f>F320-C320</f>
        <v>138.6</v>
      </c>
      <c r="F320" s="201">
        <f>VLOOKUP(B320,[4]quotas!$B$46:$W$84,13,FALSE)</f>
        <v>148.66299999999998</v>
      </c>
      <c r="G320" s="202">
        <f>VLOOKUP(B320,[4]Cumulative!$A$56:$X$91,14,FALSE)</f>
        <v>147.71799973963948</v>
      </c>
      <c r="H320" s="151">
        <f>IF(AND(F320=0,G320&gt;0),"n/a",IF(F320=0,0,100*G320/F320))</f>
        <v>99.364333922791488</v>
      </c>
      <c r="I320" s="201">
        <f>IF(F320="*","*",F320-G320)</f>
        <v>0.94500026036050144</v>
      </c>
      <c r="J320" s="202">
        <f>VLOOKUP(B320,[4]Weeks!$A$125:$X$161,14,FALSE)-VLOOKUP(B320,[4]Weeks!$A$165:$X$200,14,FALSE)</f>
        <v>2.1239999771118221</v>
      </c>
      <c r="K320" s="202">
        <f>VLOOKUP(B320,[4]Weeks!$A$85:$X$121,14,FALSE)-VLOOKUP(B320,[4]Weeks!$A$125:$X$161,14,FALSE)</f>
        <v>4.9509999923706687</v>
      </c>
      <c r="L320" s="202">
        <f>VLOOKUP(B320,[4]Weeks!$A$44:$X$81,14,FALSE)-VLOOKUP(B320,[4]Weeks!$A$85:$X$121,14,FALSE)</f>
        <v>2.3009999999999877</v>
      </c>
      <c r="M320" s="202">
        <f>VLOOKUP(B320,[4]Weeks!$A$3:$X$39,14,FALSE)-VLOOKUP(B320,[4]Weeks!$A$44:$X$81,14,FALSE)</f>
        <v>1.5341217936799296</v>
      </c>
      <c r="N320" s="11">
        <f>IF(C320="*","*",IF(C320&gt;0,M320/C320*100,"-"))</f>
        <v>15.245173344727512</v>
      </c>
      <c r="O320" s="202">
        <f>IF(C320="*","*",SUM(J320:M320)/4)</f>
        <v>2.727530440790602</v>
      </c>
      <c r="P320" s="41">
        <f>IF(ISNUMBER(VLOOKUP(B320,[4]CLOSURES!B:BI,13,FALSE)),TEXT(VLOOKUP(B320,[4]CLOSURES!B:BI,13,FALSE),"ddmmm"),IF(F320&lt;=0,0,IF(I320&lt;=0,0,IF(AND(F320&gt;0,O320&lt;=0),"&gt;52",IF(I320/O320&gt;52,"&gt;52", MAX(0,I320/O320-2))))))</f>
        <v>0</v>
      </c>
      <c r="R320" s="153"/>
    </row>
    <row r="321" spans="2:254" s="158" customFormat="1" ht="10.75" customHeight="1" x14ac:dyDescent="0.3">
      <c r="B321" s="152" t="s">
        <v>83</v>
      </c>
      <c r="C321" s="130">
        <f>'[5]Maj Pel Combined'!$I$15</f>
        <v>1.079</v>
      </c>
      <c r="D321" s="200">
        <f>F321-VLOOKUP(B321,[4]quotas!$B$85:$W$120,13,FALSE)</f>
        <v>0</v>
      </c>
      <c r="E321" s="200">
        <f>F321-C321</f>
        <v>0.30000000000000004</v>
      </c>
      <c r="F321" s="201">
        <f>VLOOKUP(B321,[4]quotas!$B$46:$W$84,13,FALSE)</f>
        <v>1.379</v>
      </c>
      <c r="G321" s="202">
        <f>VLOOKUP(B321,[4]Cumulative!$A$56:$X$91,14,FALSE)</f>
        <v>0</v>
      </c>
      <c r="H321" s="151">
        <f>IF(AND(F321=0,G321&gt;0),"n/a",IF(F321=0,0,100*G321/F321))</f>
        <v>0</v>
      </c>
      <c r="I321" s="201">
        <f>IF(F321="*","*",F321-G321)</f>
        <v>1.379</v>
      </c>
      <c r="J321" s="202">
        <f>VLOOKUP(B321,[4]Weeks!$A$125:$X$161,14,FALSE)-VLOOKUP(B321,[4]Weeks!$A$165:$X$200,14,FALSE)</f>
        <v>0</v>
      </c>
      <c r="K321" s="202">
        <f>VLOOKUP(B321,[4]Weeks!$A$85:$X$121,14,FALSE)-VLOOKUP(B321,[4]Weeks!$A$125:$X$161,14,FALSE)</f>
        <v>0</v>
      </c>
      <c r="L321" s="202">
        <f>VLOOKUP(B321,[4]Weeks!$A$44:$X$81,14,FALSE)-VLOOKUP(B321,[4]Weeks!$A$85:$X$121,14,FALSE)</f>
        <v>0</v>
      </c>
      <c r="M321" s="202">
        <f>VLOOKUP(B321,[4]Weeks!$A$3:$X$39,14,FALSE)-VLOOKUP(B321,[4]Weeks!$A$44:$X$81,14,FALSE)</f>
        <v>0</v>
      </c>
      <c r="N321" s="11">
        <f>IF(C321="*","*",IF(C321&gt;0,M321/C321*100,"-"))</f>
        <v>0</v>
      </c>
      <c r="O321" s="202">
        <f t="shared" si="67"/>
        <v>0</v>
      </c>
      <c r="P321" s="41" t="str">
        <f>IF(ISNUMBER(VLOOKUP(B321,[4]CLOSURES!B:BI,13,FALSE)),TEXT(VLOOKUP(B321,[4]CLOSURES!B:BI,13,FALSE),"ddmmm"),IF(F321&lt;=0,0,IF(I321&lt;=0,0,IF(AND(F321&gt;0,O321&lt;=0),"&gt;52",IF(I321/O321&gt;52,"&gt;52", MAX(0,I321/O321-2))))))</f>
        <v>01Jan</v>
      </c>
      <c r="R321" s="153"/>
    </row>
    <row r="322" spans="2:254" s="158" customFormat="1" ht="10.75" customHeight="1" x14ac:dyDescent="0.3">
      <c r="B322" s="170" t="s">
        <v>84</v>
      </c>
      <c r="C322" s="130">
        <f>'[5]Maj Pel Combined'!$I$10</f>
        <v>319.53800000000001</v>
      </c>
      <c r="D322" s="200">
        <f>F322-VLOOKUP(B322,[4]quotas!$B$85:$W$120,13,FALSE)</f>
        <v>0</v>
      </c>
      <c r="E322" s="200">
        <f>F322-C322</f>
        <v>-279.5</v>
      </c>
      <c r="F322" s="201">
        <f>VLOOKUP(B322,[4]quotas!$B$46:$W$84,13,FALSE)</f>
        <v>40.038000000000011</v>
      </c>
      <c r="G322" s="202">
        <f>VLOOKUP(B322,[4]Cumulative!$A$56:$X$91,14,FALSE)-'[4]Horse Mackerel Flexibility'!B29</f>
        <v>0</v>
      </c>
      <c r="H322" s="151">
        <f t="shared" si="63"/>
        <v>0</v>
      </c>
      <c r="I322" s="201">
        <f>IF(F322="*","*",F322-G322)</f>
        <v>40.038000000000011</v>
      </c>
      <c r="J322" s="202">
        <f>VLOOKUP(B322,[4]Weeks!$A$125:$X$161,14,FALSE)-VLOOKUP(B322,[4]Weeks!$A$165:$X$200,14,FALSE)</f>
        <v>0</v>
      </c>
      <c r="K322" s="202">
        <f>VLOOKUP(B322,[4]Weeks!$A$85:$X$121,14,FALSE)-VLOOKUP(B322,[4]Weeks!$A$125:$X$161,14,FALSE)</f>
        <v>0</v>
      </c>
      <c r="L322" s="202">
        <f>VLOOKUP(B322,[4]Weeks!$A$44:$X$81,14,FALSE)-VLOOKUP(B322,[4]Weeks!$A$85:$X$121,14,FALSE)</f>
        <v>0</v>
      </c>
      <c r="M322" s="202">
        <f>VLOOKUP(B322,[4]Weeks!$A$3:$X$39,14,FALSE)-VLOOKUP(B322,[4]Weeks!$A$44:$X$81,14,FALSE)</f>
        <v>0</v>
      </c>
      <c r="N322" s="11">
        <f>IF(C322="*","*",IF(C322&gt;0,M322/C322*100,"-"))</f>
        <v>0</v>
      </c>
      <c r="O322" s="202">
        <f>IF(C322="*","*",SUM(J322:M322)/4)</f>
        <v>0</v>
      </c>
      <c r="P322" s="41" t="str">
        <f>IF(ISNUMBER(VLOOKUP(B322,[4]CLOSURES!B:BI,13,FALSE)),TEXT(VLOOKUP(B322,[4]CLOSURES!B:BI,13,FALSE),"ddmmm"),IF(F322&lt;=0,0,IF(I322&lt;=0,0,IF(AND(F322&gt;0,O322&lt;=0),"&gt;52",IF(I322/O322&gt;52,"&gt;52", MAX(0,I322/O322-2))))))</f>
        <v>&gt;52</v>
      </c>
      <c r="R322" s="153"/>
    </row>
    <row r="323" spans="2:254" s="158" customFormat="1" ht="10.75" customHeight="1" x14ac:dyDescent="0.3">
      <c r="B323" s="40" t="s">
        <v>85</v>
      </c>
      <c r="C323" s="130">
        <f>'[5]Maj Pel Combined'!$I$12</f>
        <v>1266.883</v>
      </c>
      <c r="D323" s="200">
        <f>F323-VLOOKUP(B323,[4]quotas!$B$85:$W$120,13,FALSE)</f>
        <v>0</v>
      </c>
      <c r="E323" s="200">
        <f>F323-C323</f>
        <v>1627.4999999999998</v>
      </c>
      <c r="F323" s="201">
        <f>VLOOKUP(B323,[4]quotas!$B$46:$W$84,13,FALSE)</f>
        <v>2894.3829999999998</v>
      </c>
      <c r="G323" s="202">
        <f>VLOOKUP(B323,[4]Cumulative!$A$56:$X$91,14,FALSE)</f>
        <v>3023.9108475418097</v>
      </c>
      <c r="H323" s="151">
        <f t="shared" si="63"/>
        <v>104.47514539512601</v>
      </c>
      <c r="I323" s="201">
        <f>IF(F323="*","*",F323-G323)</f>
        <v>-129.52784754180993</v>
      </c>
      <c r="J323" s="202">
        <f>VLOOKUP(B323,[4]Weeks!$A$125:$X$161,14,FALSE)-VLOOKUP(B323,[4]Weeks!$A$165:$X$200,14,FALSE)</f>
        <v>0.32499999809260771</v>
      </c>
      <c r="K323" s="202">
        <f>VLOOKUP(B323,[4]Weeks!$A$85:$X$121,14,FALSE)-VLOOKUP(B323,[4]Weeks!$A$125:$X$161,14,FALSE)</f>
        <v>1.6790000000005421</v>
      </c>
      <c r="L323" s="202">
        <f>VLOOKUP(B323,[4]Weeks!$A$44:$X$81,14,FALSE)-VLOOKUP(B323,[4]Weeks!$A$85:$X$121,14,FALSE)</f>
        <v>96.019999999999982</v>
      </c>
      <c r="M323" s="202">
        <f>VLOOKUP(B323,[4]Weeks!$A$3:$X$39,14,FALSE)-VLOOKUP(B323,[4]Weeks!$A$44:$X$81,14,FALSE)</f>
        <v>48.739000000000033</v>
      </c>
      <c r="N323" s="11">
        <f>IF(C323="*","*",IF(C323&gt;0,M323/C323*100,"-"))</f>
        <v>3.8471587352581125</v>
      </c>
      <c r="O323" s="202">
        <f>IF(C323="*","*",SUM(J323:M323)/4)</f>
        <v>36.690749999523291</v>
      </c>
      <c r="P323" s="41">
        <f>IF(ISNUMBER(VLOOKUP(B323,[4]CLOSURES!B:BI,13,FALSE)),TEXT(VLOOKUP(B323,[4]CLOSURES!B:BI,13,FALSE),"ddmmm"),IF(F323&lt;=0,0,IF(I323&lt;=0,0,IF(AND(F323&gt;0,O323&lt;=0),"&gt;52",IF(I323/O323&gt;52,"&gt;52", MAX(0,I323/O323-2))))))</f>
        <v>0</v>
      </c>
      <c r="R323" s="153"/>
    </row>
    <row r="324" spans="2:254" s="158" customFormat="1" ht="10.75" customHeight="1" x14ac:dyDescent="0.3">
      <c r="B324" s="162" t="s">
        <v>86</v>
      </c>
      <c r="C324" s="130">
        <f>SUM(C299:C308)+SUM(C311:C323)</f>
        <v>2383.183</v>
      </c>
      <c r="D324" s="202">
        <f>SUM(D298:D308)+SUM(D311:D323)</f>
        <v>0</v>
      </c>
      <c r="E324" s="200">
        <f>F324-C324</f>
        <v>916.59999999999945</v>
      </c>
      <c r="F324" s="201">
        <f>SUM(F298:F308)+SUM(F311:F323)</f>
        <v>3299.7829999999994</v>
      </c>
      <c r="G324" s="202">
        <f>SUM(G298:G308)+SUM(G311:G323)</f>
        <v>3222.7938183811016</v>
      </c>
      <c r="H324" s="151">
        <f t="shared" si="63"/>
        <v>97.666841073522178</v>
      </c>
      <c r="I324" s="201">
        <f>IF(F324="*","*",F324-G324)</f>
        <v>76.989181618897874</v>
      </c>
      <c r="J324" s="202">
        <f>SUM(J298:J308)+SUM(J311:J323)</f>
        <v>2.6139999752044289</v>
      </c>
      <c r="K324" s="202">
        <f>SUM(K298:K308)+SUM(K311:K323)</f>
        <v>6.6649999923712144</v>
      </c>
      <c r="L324" s="202">
        <f>SUM(L298:L308)+SUM(L311:L323)</f>
        <v>98.330999999999975</v>
      </c>
      <c r="M324" s="202">
        <f>SUM(M298:M308)+SUM(M311:M323)</f>
        <v>50.28342179368444</v>
      </c>
      <c r="N324" s="11">
        <f>IF(C324="*","*",IF(C324&gt;0,M324/C324*100,"-"))</f>
        <v>2.1099270091169853</v>
      </c>
      <c r="O324" s="202">
        <f>IF(C324="*","*",SUM(J324:M324)/4)</f>
        <v>39.473355440315018</v>
      </c>
      <c r="P324" s="41">
        <f>IF(ISNUMBER(VLOOKUP(B324,[4]CLOSURES!B:BI,13,FALSE)),TEXT(VLOOKUP(B324,[4]CLOSURES!B:BI,13,FALSE),"ddmmm"),IF(F324&lt;=0,0,IF(I324&lt;=0,0,IF(AND(F324&gt;0,O324&lt;=0),"&gt;52",IF(I324/O324&gt;52,"&gt;52", MAX(0,I324/O324-2))))))</f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f>'[4]Pel Non PO'!C153</f>
        <v>266.31900000000002</v>
      </c>
      <c r="D326" s="200">
        <f>'[4]Pel Non PO'!D153</f>
        <v>0</v>
      </c>
      <c r="E326" s="200">
        <f t="shared" si="60"/>
        <v>-221.8</v>
      </c>
      <c r="F326" s="201">
        <f>'[4]Pel Non PO'!F153</f>
        <v>44.519000000000005</v>
      </c>
      <c r="G326" s="202">
        <f>'[4]Pel Non PO'!G153</f>
        <v>0</v>
      </c>
      <c r="H326" s="151">
        <f t="shared" si="63"/>
        <v>0</v>
      </c>
      <c r="I326" s="201">
        <f t="shared" si="64"/>
        <v>44.519000000000005</v>
      </c>
      <c r="J326" s="202">
        <f>'[4]Pel Non PO'!J153</f>
        <v>0</v>
      </c>
      <c r="K326" s="202">
        <f>'[4]Pel Non PO'!K153</f>
        <v>0</v>
      </c>
      <c r="L326" s="202">
        <f>'[4]Pel Non PO'!L153</f>
        <v>0</v>
      </c>
      <c r="M326" s="202">
        <f>'[4]Pel Non PO'!M153</f>
        <v>0</v>
      </c>
      <c r="N326" s="11">
        <f>IF(C326="*","*",IF(C326&gt;0,M326/C326*100,"-"))</f>
        <v>0</v>
      </c>
      <c r="O326" s="202">
        <f>IF(C326="*","*",SUM(J326:M326)/4)</f>
        <v>0</v>
      </c>
      <c r="P326" s="41" t="str">
        <f>IF(ISNUMBER(VLOOKUP(B326,[4]CLOSURES!B:BI,13,FALSE)),TEXT(VLOOKUP(B326,[4]CLOSURES!B:BI,13,FALSE),"ddmmm"),IF(F326&lt;=0,0,IF(I326&lt;=0,0,IF(AND(F326&gt;0,O326&lt;=0),"&gt;52",IF(I326/O326&gt;52,"&gt;52", MAX(0,I326/O326-2))))))</f>
        <v>01Jan</v>
      </c>
      <c r="R326" s="153"/>
    </row>
    <row r="327" spans="2:254" s="158" customFormat="1" ht="10.75" customHeight="1" x14ac:dyDescent="0.3">
      <c r="B327" s="44" t="s">
        <v>88</v>
      </c>
      <c r="C327" s="130">
        <f>'[5]Maj Pel Combined'!$I$33</f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f>IF(C327="*","*",SUM(J327:M327)/4)</f>
        <v>0</v>
      </c>
      <c r="P327" s="41" t="str">
        <f>IF(ISNUMBER(VLOOKUP(B327,[4]CLOSURES!B:BI,13,FALSE)),TEXT(VLOOKUP(B327,[4]CLOSURES!B:BI,13,FALSE),"ddmmm"),IF(F327&lt;=0,0,IF(I327&lt;=0,0,IF(AND(F327&gt;0,O327&lt;=0),"&gt;52",IF(I327/O327&gt;52,"&gt;52", MAX(0,I327/O327-2))))))</f>
        <v>01Jan</v>
      </c>
      <c r="R327" s="153"/>
    </row>
    <row r="328" spans="2:254" s="158" customFormat="1" ht="10.75" customHeight="1" x14ac:dyDescent="0.3">
      <c r="B328" s="44" t="s">
        <v>89</v>
      </c>
      <c r="C328" s="130">
        <f>'[4]Pel Non PO'!C160</f>
        <v>766.69600000000003</v>
      </c>
      <c r="D328" s="200">
        <f>'[4]Pel Non PO'!D160</f>
        <v>0</v>
      </c>
      <c r="E328" s="200">
        <f t="shared" si="60"/>
        <v>-764.8</v>
      </c>
      <c r="F328" s="201">
        <f>'[4]Pel Non PO'!F160</f>
        <v>1.8960000000000763</v>
      </c>
      <c r="G328" s="202">
        <f>'[4]Pel Non PO'!G160</f>
        <v>1.6934499980211244</v>
      </c>
      <c r="H328" s="151">
        <f t="shared" si="63"/>
        <v>89.316983017988193</v>
      </c>
      <c r="I328" s="201">
        <f t="shared" si="64"/>
        <v>0.2025500019789519</v>
      </c>
      <c r="J328" s="202">
        <f>'[4]Pel Non PO'!J160</f>
        <v>0</v>
      </c>
      <c r="K328" s="202">
        <f>'[4]Pel Non PO'!K160</f>
        <v>1.3000000119207655E-3</v>
      </c>
      <c r="L328" s="202">
        <f>'[4]Pel Non PO'!L160</f>
        <v>3.0000001192087566E-4</v>
      </c>
      <c r="M328" s="202">
        <f>'[4]Pel Non PO'!M160</f>
        <v>1.3000000193716943E-3</v>
      </c>
      <c r="N328" s="11">
        <f>IF(C328="*","*",IF(C328&gt;0,M328/C328*100,"-"))</f>
        <v>1.6955873245350103E-4</v>
      </c>
      <c r="O328" s="202">
        <f>IF(C328="*","*",SUM(J328:M328)/4)</f>
        <v>7.2500001080333387E-4</v>
      </c>
      <c r="P328" s="41" t="str">
        <f>IF(ISNUMBER(VLOOKUP(B328,[4]CLOSURES!B:BI,13,FALSE)),TEXT(VLOOKUP(B328,[4]CLOSURES!B:BI,13,FALSE),"ddmmm"),IF(F328&lt;=0,0,IF(I328&lt;=0,0,IF(AND(F328&gt;0,O328&lt;=0),"&gt;52",IF(I328/O328&gt;52,"&gt;52", MAX(0,I328/O328-2))))))</f>
        <v>01Jan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f>F330</f>
        <v>0</v>
      </c>
      <c r="D330" s="200"/>
      <c r="E330" s="200"/>
      <c r="F330" s="201">
        <f>'[5]Maj Pel Combined'!$I$41</f>
        <v>0</v>
      </c>
      <c r="G330" s="202"/>
      <c r="H330" s="151"/>
      <c r="I330" s="201">
        <f>F330</f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f>C324+SUM(C326:C330)</f>
        <v>3416.1980000000003</v>
      </c>
      <c r="D331" s="131">
        <f>D324+SUM(D326:D330)</f>
        <v>0</v>
      </c>
      <c r="E331" s="131">
        <f>E324+SUM(E326:E330)</f>
        <v>-70.000000000000455</v>
      </c>
      <c r="F331" s="132">
        <f>[4]quotas!N79</f>
        <v>3346.1979999999999</v>
      </c>
      <c r="G331" s="131">
        <f>G324+SUM(G326:G330)</f>
        <v>3224.4872683791227</v>
      </c>
      <c r="H331" s="156">
        <f t="shared" si="63"/>
        <v>96.362715786068932</v>
      </c>
      <c r="I331" s="132">
        <f t="shared" si="64"/>
        <v>121.71073162087714</v>
      </c>
      <c r="J331" s="131">
        <f>VLOOKUP(B331,[4]Weeks!$A$125:$X$161,14,FALSE)-VLOOKUP(B331,[4]Weeks!$A$165:$X$200,14,FALSE)</f>
        <v>2.6139999752044787</v>
      </c>
      <c r="K331" s="131">
        <f>VLOOKUP(B331,[4]Weeks!$A$85:$X$121,14,FALSE)-VLOOKUP(B331,[4]Weeks!$A$125:$X$161,14,FALSE)</f>
        <v>6.6662999923828465</v>
      </c>
      <c r="L331" s="131">
        <f>VLOOKUP(B331,[4]Weeks!$A$44:$X$81,14,FALSE)-VLOOKUP(B331,[4]Weeks!$A$85:$X$121,14,FALSE)</f>
        <v>98.331300000012106</v>
      </c>
      <c r="M331" s="131">
        <f>M324+M326+M328</f>
        <v>50.28472179370381</v>
      </c>
      <c r="N331" s="53">
        <f>IF(C331="*","*",IF(C331&gt;0,M331/C331*100,"-"))</f>
        <v>1.4719498633774684</v>
      </c>
      <c r="O331" s="131">
        <f>IF(C331="*","*",SUM(J331:M331)/4)</f>
        <v>39.474080440325807</v>
      </c>
      <c r="P331" s="49">
        <f>IF(ISNUMBER(VLOOKUP(B331,[4]CLOSURES!B:BI,13,FALSE)),TEXT(VLOOKUP(B331,[4]CLOSURES!B:BI,13,FALSE),"ddmmm"),IF(F331&lt;=0,0,IF(I331&lt;=0,0,IF(AND(F331&gt;0,O331&lt;=0),"&gt;52",IF(I331/O331&gt;52,"&gt;52", MAX(0,I331/O331-2))))))</f>
        <v>1.0833075847041207</v>
      </c>
      <c r="R331" s="153"/>
    </row>
    <row r="332" spans="2:254" ht="10.75" customHeight="1" x14ac:dyDescent="0.3">
      <c r="B332" s="163" t="str">
        <f>B83</f>
        <v>Number of Weeks to end of year is 2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tr">
        <f>B84</f>
        <v>Estimated weeks left after applying 4 week average to amount left, and subtracting 2 weeks to account for lags in recording.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f>$J7</f>
        <v>44895</v>
      </c>
      <c r="K339" s="33">
        <f>$K7</f>
        <v>44902</v>
      </c>
      <c r="L339" s="33">
        <f>$L7</f>
        <v>44909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f>'[5]Maj Pel Combined'!$J$23</f>
        <v>170.59800000000001</v>
      </c>
      <c r="D342" s="200">
        <f>F342-VLOOKUP(B342,[4]quotas!$B$85:$W$120,14,FALSE)</f>
        <v>0</v>
      </c>
      <c r="E342" s="200">
        <f t="shared" ref="E342:E371" si="68">F342-C342</f>
        <v>-134.89999999999998</v>
      </c>
      <c r="F342" s="201">
        <f>VLOOKUP(B342,[4]quotas!$B$46:$W$84,14,FALSE)</f>
        <v>35.698000000000036</v>
      </c>
      <c r="G342" s="202">
        <f>VLOOKUP(B342,[4]Cumulative!$A$56:$X$91,15,FALSE)</f>
        <v>33.06</v>
      </c>
      <c r="H342" s="151">
        <f>IF(AND(F342=0,G342&gt;0),"n/a",IF(F342=0,0,100*G342/F342))</f>
        <v>92.610230265000752</v>
      </c>
      <c r="I342" s="201">
        <f>IF(F342="*","*",F342-G342)</f>
        <v>2.6380000000000337</v>
      </c>
      <c r="J342" s="202">
        <f>VLOOKUP(B342,[4]Weeks!$A$125:$X$161,15,FALSE)-VLOOKUP(B342,[4]Weeks!$A$165:$X$200,15,FALSE)</f>
        <v>0</v>
      </c>
      <c r="K342" s="202">
        <f>VLOOKUP(B342,[4]Weeks!$A$85:$X$121,15,FALSE)-VLOOKUP(B342,[4]Weeks!$A$125:$X$161,15,FALSE)</f>
        <v>0</v>
      </c>
      <c r="L342" s="202">
        <f>VLOOKUP(B342,[4]Weeks!$A$44:$X$81,15,FALSE)-VLOOKUP(B342,[4]Weeks!$A$85:$X$121,15,FALSE)</f>
        <v>0</v>
      </c>
      <c r="M342" s="202">
        <f>VLOOKUP(B342,[4]Weeks!$A$3:$X$39,15,FALSE)-VLOOKUP(B342,[4]Weeks!$A$44:$X$81,15,FALSE)</f>
        <v>2.0000000000000036</v>
      </c>
      <c r="N342" s="11">
        <f t="shared" ref="N342:N351" si="69">IF(C342="*","*",IF(C342&gt;0,M342/C342*100,"-"))</f>
        <v>1.172346686362093</v>
      </c>
      <c r="O342" s="202">
        <f t="shared" ref="O342:O351" si="70">IF(C342="*","*",SUM(J342:M342)/4)</f>
        <v>0.50000000000000089</v>
      </c>
      <c r="P342" s="41">
        <f>IF(ISNUMBER(VLOOKUP(B342,[4]CLOSURES!B:BI,14,FALSE)),TEXT(VLOOKUP(B342,[4]CLOSURES!B:BI,14,FALSE),"ddmmm"),IF(F342&lt;=0,0,IF(I342&lt;=0,0,IF(AND(F342&gt;0,O342&lt;=0),"&gt;52",IF(I342/O342&gt;52,"&gt;52", MAX(0,I342/O342-2))))))</f>
        <v>3.2760000000000575</v>
      </c>
      <c r="R342" s="153"/>
    </row>
    <row r="343" spans="2:18" s="158" customFormat="1" ht="10.75" customHeight="1" x14ac:dyDescent="0.3">
      <c r="B343" s="40" t="s">
        <v>63</v>
      </c>
      <c r="C343" s="130">
        <f>'[5]Maj Pel Combined'!$J$16</f>
        <v>-0.3</v>
      </c>
      <c r="D343" s="200">
        <f>F343-VLOOKUP(B343,[4]quotas!$B$85:$W$120,14,FALSE)</f>
        <v>0</v>
      </c>
      <c r="E343" s="200">
        <f t="shared" si="68"/>
        <v>0</v>
      </c>
      <c r="F343" s="201">
        <f>VLOOKUP(B343,[4]quotas!$B$46:$W$84,14,FALSE)</f>
        <v>-0.3</v>
      </c>
      <c r="G343" s="202">
        <f>VLOOKUP(B343,[4]Cumulative!$A$56:$X$91,15,FALSE)</f>
        <v>0</v>
      </c>
      <c r="H343" s="151">
        <f t="shared" ref="H343:H374" si="71">IF(AND(F343=0,G343&gt;0),"n/a",IF(F343=0,0,100*G343/F343))</f>
        <v>0</v>
      </c>
      <c r="I343" s="201">
        <f t="shared" ref="I343:I374" si="72">IF(F343="*","*",F343-G343)</f>
        <v>-0.3</v>
      </c>
      <c r="J343" s="202">
        <f>VLOOKUP(B343,[4]Weeks!$A$125:$X$161,15,FALSE)-VLOOKUP(B343,[4]Weeks!$A$165:$X$200,15,FALSE)</f>
        <v>0</v>
      </c>
      <c r="K343" s="202">
        <f>VLOOKUP(B343,[4]Weeks!$A$85:$X$121,15,FALSE)-VLOOKUP(B343,[4]Weeks!$A$125:$X$161,15,FALSE)</f>
        <v>0</v>
      </c>
      <c r="L343" s="202">
        <f>VLOOKUP(B343,[4]Weeks!$A$44:$X$81,15,FALSE)-VLOOKUP(B343,[4]Weeks!$A$85:$X$121,15,FALSE)</f>
        <v>0</v>
      </c>
      <c r="M343" s="202">
        <f>VLOOKUP(B343,[4]Weeks!$A$3:$X$39,15,FALSE)-VLOOKUP(B343,[4]Weeks!$A$44:$X$81,15,FALSE)</f>
        <v>0</v>
      </c>
      <c r="N343" s="11" t="str">
        <f t="shared" si="69"/>
        <v>-</v>
      </c>
      <c r="O343" s="202">
        <f t="shared" si="70"/>
        <v>0</v>
      </c>
      <c r="P343" s="41" t="str">
        <f>IF(ISNUMBER(VLOOKUP(B343,[4]CLOSURES!B:BI,14,FALSE)),TEXT(VLOOKUP(B343,[4]CLOSURES!B:BI,14,FALSE),"ddmmm"),IF(F343&lt;=0,0,IF(I343&lt;=0,0,IF(AND(F343&gt;0,O343&lt;=0),"&gt;52",IF(I343/O343&gt;52,"&gt;52", MAX(0,I343/O343-2))))))</f>
        <v>01Jan</v>
      </c>
      <c r="R343" s="153"/>
    </row>
    <row r="344" spans="2:18" s="158" customFormat="1" ht="10.75" customHeight="1" x14ac:dyDescent="0.3">
      <c r="B344" s="40" t="s">
        <v>65</v>
      </c>
      <c r="C344" s="130">
        <f>'[5]Maj Pel Combined'!$J$20</f>
        <v>0</v>
      </c>
      <c r="D344" s="200">
        <f>F344-VLOOKUP(B344,[4]quotas!$B$85:$W$120,14,FALSE)</f>
        <v>0</v>
      </c>
      <c r="E344" s="200">
        <f t="shared" si="68"/>
        <v>0</v>
      </c>
      <c r="F344" s="201">
        <f>VLOOKUP(B344,[4]quotas!$B$46:$W$84,14,FALSE)</f>
        <v>0</v>
      </c>
      <c r="G344" s="202">
        <f>VLOOKUP(B344,[4]Cumulative!$A$56:$X$91,15,FALSE)</f>
        <v>0</v>
      </c>
      <c r="H344" s="151">
        <f t="shared" si="71"/>
        <v>0</v>
      </c>
      <c r="I344" s="201">
        <f t="shared" si="72"/>
        <v>0</v>
      </c>
      <c r="J344" s="202">
        <f>VLOOKUP(B344,[4]Weeks!$A$125:$X$161,15,FALSE)-VLOOKUP(B344,[4]Weeks!$A$165:$X$200,15,FALSE)</f>
        <v>0</v>
      </c>
      <c r="K344" s="202">
        <f>VLOOKUP(B344,[4]Weeks!$A$85:$X$121,15,FALSE)-VLOOKUP(B344,[4]Weeks!$A$125:$X$161,15,FALSE)</f>
        <v>0</v>
      </c>
      <c r="L344" s="202">
        <f>VLOOKUP(B344,[4]Weeks!$A$44:$X$81,15,FALSE)-VLOOKUP(B344,[4]Weeks!$A$85:$X$121,15,FALSE)</f>
        <v>0</v>
      </c>
      <c r="M344" s="202">
        <f>VLOOKUP(B344,[4]Weeks!$A$3:$X$39,15,FALSE)-VLOOKUP(B344,[4]Weeks!$A$44:$X$81,15,FALSE)</f>
        <v>0</v>
      </c>
      <c r="N344" s="11" t="str">
        <f t="shared" si="69"/>
        <v>-</v>
      </c>
      <c r="O344" s="202">
        <f t="shared" si="70"/>
        <v>0</v>
      </c>
      <c r="P344" s="41" t="str">
        <f>IF(ISNUMBER(VLOOKUP(B344,[4]CLOSURES!B:BI,14,FALSE)),TEXT(VLOOKUP(B344,[4]CLOSURES!B:BI,14,FALSE),"ddmmm"),IF(F344&lt;=0,0,IF(I344&lt;=0,0,IF(AND(F344&gt;0,O344&lt;=0),"&gt;52",IF(I344/O344&gt;52,"&gt;52", MAX(0,I344/O344-2))))))</f>
        <v>01Jan</v>
      </c>
      <c r="R344" s="153"/>
    </row>
    <row r="345" spans="2:18" s="158" customFormat="1" ht="10.75" customHeight="1" x14ac:dyDescent="0.3">
      <c r="B345" s="40" t="s">
        <v>66</v>
      </c>
      <c r="C345" s="130">
        <f>'[5]Maj Pel Combined'!$J$24</f>
        <v>278.767</v>
      </c>
      <c r="D345" s="200">
        <f>F345-VLOOKUP(B345,[4]quotas!$B$85:$W$120,14,FALSE)</f>
        <v>0</v>
      </c>
      <c r="E345" s="200">
        <f t="shared" si="68"/>
        <v>-150</v>
      </c>
      <c r="F345" s="201">
        <f>VLOOKUP(B345,[4]quotas!$B$46:$W$84,14,FALSE)</f>
        <v>128.767</v>
      </c>
      <c r="G345" s="202">
        <f>VLOOKUP(B345,[4]Cumulative!$A$56:$X$91,15,FALSE)</f>
        <v>68.569999999999993</v>
      </c>
      <c r="H345" s="151">
        <f t="shared" si="71"/>
        <v>53.251221197977735</v>
      </c>
      <c r="I345" s="201">
        <f t="shared" si="72"/>
        <v>60.197000000000003</v>
      </c>
      <c r="J345" s="202">
        <f>VLOOKUP(B345,[4]Weeks!$A$125:$X$161,15,FALSE)-VLOOKUP(B345,[4]Weeks!$A$165:$X$200,15,FALSE)</f>
        <v>0</v>
      </c>
      <c r="K345" s="202">
        <f>VLOOKUP(B345,[4]Weeks!$A$85:$X$121,15,FALSE)-VLOOKUP(B345,[4]Weeks!$A$125:$X$161,15,FALSE)</f>
        <v>0</v>
      </c>
      <c r="L345" s="202">
        <f>VLOOKUP(B345,[4]Weeks!$A$44:$X$81,15,FALSE)-VLOOKUP(B345,[4]Weeks!$A$85:$X$121,15,FALSE)</f>
        <v>0</v>
      </c>
      <c r="M345" s="202">
        <f>VLOOKUP(B345,[4]Weeks!$A$3:$X$39,15,FALSE)-VLOOKUP(B345,[4]Weeks!$A$44:$X$81,15,FALSE)</f>
        <v>0</v>
      </c>
      <c r="N345" s="11">
        <f t="shared" si="69"/>
        <v>0</v>
      </c>
      <c r="O345" s="202">
        <f t="shared" si="70"/>
        <v>0</v>
      </c>
      <c r="P345" s="41" t="str">
        <f>IF(ISNUMBER(VLOOKUP(B345,[4]CLOSURES!B:BI,14,FALSE)),TEXT(VLOOKUP(B345,[4]CLOSURES!B:BI,14,FALSE),"ddmmm"),IF(F345&lt;=0,0,IF(I345&lt;=0,0,IF(AND(F345&gt;0,O345&lt;=0),"&gt;52",IF(I345/O345&gt;52,"&gt;52", MAX(0,I345/O345-2))))))</f>
        <v>&gt;52</v>
      </c>
      <c r="R345" s="153"/>
    </row>
    <row r="346" spans="2:18" s="158" customFormat="1" ht="10.75" customHeight="1" x14ac:dyDescent="0.3">
      <c r="B346" s="40" t="s">
        <v>67</v>
      </c>
      <c r="C346" s="130">
        <f>'[5]Maj Pel Combined'!$J$17</f>
        <v>0</v>
      </c>
      <c r="D346" s="200">
        <f>F346-VLOOKUP(B346,[4]quotas!$B$85:$W$120,14,FALSE)</f>
        <v>0</v>
      </c>
      <c r="E346" s="200">
        <f>F346-C346</f>
        <v>0</v>
      </c>
      <c r="F346" s="201">
        <f>VLOOKUP(B346,[4]quotas!$B$46:$W$84,14,FALSE)</f>
        <v>0</v>
      </c>
      <c r="G346" s="202">
        <f>VLOOKUP(B346,[4]Cumulative!$A$56:$X$91,15,FALSE)</f>
        <v>0.04</v>
      </c>
      <c r="H346" s="151" t="str">
        <f>IF(AND(F346=0,G346&gt;0),"n/a",IF(F346=0,0,100*G346/F346))</f>
        <v>n/a</v>
      </c>
      <c r="I346" s="201">
        <f>IF(F346="*","*",F346-G346)</f>
        <v>-0.04</v>
      </c>
      <c r="J346" s="202">
        <f>VLOOKUP(B346,[4]Weeks!$A$125:$X$161,15,FALSE)-VLOOKUP(B346,[4]Weeks!$A$165:$X$200,15,FALSE)</f>
        <v>0</v>
      </c>
      <c r="K346" s="202">
        <f>VLOOKUP(B346,[4]Weeks!$A$85:$X$121,15,FALSE)-VLOOKUP(B346,[4]Weeks!$A$125:$X$161,15,FALSE)</f>
        <v>0</v>
      </c>
      <c r="L346" s="202">
        <f>VLOOKUP(B346,[4]Weeks!$A$44:$X$81,15,FALSE)-VLOOKUP(B346,[4]Weeks!$A$85:$X$121,15,FALSE)</f>
        <v>0</v>
      </c>
      <c r="M346" s="202">
        <f>VLOOKUP(B346,[4]Weeks!$A$3:$X$39,15,FALSE)-VLOOKUP(B346,[4]Weeks!$A$44:$X$81,15,FALSE)</f>
        <v>0</v>
      </c>
      <c r="N346" s="11" t="str">
        <f>IF(C346="*","*",IF(C346&gt;0,M346/C346*100,"-"))</f>
        <v>-</v>
      </c>
      <c r="O346" s="202">
        <f t="shared" si="70"/>
        <v>0</v>
      </c>
      <c r="P346" s="41">
        <f>IF(ISNUMBER(VLOOKUP(B346,[4]CLOSURES!B:BI,14,FALSE)),TEXT(VLOOKUP(B346,[4]CLOSURES!B:BI,14,FALSE),"ddmmm"),IF(F346&lt;=0,0,IF(I346&lt;=0,0,IF(AND(F346&gt;0,O346&lt;=0),"&gt;52",IF(I346/O346&gt;52,"&gt;52", MAX(0,I346/O346-2))))))</f>
        <v>0</v>
      </c>
      <c r="R346" s="153"/>
    </row>
    <row r="347" spans="2:18" s="158" customFormat="1" ht="10.75" customHeight="1" x14ac:dyDescent="0.3">
      <c r="B347" s="40" t="s">
        <v>68</v>
      </c>
      <c r="C347" s="130">
        <f>'[5]Maj Pel Combined'!$J$25</f>
        <v>0.1</v>
      </c>
      <c r="D347" s="200">
        <f>F347-VLOOKUP(B347,[4]quotas!$B$85:$W$120,14,FALSE)</f>
        <v>0</v>
      </c>
      <c r="E347" s="200">
        <f t="shared" si="68"/>
        <v>-0.1</v>
      </c>
      <c r="F347" s="201">
        <f>VLOOKUP(B347,[4]quotas!$B$46:$W$84,14,FALSE)</f>
        <v>0</v>
      </c>
      <c r="G347" s="202">
        <f>VLOOKUP(B347,[4]Cumulative!$A$56:$X$91,15,FALSE)</f>
        <v>0</v>
      </c>
      <c r="H347" s="151">
        <f t="shared" si="71"/>
        <v>0</v>
      </c>
      <c r="I347" s="201">
        <f t="shared" si="72"/>
        <v>0</v>
      </c>
      <c r="J347" s="202">
        <f>VLOOKUP(B347,[4]Weeks!$A$125:$X$161,15,FALSE)-VLOOKUP(B347,[4]Weeks!$A$165:$X$200,15,FALSE)</f>
        <v>0</v>
      </c>
      <c r="K347" s="202">
        <f>VLOOKUP(B347,[4]Weeks!$A$85:$X$121,15,FALSE)-VLOOKUP(B347,[4]Weeks!$A$125:$X$161,15,FALSE)</f>
        <v>0</v>
      </c>
      <c r="L347" s="202">
        <f>VLOOKUP(B347,[4]Weeks!$A$44:$X$81,15,FALSE)-VLOOKUP(B347,[4]Weeks!$A$85:$X$121,15,FALSE)</f>
        <v>0</v>
      </c>
      <c r="M347" s="202">
        <f>VLOOKUP(B347,[4]Weeks!$A$3:$X$39,15,FALSE)-VLOOKUP(B347,[4]Weeks!$A$44:$X$81,15,FALSE)</f>
        <v>0</v>
      </c>
      <c r="N347" s="11">
        <f t="shared" si="69"/>
        <v>0</v>
      </c>
      <c r="O347" s="202">
        <f t="shared" si="70"/>
        <v>0</v>
      </c>
      <c r="P347" s="41" t="str">
        <f>IF(ISNUMBER(VLOOKUP(B347,[4]CLOSURES!B:BI,14,FALSE)),TEXT(VLOOKUP(B347,[4]CLOSURES!B:BI,14,FALSE),"ddmmm"),IF(F347&lt;=0,0,IF(I347&lt;=0,0,IF(AND(F347&gt;0,O347&lt;=0),"&gt;52",IF(I347/O347&gt;52,"&gt;52", MAX(0,I347/O347-2))))))</f>
        <v>01Jan</v>
      </c>
      <c r="R347" s="153"/>
    </row>
    <row r="348" spans="2:18" s="158" customFormat="1" ht="10.75" customHeight="1" x14ac:dyDescent="0.3">
      <c r="B348" s="40" t="s">
        <v>69</v>
      </c>
      <c r="C348" s="130">
        <f>'[5]Maj Pel Combined'!$J$22</f>
        <v>0</v>
      </c>
      <c r="D348" s="200">
        <f>F348-VLOOKUP(B348,[4]quotas!$B$85:$W$120,14,FALSE)</f>
        <v>0</v>
      </c>
      <c r="E348" s="200">
        <f t="shared" si="68"/>
        <v>0</v>
      </c>
      <c r="F348" s="201">
        <f>VLOOKUP(B348,[4]quotas!$B$46:$W$84,14,FALSE)</f>
        <v>0</v>
      </c>
      <c r="G348" s="202">
        <f>VLOOKUP(B348,[4]Cumulative!$A$56:$X$91,15,FALSE)</f>
        <v>0</v>
      </c>
      <c r="H348" s="151">
        <f t="shared" si="71"/>
        <v>0</v>
      </c>
      <c r="I348" s="201">
        <f t="shared" si="72"/>
        <v>0</v>
      </c>
      <c r="J348" s="202">
        <f>VLOOKUP(B348,[4]Weeks!$A$125:$X$161,15,FALSE)-VLOOKUP(B348,[4]Weeks!$A$165:$X$200,15,FALSE)</f>
        <v>0</v>
      </c>
      <c r="K348" s="202">
        <f>VLOOKUP(B348,[4]Weeks!$A$85:$X$121,15,FALSE)-VLOOKUP(B348,[4]Weeks!$A$125:$X$161,15,FALSE)</f>
        <v>0</v>
      </c>
      <c r="L348" s="202">
        <f>VLOOKUP(B348,[4]Weeks!$A$44:$X$81,15,FALSE)-VLOOKUP(B348,[4]Weeks!$A$85:$X$121,15,FALSE)</f>
        <v>0</v>
      </c>
      <c r="M348" s="202">
        <f>VLOOKUP(B348,[4]Weeks!$A$3:$X$39,15,FALSE)-VLOOKUP(B348,[4]Weeks!$A$44:$X$81,15,FALSE)</f>
        <v>0</v>
      </c>
      <c r="N348" s="11" t="str">
        <f t="shared" si="69"/>
        <v>-</v>
      </c>
      <c r="O348" s="202">
        <f t="shared" si="70"/>
        <v>0</v>
      </c>
      <c r="P348" s="41" t="str">
        <f>IF(ISNUMBER(VLOOKUP(B348,[4]CLOSURES!B:BI,14,FALSE)),TEXT(VLOOKUP(B348,[4]CLOSURES!B:BI,14,FALSE),"ddmmm"),IF(F348&lt;=0,0,IF(I348&lt;=0,0,IF(AND(F348&gt;0,O348&lt;=0),"&gt;52",IF(I348/O348&gt;52,"&gt;52", MAX(0,I348/O348-2))))))</f>
        <v>01Jan</v>
      </c>
      <c r="R348" s="153"/>
    </row>
    <row r="349" spans="2:18" s="158" customFormat="1" ht="10.75" customHeight="1" x14ac:dyDescent="0.3">
      <c r="B349" s="40" t="s">
        <v>70</v>
      </c>
      <c r="C349" s="130">
        <f>'[5]Maj Pel Combined'!$J$21</f>
        <v>0.8</v>
      </c>
      <c r="D349" s="200">
        <f>F349-VLOOKUP(B349,[4]quotas!$B$85:$W$120,14,FALSE)</f>
        <v>0</v>
      </c>
      <c r="E349" s="200">
        <f t="shared" si="68"/>
        <v>0</v>
      </c>
      <c r="F349" s="201">
        <f>VLOOKUP(B349,[4]quotas!$B$46:$W$84,14,FALSE)</f>
        <v>0.8</v>
      </c>
      <c r="G349" s="202">
        <f>VLOOKUP(B349,[4]Cumulative!$A$56:$X$91,15,FALSE)</f>
        <v>0</v>
      </c>
      <c r="H349" s="151">
        <f t="shared" si="71"/>
        <v>0</v>
      </c>
      <c r="I349" s="201">
        <f t="shared" si="72"/>
        <v>0.8</v>
      </c>
      <c r="J349" s="202">
        <f>VLOOKUP(B349,[4]Weeks!$A$125:$X$161,15,FALSE)-VLOOKUP(B349,[4]Weeks!$A$165:$X$200,15,FALSE)</f>
        <v>0</v>
      </c>
      <c r="K349" s="202">
        <f>VLOOKUP(B349,[4]Weeks!$A$85:$X$121,15,FALSE)-VLOOKUP(B349,[4]Weeks!$A$125:$X$161,15,FALSE)</f>
        <v>0</v>
      </c>
      <c r="L349" s="202">
        <f>VLOOKUP(B349,[4]Weeks!$A$44:$X$81,15,FALSE)-VLOOKUP(B349,[4]Weeks!$A$85:$X$121,15,FALSE)</f>
        <v>0</v>
      </c>
      <c r="M349" s="202">
        <f>VLOOKUP(B349,[4]Weeks!$A$3:$X$39,15,FALSE)-VLOOKUP(B349,[4]Weeks!$A$44:$X$81,15,FALSE)</f>
        <v>0</v>
      </c>
      <c r="N349" s="11">
        <f t="shared" si="69"/>
        <v>0</v>
      </c>
      <c r="O349" s="202">
        <f t="shared" si="70"/>
        <v>0</v>
      </c>
      <c r="P349" s="41" t="str">
        <f>IF(ISNUMBER(VLOOKUP(B349,[4]CLOSURES!B:BI,14,FALSE)),TEXT(VLOOKUP(B349,[4]CLOSURES!B:BI,14,FALSE),"ddmmm"),IF(F349&lt;=0,0,IF(I349&lt;=0,0,IF(AND(F349&gt;0,O349&lt;=0),"&gt;52",IF(I349/O349&gt;52,"&gt;52", MAX(0,I349/O349-2))))))</f>
        <v>01Jan</v>
      </c>
      <c r="R349" s="153"/>
    </row>
    <row r="350" spans="2:18" s="158" customFormat="1" ht="10.75" customHeight="1" x14ac:dyDescent="0.3">
      <c r="B350" s="40" t="s">
        <v>71</v>
      </c>
      <c r="C350" s="130">
        <f>'[5]Maj Pel Combined'!$J$18</f>
        <v>345.49900000000002</v>
      </c>
      <c r="D350" s="200">
        <f>F350-VLOOKUP(B350,[4]quotas!$B$85:$W$120,14,FALSE)</f>
        <v>0</v>
      </c>
      <c r="E350" s="200">
        <f t="shared" si="68"/>
        <v>71.600000000000023</v>
      </c>
      <c r="F350" s="201">
        <f>VLOOKUP(B350,[4]quotas!$B$46:$W$84,14,FALSE)</f>
        <v>417.09900000000005</v>
      </c>
      <c r="G350" s="202">
        <f>VLOOKUP(B350,[4]Cumulative!$A$56:$X$91,15,FALSE)</f>
        <v>452.87000000000006</v>
      </c>
      <c r="H350" s="151">
        <f t="shared" si="71"/>
        <v>108.57614139568784</v>
      </c>
      <c r="I350" s="201">
        <f t="shared" si="72"/>
        <v>-35.771000000000015</v>
      </c>
      <c r="J350" s="202">
        <f>VLOOKUP(B350,[4]Weeks!$A$125:$X$161,15,FALSE)-VLOOKUP(B350,[4]Weeks!$A$165:$X$200,15,FALSE)</f>
        <v>0</v>
      </c>
      <c r="K350" s="202">
        <f>VLOOKUP(B350,[4]Weeks!$A$85:$X$121,15,FALSE)-VLOOKUP(B350,[4]Weeks!$A$125:$X$161,15,FALSE)</f>
        <v>0</v>
      </c>
      <c r="L350" s="202">
        <f>VLOOKUP(B350,[4]Weeks!$A$44:$X$81,15,FALSE)-VLOOKUP(B350,[4]Weeks!$A$85:$X$121,15,FALSE)</f>
        <v>0</v>
      </c>
      <c r="M350" s="202">
        <f>VLOOKUP(B350,[4]Weeks!$A$3:$X$39,15,FALSE)-VLOOKUP(B350,[4]Weeks!$A$44:$X$81,15,FALSE)</f>
        <v>0</v>
      </c>
      <c r="N350" s="11">
        <f t="shared" si="69"/>
        <v>0</v>
      </c>
      <c r="O350" s="202">
        <f t="shared" si="70"/>
        <v>0</v>
      </c>
      <c r="P350" s="41">
        <f>IF(ISNUMBER(VLOOKUP(B350,[4]CLOSURES!B:BI,14,FALSE)),TEXT(VLOOKUP(B350,[4]CLOSURES!B:BI,14,FALSE),"ddmmm"),IF(F350&lt;=0,0,IF(I350&lt;=0,0,IF(AND(F350&gt;0,O350&lt;=0),"&gt;52",IF(I350/O350&gt;52,"&gt;52", MAX(0,I350/O350-2))))))</f>
        <v>0</v>
      </c>
      <c r="R350" s="153"/>
    </row>
    <row r="351" spans="2:18" s="158" customFormat="1" ht="10.75" customHeight="1" x14ac:dyDescent="0.3">
      <c r="B351" s="40" t="s">
        <v>72</v>
      </c>
      <c r="C351" s="130">
        <f>'[5]Maj Pel Combined'!$J$19</f>
        <v>38.588000000000001</v>
      </c>
      <c r="D351" s="200">
        <f>F351-VLOOKUP(B351,[4]quotas!$B$85:$W$120,14,FALSE)</f>
        <v>0</v>
      </c>
      <c r="E351" s="200">
        <f t="shared" si="68"/>
        <v>-38.6</v>
      </c>
      <c r="F351" s="201">
        <f>VLOOKUP(B351,[4]quotas!$B$46:$W$84,14,FALSE)</f>
        <v>-1.2000000000000455E-2</v>
      </c>
      <c r="G351" s="202">
        <f>VLOOKUP(B351,[4]Cumulative!$A$56:$X$91,15,FALSE)</f>
        <v>0</v>
      </c>
      <c r="H351" s="151">
        <f t="shared" si="71"/>
        <v>0</v>
      </c>
      <c r="I351" s="201">
        <f t="shared" si="72"/>
        <v>-1.2000000000000455E-2</v>
      </c>
      <c r="J351" s="202">
        <f>VLOOKUP(B351,[4]Weeks!$A$125:$X$161,15,FALSE)-VLOOKUP(B351,[4]Weeks!$A$165:$X$200,15,FALSE)</f>
        <v>0</v>
      </c>
      <c r="K351" s="202">
        <f>VLOOKUP(B351,[4]Weeks!$A$85:$X$121,15,FALSE)-VLOOKUP(B351,[4]Weeks!$A$125:$X$161,15,FALSE)</f>
        <v>0</v>
      </c>
      <c r="L351" s="202">
        <f>VLOOKUP(B351,[4]Weeks!$A$44:$X$81,15,FALSE)-VLOOKUP(B351,[4]Weeks!$A$85:$X$121,15,FALSE)</f>
        <v>0</v>
      </c>
      <c r="M351" s="202">
        <f>VLOOKUP(B351,[4]Weeks!$A$3:$X$39,15,FALSE)-VLOOKUP(B351,[4]Weeks!$A$44:$X$81,15,FALSE)</f>
        <v>0</v>
      </c>
      <c r="N351" s="11">
        <f t="shared" si="69"/>
        <v>0</v>
      </c>
      <c r="O351" s="202">
        <f t="shared" si="70"/>
        <v>0</v>
      </c>
      <c r="P351" s="41">
        <f>IF(ISNUMBER(VLOOKUP(B351,[4]CLOSURES!B:BI,14,FALSE)),TEXT(VLOOKUP(B351,[4]CLOSURES!B:BI,14,FALSE),"ddmmm"),IF(F351&lt;=0,0,IF(I351&lt;=0,0,IF(AND(F351&gt;0,O351&lt;=0),"&gt;52",IF(I351/O351&gt;52,"&gt;52", MAX(0,I351/O351-2))))))</f>
        <v>0</v>
      </c>
      <c r="R351" s="153"/>
    </row>
    <row r="352" spans="2:18" s="158" customFormat="1" ht="10.75" customHeight="1" x14ac:dyDescent="0.3">
      <c r="B352" s="43" t="s">
        <v>73</v>
      </c>
      <c r="C352" s="130">
        <f>SUM(C342:C351)</f>
        <v>834.05200000000002</v>
      </c>
      <c r="D352" s="200">
        <f>SUM(D342:D351)</f>
        <v>0</v>
      </c>
      <c r="E352" s="200">
        <f t="shared" si="68"/>
        <v>-251.99999999999989</v>
      </c>
      <c r="F352" s="201">
        <f>SUM(F342:F351)</f>
        <v>582.05200000000013</v>
      </c>
      <c r="G352" s="202">
        <f>SUM(G342:G351)</f>
        <v>554.54000000000008</v>
      </c>
      <c r="H352" s="151">
        <f t="shared" si="71"/>
        <v>95.27327455278909</v>
      </c>
      <c r="I352" s="201">
        <f t="shared" si="72"/>
        <v>27.512000000000057</v>
      </c>
      <c r="J352" s="202">
        <f t="shared" ref="J352:O352" si="73">SUM(J342:J351)</f>
        <v>0</v>
      </c>
      <c r="K352" s="202">
        <f t="shared" si="73"/>
        <v>0</v>
      </c>
      <c r="L352" s="202">
        <f t="shared" si="73"/>
        <v>0</v>
      </c>
      <c r="M352" s="202">
        <f t="shared" si="73"/>
        <v>2.0000000000000036</v>
      </c>
      <c r="N352" s="11">
        <f t="shared" si="73"/>
        <v>1.172346686362093</v>
      </c>
      <c r="O352" s="202">
        <f t="shared" si="73"/>
        <v>0.50000000000000089</v>
      </c>
      <c r="P352" s="41" t="str">
        <f>IF(ISNUMBER(VLOOKUP(B352,[4]CLOSURES!B:BI,14,FALSE)),TEXT(VLOOKUP(B352,[4]CLOSURES!B:BI,14,FALSE),"ddmmm"),IF(F352&lt;=0,0,IF(I352&lt;=0,0,IF(AND(F352&gt;0,O352&lt;=0),"&gt;52",IF(I352/O352&gt;52,"&gt;52", MAX(0,I352/O352-2))))))</f>
        <v>&gt;52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f>'[5]Maj Pel Combined'!$J$5</f>
        <v>5.2</v>
      </c>
      <c r="D354" s="200">
        <f>F354-VLOOKUP(B354,[4]quotas!$B$85:$W$120,14,FALSE)</f>
        <v>0</v>
      </c>
      <c r="E354" s="200">
        <f t="shared" si="68"/>
        <v>0</v>
      </c>
      <c r="F354" s="201">
        <f>VLOOKUP(B354,[4]quotas!$B$46:$W$84,14,FALSE)</f>
        <v>5.2</v>
      </c>
      <c r="G354" s="202">
        <f>VLOOKUP(B354,[4]Cumulative!$A$56:$X$91,15,FALSE)</f>
        <v>0</v>
      </c>
      <c r="H354" s="151">
        <f t="shared" si="71"/>
        <v>0</v>
      </c>
      <c r="I354" s="201">
        <f t="shared" si="72"/>
        <v>5.2</v>
      </c>
      <c r="J354" s="202">
        <f>VLOOKUP(B354,[4]Weeks!$A$125:$X$161,15,FALSE)-VLOOKUP(B354,[4]Weeks!$A$165:$X$200,15,FALSE)</f>
        <v>0</v>
      </c>
      <c r="K354" s="202">
        <f>VLOOKUP(B354,[4]Weeks!$A$85:$X$121,15,FALSE)-VLOOKUP(B354,[4]Weeks!$A$125:$X$161,15,FALSE)</f>
        <v>0</v>
      </c>
      <c r="L354" s="202">
        <f>VLOOKUP(B354,[4]Weeks!$A$44:$X$81,15,FALSE)-VLOOKUP(B354,[4]Weeks!$A$85:$X$121,15,FALSE)</f>
        <v>0</v>
      </c>
      <c r="M354" s="202">
        <f>VLOOKUP(B354,[4]Weeks!$A$3:$X$39,15,FALSE)-VLOOKUP(B354,[4]Weeks!$A$44:$X$81,15,FALSE)</f>
        <v>0</v>
      </c>
      <c r="N354" s="11">
        <f t="shared" ref="N354:N365" si="74">IF(C354="*","*",IF(C354&gt;0,M354/C354*100,"-"))</f>
        <v>0</v>
      </c>
      <c r="O354" s="202">
        <f t="shared" ref="O354:O365" si="75">IF(C354="*","*",SUM(J354:M354)/4)</f>
        <v>0</v>
      </c>
      <c r="P354" s="41" t="str">
        <f>IF(ISNUMBER(VLOOKUP(B354,[4]CLOSURES!B:BI,14,FALSE)),TEXT(VLOOKUP(B354,[4]CLOSURES!B:BI,14,FALSE),"ddmmm"),IF(F354&lt;=0,0,IF(I354&lt;=0,0,IF(AND(F354&gt;0,O354&lt;=0),"&gt;52",IF(I354/O354&gt;52,"&gt;52", MAX(0,I354/O354-2))))))</f>
        <v>&gt;52</v>
      </c>
      <c r="R354" s="153"/>
    </row>
    <row r="355" spans="2:18" s="158" customFormat="1" ht="10.75" customHeight="1" x14ac:dyDescent="0.3">
      <c r="B355" s="40" t="s">
        <v>75</v>
      </c>
      <c r="C355" s="130">
        <f>'[5]Maj Pel Combined'!$J$7</f>
        <v>11.2</v>
      </c>
      <c r="D355" s="200">
        <f>F355-VLOOKUP(B355,[4]quotas!$B$85:$W$120,14,FALSE)</f>
        <v>0</v>
      </c>
      <c r="E355" s="200">
        <f>F355-C355</f>
        <v>-7.2</v>
      </c>
      <c r="F355" s="201">
        <f>VLOOKUP(B355,[4]quotas!$B$46:$W$84,14,FALSE)</f>
        <v>3.9999999999999991</v>
      </c>
      <c r="G355" s="202">
        <f>VLOOKUP(B355,[4]Cumulative!$A$56:$X$91,15,FALSE)</f>
        <v>0</v>
      </c>
      <c r="H355" s="151">
        <f>IF(AND(F355=0,G355&gt;0),"n/a",IF(F355=0,0,100*G355/F355))</f>
        <v>0</v>
      </c>
      <c r="I355" s="201">
        <f>IF(F355="*","*",F355-G355)</f>
        <v>3.9999999999999991</v>
      </c>
      <c r="J355" s="202">
        <f>VLOOKUP(B355,[4]Weeks!$A$125:$X$161,15,FALSE)-VLOOKUP(B355,[4]Weeks!$A$165:$X$200,15,FALSE)</f>
        <v>0</v>
      </c>
      <c r="K355" s="202">
        <f>VLOOKUP(B355,[4]Weeks!$A$85:$X$121,15,FALSE)-VLOOKUP(B355,[4]Weeks!$A$125:$X$161,15,FALSE)</f>
        <v>0</v>
      </c>
      <c r="L355" s="202">
        <f>VLOOKUP(B355,[4]Weeks!$A$44:$X$81,15,FALSE)-VLOOKUP(B355,[4]Weeks!$A$85:$X$121,15,FALSE)</f>
        <v>0</v>
      </c>
      <c r="M355" s="202">
        <f>VLOOKUP(B355,[4]Weeks!$A$3:$X$39,15,FALSE)-VLOOKUP(B355,[4]Weeks!$A$44:$X$81,15,FALSE)</f>
        <v>0</v>
      </c>
      <c r="N355" s="11">
        <f>IF(C355="*","*",IF(C355&gt;0,M355/C355*100,"-"))</f>
        <v>0</v>
      </c>
      <c r="O355" s="202">
        <f>IF(C355="*","*",SUM(J355:M355)/4)</f>
        <v>0</v>
      </c>
      <c r="P355" s="41" t="str">
        <f>IF(ISNUMBER(VLOOKUP(B355,[4]CLOSURES!B:BI,14,FALSE)),TEXT(VLOOKUP(B355,[4]CLOSURES!B:BI,14,FALSE),"ddmmm"),IF(F355&lt;=0,0,IF(I355&lt;=0,0,IF(AND(F355&gt;0,O355&lt;=0),"&gt;52",IF(I355/O355&gt;52,"&gt;52", MAX(0,I355/O355-2))))))</f>
        <v>&gt;52</v>
      </c>
      <c r="R355" s="153"/>
    </row>
    <row r="356" spans="2:18" s="158" customFormat="1" ht="10.75" customHeight="1" x14ac:dyDescent="0.3">
      <c r="B356" s="40" t="s">
        <v>152</v>
      </c>
      <c r="C356" s="130">
        <f>'[5]Maj Pel Combined'!$J$8</f>
        <v>0.6</v>
      </c>
      <c r="D356" s="200">
        <f>F356-VLOOKUP(B356,[4]quotas!$B$85:$W$120,14,FALSE)</f>
        <v>0</v>
      </c>
      <c r="E356" s="200">
        <f>F356-C356</f>
        <v>-0.5</v>
      </c>
      <c r="F356" s="201">
        <f>VLOOKUP(B356,[4]quotas!$B$46:$W$84,14,FALSE)</f>
        <v>9.9999999999999978E-2</v>
      </c>
      <c r="G356" s="202">
        <f>VLOOKUP(B356,[4]Cumulative!$A$56:$X$91,15,FALSE)</f>
        <v>0.61229999282211089</v>
      </c>
      <c r="H356" s="151">
        <f>IF(AND(F356=0,G356&gt;0),"n/a",IF(F356=0,0,100*G356/F356))</f>
        <v>612.29999282211099</v>
      </c>
      <c r="I356" s="201">
        <f>IF(F356="*","*",F356-G356)</f>
        <v>-0.51229999282211092</v>
      </c>
      <c r="J356" s="202">
        <f>VLOOKUP(B356,[4]Weeks!$A$125:$X$161,15,FALSE)-VLOOKUP(B356,[4]Weeks!$A$165:$X$200,15,FALSE)</f>
        <v>3.409999847412104E-2</v>
      </c>
      <c r="K356" s="202">
        <f>VLOOKUP(B356,[4]Weeks!$A$85:$X$121,15,FALSE)-VLOOKUP(B356,[4]Weeks!$A$125:$X$161,15,FALSE)</f>
        <v>3.0000001192087566E-4</v>
      </c>
      <c r="L356" s="202">
        <f>VLOOKUP(B356,[4]Weeks!$A$44:$X$81,15,FALSE)-VLOOKUP(B356,[4]Weeks!$A$85:$X$121,15,FALSE)</f>
        <v>0</v>
      </c>
      <c r="M356" s="202">
        <f>VLOOKUP(B356,[4]Weeks!$A$3:$X$39,15,FALSE)-VLOOKUP(B356,[4]Weeks!$A$44:$X$81,15,FALSE)</f>
        <v>1.0775408901274375E-2</v>
      </c>
      <c r="N356" s="11">
        <f>IF(C356="*","*",IF(C356&gt;0,M356/C356*100,"-"))</f>
        <v>1.7959014835457292</v>
      </c>
      <c r="O356" s="202">
        <f>IF(C356="*","*",SUM(J356:M356)/4)</f>
        <v>1.1293851846829073E-2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f>'[5]Maj Pel Combined'!$J$9</f>
        <v>4.5</v>
      </c>
      <c r="D357" s="200">
        <f>F357-VLOOKUP(B357,[4]quotas!$B$85:$W$120,14,FALSE)</f>
        <v>0</v>
      </c>
      <c r="E357" s="200">
        <f t="shared" si="68"/>
        <v>0</v>
      </c>
      <c r="F357" s="201">
        <f>VLOOKUP(B357,[4]quotas!$B$46:$W$84,14,FALSE)</f>
        <v>4.5</v>
      </c>
      <c r="G357" s="202">
        <f>VLOOKUP(B357,[4]Cumulative!$A$56:$X$91,15,FALSE)</f>
        <v>0</v>
      </c>
      <c r="H357" s="151">
        <f t="shared" si="71"/>
        <v>0</v>
      </c>
      <c r="I357" s="201">
        <f t="shared" si="72"/>
        <v>4.5</v>
      </c>
      <c r="J357" s="202">
        <f>VLOOKUP(B357,[4]Weeks!$A$125:$X$161,15,FALSE)-VLOOKUP(B357,[4]Weeks!$A$165:$X$200,15,FALSE)</f>
        <v>0</v>
      </c>
      <c r="K357" s="202">
        <f>VLOOKUP(B357,[4]Weeks!$A$85:$X$121,15,FALSE)-VLOOKUP(B357,[4]Weeks!$A$125:$X$161,15,FALSE)</f>
        <v>0</v>
      </c>
      <c r="L357" s="202">
        <f>VLOOKUP(B357,[4]Weeks!$A$44:$X$81,15,FALSE)-VLOOKUP(B357,[4]Weeks!$A$85:$X$121,15,FALSE)</f>
        <v>0</v>
      </c>
      <c r="M357" s="202">
        <f>VLOOKUP(B357,[4]Weeks!$A$3:$X$39,15,FALSE)-VLOOKUP(B357,[4]Weeks!$A$44:$X$81,15,FALSE)</f>
        <v>0</v>
      </c>
      <c r="N357" s="11">
        <f t="shared" si="74"/>
        <v>0</v>
      </c>
      <c r="O357" s="202">
        <f t="shared" si="75"/>
        <v>0</v>
      </c>
      <c r="P357" s="41" t="str">
        <f>IF(ISNUMBER(VLOOKUP(B357,[4]CLOSURES!B:BI,14,FALSE)),TEXT(VLOOKUP(B357,[4]CLOSURES!B:BI,14,FALSE),"ddmmm"),IF(F357&lt;=0,0,IF(I357&lt;=0,0,IF(AND(F357&gt;0,O357&lt;=0),"&gt;52",IF(I357/O357&gt;52,"&gt;52", MAX(0,I357/O357-2))))))</f>
        <v>&gt;52</v>
      </c>
      <c r="R357" s="153"/>
    </row>
    <row r="358" spans="2:18" s="158" customFormat="1" ht="10.75" customHeight="1" x14ac:dyDescent="0.3">
      <c r="B358" s="40" t="s">
        <v>77</v>
      </c>
      <c r="C358" s="130">
        <f>'[5]Maj Pel Combined'!$J$27</f>
        <v>193.60400000000001</v>
      </c>
      <c r="D358" s="200">
        <f>F358-VLOOKUP(B358,[4]quotas!$B$85:$W$120,14,FALSE)</f>
        <v>0</v>
      </c>
      <c r="E358" s="200">
        <f t="shared" si="68"/>
        <v>-190</v>
      </c>
      <c r="F358" s="201">
        <f>VLOOKUP(B358,[4]quotas!$B$46:$W$84,14,FALSE)</f>
        <v>3.6040000000000134</v>
      </c>
      <c r="G358" s="202">
        <f>VLOOKUP(B358,[4]Cumulative!$A$56:$X$91,15,FALSE)</f>
        <v>0.76500000000000001</v>
      </c>
      <c r="H358" s="151">
        <f t="shared" si="71"/>
        <v>21.226415094339544</v>
      </c>
      <c r="I358" s="201">
        <f t="shared" si="72"/>
        <v>2.8390000000000133</v>
      </c>
      <c r="J358" s="202">
        <f>VLOOKUP(B358,[4]Weeks!$A$125:$X$161,15,FALSE)-VLOOKUP(B358,[4]Weeks!$A$165:$X$200,15,FALSE)</f>
        <v>0</v>
      </c>
      <c r="K358" s="202">
        <f>VLOOKUP(B358,[4]Weeks!$A$85:$X$121,15,FALSE)-VLOOKUP(B358,[4]Weeks!$A$125:$X$161,15,FALSE)</f>
        <v>0</v>
      </c>
      <c r="L358" s="202">
        <f>VLOOKUP(B358,[4]Weeks!$A$44:$X$81,15,FALSE)-VLOOKUP(B358,[4]Weeks!$A$85:$X$121,15,FALSE)</f>
        <v>0</v>
      </c>
      <c r="M358" s="202">
        <f>VLOOKUP(B358,[4]Weeks!$A$3:$X$39,15,FALSE)-VLOOKUP(B358,[4]Weeks!$A$44:$X$81,15,FALSE)</f>
        <v>0</v>
      </c>
      <c r="N358" s="11">
        <f t="shared" si="74"/>
        <v>0</v>
      </c>
      <c r="O358" s="202">
        <f t="shared" si="75"/>
        <v>0</v>
      </c>
      <c r="P358" s="41" t="str">
        <f>IF(ISNUMBER(VLOOKUP(B358,[4]CLOSURES!B:BI,14,FALSE)),TEXT(VLOOKUP(B358,[4]CLOSURES!B:BI,14,FALSE),"ddmmm"),IF(F358&lt;=0,0,IF(I358&lt;=0,0,IF(AND(F358&gt;0,O358&lt;=0),"&gt;52",IF(I358/O358&gt;52,"&gt;52", MAX(0,I358/O358-2))))))</f>
        <v>&gt;52</v>
      </c>
      <c r="R358" s="153"/>
    </row>
    <row r="359" spans="2:18" s="158" customFormat="1" ht="10.75" customHeight="1" x14ac:dyDescent="0.3">
      <c r="B359" s="40" t="s">
        <v>78</v>
      </c>
      <c r="C359" s="130">
        <f>'[5]Maj Pel Combined'!$J$26</f>
        <v>1247.067</v>
      </c>
      <c r="D359" s="200">
        <f>F359-VLOOKUP(B359,[4]quotas!$B$85:$W$120,14,FALSE)</f>
        <v>0</v>
      </c>
      <c r="E359" s="200">
        <f t="shared" si="68"/>
        <v>0</v>
      </c>
      <c r="F359" s="201">
        <f>VLOOKUP(B359,[4]quotas!$B$46:$W$84,14,FALSE)</f>
        <v>1247.067</v>
      </c>
      <c r="G359" s="202">
        <f>VLOOKUP(B359,[4]Cumulative!$A$56:$X$91,15,FALSE)</f>
        <v>811.18099218750001</v>
      </c>
      <c r="H359" s="151">
        <f t="shared" si="71"/>
        <v>65.047105904293829</v>
      </c>
      <c r="I359" s="201">
        <f t="shared" si="72"/>
        <v>435.8860078125</v>
      </c>
      <c r="J359" s="202">
        <f>VLOOKUP(B359,[4]Weeks!$A$125:$X$161,15,FALSE)-VLOOKUP(B359,[4]Weeks!$A$165:$X$200,15,FALSE)</f>
        <v>0</v>
      </c>
      <c r="K359" s="202">
        <f>VLOOKUP(B359,[4]Weeks!$A$85:$X$121,15,FALSE)-VLOOKUP(B359,[4]Weeks!$A$125:$X$161,15,FALSE)</f>
        <v>0</v>
      </c>
      <c r="L359" s="202">
        <f>VLOOKUP(B359,[4]Weeks!$A$44:$X$81,15,FALSE)-VLOOKUP(B359,[4]Weeks!$A$85:$X$121,15,FALSE)</f>
        <v>0</v>
      </c>
      <c r="M359" s="202">
        <f>VLOOKUP(B359,[4]Weeks!$A$3:$X$39,15,FALSE)-VLOOKUP(B359,[4]Weeks!$A$44:$X$81,15,FALSE)</f>
        <v>0</v>
      </c>
      <c r="N359" s="11">
        <f t="shared" si="74"/>
        <v>0</v>
      </c>
      <c r="O359" s="202">
        <f t="shared" si="75"/>
        <v>0</v>
      </c>
      <c r="P359" s="41" t="str">
        <f>IF(ISNUMBER(VLOOKUP(B359,[4]CLOSURES!B:BI,14,FALSE)),TEXT(VLOOKUP(B359,[4]CLOSURES!B:BI,14,FALSE),"ddmmm"),IF(F359&lt;=0,0,IF(I359&lt;=0,0,IF(AND(F359&gt;0,O359&lt;=0),"&gt;52",IF(I359/O359&gt;52,"&gt;52", MAX(0,I359/O359-2))))))</f>
        <v>&gt;52</v>
      </c>
      <c r="R359" s="153"/>
    </row>
    <row r="360" spans="2:18" s="158" customFormat="1" ht="10.75" customHeight="1" x14ac:dyDescent="0.3">
      <c r="B360" s="40" t="s">
        <v>79</v>
      </c>
      <c r="C360" s="130">
        <f>'[5]Maj Pel Combined'!$J$6</f>
        <v>7.1970000000000001</v>
      </c>
      <c r="D360" s="200">
        <f>F360-VLOOKUP(B360,[4]quotas!$B$85:$W$120,14,FALSE)</f>
        <v>0</v>
      </c>
      <c r="E360" s="200">
        <f t="shared" si="68"/>
        <v>0</v>
      </c>
      <c r="F360" s="201">
        <f>VLOOKUP(B360,[4]quotas!$B$46:$W$84,14,FALSE)</f>
        <v>7.1970000000000001</v>
      </c>
      <c r="G360" s="202">
        <f>VLOOKUP(B360,[4]Cumulative!$A$56:$X$91,15,FALSE)</f>
        <v>6.4468315601572401</v>
      </c>
      <c r="H360" s="151">
        <f t="shared" si="71"/>
        <v>89.576650828918162</v>
      </c>
      <c r="I360" s="201">
        <f t="shared" si="72"/>
        <v>0.75016843984275994</v>
      </c>
      <c r="J360" s="202">
        <f>VLOOKUP(B360,[4]Weeks!$A$125:$X$161,15,FALSE)-VLOOKUP(B360,[4]Weeks!$A$165:$X$200,15,FALSE)</f>
        <v>9.3000004291532434E-3</v>
      </c>
      <c r="K360" s="202">
        <f>VLOOKUP(B360,[4]Weeks!$A$85:$X$121,15,FALSE)-VLOOKUP(B360,[4]Weeks!$A$125:$X$161,15,FALSE)</f>
        <v>6.1599998474121342E-2</v>
      </c>
      <c r="L360" s="202">
        <f>VLOOKUP(B360,[4]Weeks!$A$44:$X$81,15,FALSE)-VLOOKUP(B360,[4]Weeks!$A$85:$X$121,15,FALSE)</f>
        <v>0.16923157288134139</v>
      </c>
      <c r="M360" s="202">
        <f>VLOOKUP(B360,[4]Weeks!$A$3:$X$39,15,FALSE)-VLOOKUP(B360,[4]Weeks!$A$44:$X$81,15,FALSE)</f>
        <v>0.14018560262024238</v>
      </c>
      <c r="N360" s="11">
        <f t="shared" si="74"/>
        <v>1.9478338560545001</v>
      </c>
      <c r="O360" s="202">
        <f t="shared" si="75"/>
        <v>9.5079293601214587E-2</v>
      </c>
      <c r="P360" s="41">
        <f>IF(ISNUMBER(VLOOKUP(B360,[4]CLOSURES!B:BI,14,FALSE)),TEXT(VLOOKUP(B360,[4]CLOSURES!B:BI,14,FALSE),"ddmmm"),IF(F360&lt;=0,0,IF(I360&lt;=0,0,IF(AND(F360&gt;0,O360&lt;=0),"&gt;52",IF(I360/O360&gt;52,"&gt;52", MAX(0,I360/O360-2))))))</f>
        <v>5.8899244139228326</v>
      </c>
      <c r="R360" s="153"/>
    </row>
    <row r="361" spans="2:18" s="158" customFormat="1" ht="10.75" customHeight="1" x14ac:dyDescent="0.3">
      <c r="B361" s="40" t="s">
        <v>80</v>
      </c>
      <c r="C361" s="130">
        <f>'[5]Maj Pel Combined'!$J$14</f>
        <v>4.5019999999999998</v>
      </c>
      <c r="D361" s="200">
        <f>F361-VLOOKUP(B361,[4]quotas!$B$85:$W$120,14,FALSE)</f>
        <v>0</v>
      </c>
      <c r="E361" s="200">
        <f t="shared" si="68"/>
        <v>0</v>
      </c>
      <c r="F361" s="201">
        <f>VLOOKUP(B361,[4]quotas!$B$46:$W$84,14,FALSE)</f>
        <v>4.5019999999999998</v>
      </c>
      <c r="G361" s="202">
        <f>VLOOKUP(B361,[4]Cumulative!$A$56:$X$91,15,FALSE)</f>
        <v>0.22429999909538303</v>
      </c>
      <c r="H361" s="151">
        <f t="shared" si="71"/>
        <v>4.9822300998530213</v>
      </c>
      <c r="I361" s="201">
        <f t="shared" si="72"/>
        <v>4.2777000009046171</v>
      </c>
      <c r="J361" s="202">
        <f>VLOOKUP(B361,[4]Weeks!$A$125:$X$161,15,FALSE)-VLOOKUP(B361,[4]Weeks!$A$165:$X$200,15,FALSE)</f>
        <v>0</v>
      </c>
      <c r="K361" s="202">
        <f>VLOOKUP(B361,[4]Weeks!$A$85:$X$121,15,FALSE)-VLOOKUP(B361,[4]Weeks!$A$125:$X$161,15,FALSE)</f>
        <v>2.5000000596046568E-3</v>
      </c>
      <c r="L361" s="202">
        <f>VLOOKUP(B361,[4]Weeks!$A$44:$X$81,15,FALSE)-VLOOKUP(B361,[4]Weeks!$A$85:$X$121,15,FALSE)</f>
        <v>0</v>
      </c>
      <c r="M361" s="202">
        <f>VLOOKUP(B361,[4]Weeks!$A$3:$X$39,15,FALSE)-VLOOKUP(B361,[4]Weeks!$A$44:$X$81,15,FALSE)</f>
        <v>1.0000000137372345E-4</v>
      </c>
      <c r="N361" s="11">
        <f t="shared" si="74"/>
        <v>2.2212350371773313E-3</v>
      </c>
      <c r="O361" s="202">
        <f t="shared" si="75"/>
        <v>6.5000001524459505E-4</v>
      </c>
      <c r="P361" s="41" t="str">
        <f>IF(ISNUMBER(VLOOKUP(B361,[4]CLOSURES!B:BI,14,FALSE)),TEXT(VLOOKUP(B361,[4]CLOSURES!B:BI,14,FALSE),"ddmmm"),IF(F361&lt;=0,0,IF(I361&lt;=0,0,IF(AND(F361&gt;0,O361&lt;=0),"&gt;52",IF(I361/O361&gt;52,"&gt;52", MAX(0,I361/O361-2))))))</f>
        <v>&gt;52</v>
      </c>
      <c r="R361" s="153"/>
    </row>
    <row r="362" spans="2:18" s="158" customFormat="1" ht="10.75" customHeight="1" x14ac:dyDescent="0.3">
      <c r="B362" s="40" t="s">
        <v>81</v>
      </c>
      <c r="C362" s="130">
        <f>'[5]Maj Pel Combined'!$J$13</f>
        <v>0</v>
      </c>
      <c r="D362" s="200">
        <f>F362-VLOOKUP(B362,[4]quotas!$B$85:$W$120,14,FALSE)</f>
        <v>0</v>
      </c>
      <c r="E362" s="200">
        <f t="shared" si="68"/>
        <v>0</v>
      </c>
      <c r="F362" s="201">
        <f>VLOOKUP(B362,[4]quotas!$B$46:$W$84,14,FALSE)</f>
        <v>0</v>
      </c>
      <c r="G362" s="202">
        <f>VLOOKUP(B362,[4]Cumulative!$A$56:$X$91,15,FALSE)</f>
        <v>0</v>
      </c>
      <c r="H362" s="151">
        <f t="shared" si="71"/>
        <v>0</v>
      </c>
      <c r="I362" s="201">
        <f t="shared" si="72"/>
        <v>0</v>
      </c>
      <c r="J362" s="202">
        <f>VLOOKUP(B362,[4]Weeks!$A$125:$X$161,15,FALSE)-VLOOKUP(B362,[4]Weeks!$A$165:$X$200,15,FALSE)</f>
        <v>0</v>
      </c>
      <c r="K362" s="202">
        <f>VLOOKUP(B362,[4]Weeks!$A$85:$X$121,15,FALSE)-VLOOKUP(B362,[4]Weeks!$A$125:$X$161,15,FALSE)</f>
        <v>0</v>
      </c>
      <c r="L362" s="202">
        <f>VLOOKUP(B362,[4]Weeks!$A$44:$X$81,15,FALSE)-VLOOKUP(B362,[4]Weeks!$A$85:$X$121,15,FALSE)</f>
        <v>0</v>
      </c>
      <c r="M362" s="202">
        <f>VLOOKUP(B362,[4]Weeks!$A$3:$X$39,15,FALSE)-VLOOKUP(B362,[4]Weeks!$A$44:$X$81,15,FALSE)</f>
        <v>0</v>
      </c>
      <c r="N362" s="11" t="str">
        <f t="shared" si="74"/>
        <v>-</v>
      </c>
      <c r="O362" s="202">
        <f t="shared" si="75"/>
        <v>0</v>
      </c>
      <c r="P362" s="41">
        <f>IF(ISNUMBER(VLOOKUP(B362,[4]CLOSURES!B:BI,14,FALSE)),TEXT(VLOOKUP(B362,[4]CLOSURES!B:BI,14,FALSE),"ddmmm"),IF(F362&lt;=0,0,IF(I362&lt;=0,0,IF(AND(F362&gt;0,O362&lt;=0),"&gt;52",IF(I362/O362&gt;52,"&gt;52", MAX(0,I362/O362-2))))))</f>
        <v>0</v>
      </c>
      <c r="R362" s="153"/>
    </row>
    <row r="363" spans="2:18" s="158" customFormat="1" ht="10.75" customHeight="1" x14ac:dyDescent="0.3">
      <c r="B363" s="152" t="s">
        <v>82</v>
      </c>
      <c r="C363" s="130">
        <f>'[5]Maj Pel Combined'!$J$11</f>
        <v>1.042</v>
      </c>
      <c r="D363" s="200">
        <f>F363-VLOOKUP(B363,[4]quotas!$B$85:$W$120,14,FALSE)</f>
        <v>0</v>
      </c>
      <c r="E363" s="200">
        <f>F363-C363</f>
        <v>2.5</v>
      </c>
      <c r="F363" s="201">
        <f>VLOOKUP(B363,[4]quotas!$B$46:$W$84,14,FALSE)</f>
        <v>3.5419999999999998</v>
      </c>
      <c r="G363" s="202">
        <f>VLOOKUP(B363,[4]Cumulative!$A$56:$X$91,15,FALSE)</f>
        <v>1.419</v>
      </c>
      <c r="H363" s="151">
        <f>IF(AND(F363=0,G363&gt;0),"n/a",IF(F363=0,0,100*G363/F363))</f>
        <v>40.062111801242239</v>
      </c>
      <c r="I363" s="201">
        <f>IF(F363="*","*",F363-G363)</f>
        <v>2.1229999999999998</v>
      </c>
      <c r="J363" s="202">
        <f>VLOOKUP(B363,[4]Weeks!$A$125:$X$161,15,FALSE)-VLOOKUP(B363,[4]Weeks!$A$165:$X$200,15,FALSE)</f>
        <v>0</v>
      </c>
      <c r="K363" s="202">
        <f>VLOOKUP(B363,[4]Weeks!$A$85:$X$121,15,FALSE)-VLOOKUP(B363,[4]Weeks!$A$125:$X$161,15,FALSE)</f>
        <v>0</v>
      </c>
      <c r="L363" s="202">
        <f>VLOOKUP(B363,[4]Weeks!$A$44:$X$81,15,FALSE)-VLOOKUP(B363,[4]Weeks!$A$85:$X$121,15,FALSE)</f>
        <v>0</v>
      </c>
      <c r="M363" s="202">
        <f>VLOOKUP(B363,[4]Weeks!$A$3:$X$39,15,FALSE)-VLOOKUP(B363,[4]Weeks!$A$44:$X$81,15,FALSE)</f>
        <v>0</v>
      </c>
      <c r="N363" s="11">
        <f>IF(C363="*","*",IF(C363&gt;0,M363/C363*100,"-"))</f>
        <v>0</v>
      </c>
      <c r="O363" s="202">
        <f>IF(C363="*","*",SUM(J363:M363)/4)</f>
        <v>0</v>
      </c>
      <c r="P363" s="41" t="str">
        <f>IF(ISNUMBER(VLOOKUP(B363,[4]CLOSURES!B:BI,14,FALSE)),TEXT(VLOOKUP(B363,[4]CLOSURES!B:BI,14,FALSE),"ddmmm"),IF(F363&lt;=0,0,IF(I363&lt;=0,0,IF(AND(F363&gt;0,O363&lt;=0),"&gt;52",IF(I363/O363&gt;52,"&gt;52", MAX(0,I363/O363-2))))))</f>
        <v>&gt;52</v>
      </c>
      <c r="R363" s="153"/>
    </row>
    <row r="364" spans="2:18" s="158" customFormat="1" ht="10.75" customHeight="1" x14ac:dyDescent="0.3">
      <c r="B364" s="152" t="s">
        <v>83</v>
      </c>
      <c r="C364" s="130">
        <f>'[5]Maj Pel Combined'!$J$15</f>
        <v>3.3</v>
      </c>
      <c r="D364" s="200">
        <f>F364-VLOOKUP(B364,[4]quotas!$B$85:$W$120,14,FALSE)</f>
        <v>0</v>
      </c>
      <c r="E364" s="200">
        <f>F364-C364</f>
        <v>0</v>
      </c>
      <c r="F364" s="201">
        <f>VLOOKUP(B364,[4]quotas!$B$46:$W$84,14,FALSE)</f>
        <v>3.3</v>
      </c>
      <c r="G364" s="202">
        <f>VLOOKUP(B364,[4]Cumulative!$A$56:$X$91,15,FALSE)</f>
        <v>0</v>
      </c>
      <c r="H364" s="151">
        <f>IF(AND(F364=0,G364&gt;0),"n/a",IF(F364=0,0,100*G364/F364))</f>
        <v>0</v>
      </c>
      <c r="I364" s="201">
        <f>IF(F364="*","*",F364-G364)</f>
        <v>3.3</v>
      </c>
      <c r="J364" s="202">
        <f>VLOOKUP(B364,[4]Weeks!$A$125:$X$161,15,FALSE)-VLOOKUP(B364,[4]Weeks!$A$165:$X$200,15,FALSE)</f>
        <v>0</v>
      </c>
      <c r="K364" s="202">
        <f>VLOOKUP(B364,[4]Weeks!$A$85:$X$121,15,FALSE)-VLOOKUP(B364,[4]Weeks!$A$125:$X$161,15,FALSE)</f>
        <v>0</v>
      </c>
      <c r="L364" s="202">
        <f>VLOOKUP(B364,[4]Weeks!$A$44:$X$81,15,FALSE)-VLOOKUP(B364,[4]Weeks!$A$85:$X$121,15,FALSE)</f>
        <v>0</v>
      </c>
      <c r="M364" s="202">
        <f>VLOOKUP(B364,[4]Weeks!$A$3:$X$39,15,FALSE)-VLOOKUP(B364,[4]Weeks!$A$44:$X$81,15,FALSE)</f>
        <v>0</v>
      </c>
      <c r="N364" s="11">
        <f>IF(C364="*","*",IF(C364&gt;0,M364/C364*100,"-"))</f>
        <v>0</v>
      </c>
      <c r="O364" s="202">
        <f t="shared" si="75"/>
        <v>0</v>
      </c>
      <c r="P364" s="41" t="str">
        <f>IF(ISNUMBER(VLOOKUP(B364,[4]CLOSURES!B:BI,14,FALSE)),TEXT(VLOOKUP(B364,[4]CLOSURES!B:BI,14,FALSE),"ddmmm"),IF(F364&lt;=0,0,IF(I364&lt;=0,0,IF(AND(F364&gt;0,O364&lt;=0),"&gt;52",IF(I364/O364&gt;52,"&gt;52", MAX(0,I364/O364-2))))))</f>
        <v>&gt;52</v>
      </c>
      <c r="R364" s="153"/>
    </row>
    <row r="365" spans="2:18" s="158" customFormat="1" ht="10.75" customHeight="1" x14ac:dyDescent="0.3">
      <c r="B365" s="172" t="s">
        <v>84</v>
      </c>
      <c r="C365" s="130">
        <f>'[5]Maj Pel Combined'!$J$10</f>
        <v>938.01599999999996</v>
      </c>
      <c r="D365" s="200">
        <f>F365-VLOOKUP(B365,[4]quotas!$B$85:$W$120,14,FALSE)</f>
        <v>0</v>
      </c>
      <c r="E365" s="200">
        <f t="shared" si="68"/>
        <v>-898</v>
      </c>
      <c r="F365" s="201">
        <f>VLOOKUP(B365,[4]quotas!$B$46:$W$84,14,FALSE)</f>
        <v>40.015999999999963</v>
      </c>
      <c r="G365" s="202">
        <f>VLOOKUP(B365,[4]Cumulative!$A$56:$X$91,15,FALSE)+'[4]Horse Mackerel Flexibility'!B29</f>
        <v>4.8337999990582459</v>
      </c>
      <c r="H365" s="151">
        <f t="shared" si="71"/>
        <v>12.079668130393468</v>
      </c>
      <c r="I365" s="201">
        <f>IF(F365="*","*",F365-G365)</f>
        <v>35.18220000094172</v>
      </c>
      <c r="J365" s="202">
        <f>VLOOKUP(B365,[4]Weeks!$A$125:$X$161,15,FALSE)-VLOOKUP(B365,[4]Weeks!$A$165:$X$200,15,FALSE)</f>
        <v>0</v>
      </c>
      <c r="K365" s="202">
        <f>VLOOKUP(B365,[4]Weeks!$A$85:$X$121,15,FALSE)-VLOOKUP(B365,[4]Weeks!$A$125:$X$161,15,FALSE)</f>
        <v>0</v>
      </c>
      <c r="L365" s="202">
        <f>VLOOKUP(B365,[4]Weeks!$A$44:$X$81,15,FALSE)-VLOOKUP(B365,[4]Weeks!$A$85:$X$121,15,FALSE)</f>
        <v>8.0000001192104264E-4</v>
      </c>
      <c r="M365" s="202">
        <f>VLOOKUP(B365,[4]Weeks!$A$3:$X$39,15,FALSE)-VLOOKUP(B365,[4]Weeks!$A$44:$X$81,15,FALSE)</f>
        <v>1.019999980926567E-2</v>
      </c>
      <c r="N365" s="11">
        <f t="shared" si="74"/>
        <v>1.0874014738837792E-3</v>
      </c>
      <c r="O365" s="202">
        <f t="shared" si="75"/>
        <v>2.7499999552966781E-3</v>
      </c>
      <c r="P365" s="41" t="str">
        <f>IF(ISNUMBER(VLOOKUP(B365,[4]CLOSURES!B:BI,14,FALSE)),TEXT(VLOOKUP(B365,[4]CLOSURES!B:BI,14,FALSE),"ddmmm"),IF(F365&lt;=0,0,IF(I365&lt;=0,0,IF(AND(F365&gt;0,O365&lt;=0),"&gt;52",IF(I365/O365&gt;52,"&gt;52", MAX(0,I365/O365-2))))))</f>
        <v>&gt;52</v>
      </c>
      <c r="R365" s="153"/>
    </row>
    <row r="366" spans="2:18" s="158" customFormat="1" ht="10.75" customHeight="1" x14ac:dyDescent="0.3">
      <c r="B366" s="40" t="s">
        <v>85</v>
      </c>
      <c r="C366" s="130">
        <f>'[5]Maj Pel Combined'!$J$12</f>
        <v>2156.9879999999998</v>
      </c>
      <c r="D366" s="200">
        <f>F366-VLOOKUP(B366,[4]quotas!$B$85:$W$120,14,FALSE)</f>
        <v>0</v>
      </c>
      <c r="E366" s="200">
        <f>F366-C366</f>
        <v>818.79999999999973</v>
      </c>
      <c r="F366" s="201">
        <f>VLOOKUP(B366,[4]quotas!$B$46:$W$84,14,FALSE)</f>
        <v>2975.7879999999996</v>
      </c>
      <c r="G366" s="202">
        <f>VLOOKUP(B366,[4]Cumulative!$A$56:$X$91,15,FALSE)</f>
        <v>1642.888757686854</v>
      </c>
      <c r="H366" s="151">
        <f t="shared" si="71"/>
        <v>55.208528217966276</v>
      </c>
      <c r="I366" s="201">
        <f>IF(F366="*","*",F366-G366)</f>
        <v>1332.8992423131456</v>
      </c>
      <c r="J366" s="202">
        <f>VLOOKUP(B366,[4]Weeks!$A$125:$X$161,15,FALSE)-VLOOKUP(B366,[4]Weeks!$A$165:$X$200,15,FALSE)</f>
        <v>0</v>
      </c>
      <c r="K366" s="202">
        <f>VLOOKUP(B366,[4]Weeks!$A$85:$X$121,15,FALSE)-VLOOKUP(B366,[4]Weeks!$A$125:$X$161,15,FALSE)</f>
        <v>0</v>
      </c>
      <c r="L366" s="202">
        <f>VLOOKUP(B366,[4]Weeks!$A$44:$X$81,15,FALSE)-VLOOKUP(B366,[4]Weeks!$A$85:$X$121,15,FALSE)</f>
        <v>349.53200000000027</v>
      </c>
      <c r="M366" s="202">
        <f>VLOOKUP(B366,[4]Weeks!$A$3:$X$39,15,FALSE)-VLOOKUP(B366,[4]Weeks!$A$44:$X$81,15,FALSE)</f>
        <v>375.01300097656258</v>
      </c>
      <c r="N366" s="11">
        <f>IF(C366="*","*",IF(C366&gt;0,M366/C366*100,"-"))</f>
        <v>17.385956758988115</v>
      </c>
      <c r="O366" s="202">
        <f>IF(C366="*","*",SUM(J366:M366)/4)</f>
        <v>181.13625024414071</v>
      </c>
      <c r="P366" s="41">
        <f>IF(ISNUMBER(VLOOKUP(B366,[4]CLOSURES!B:BI,14,FALSE)),TEXT(VLOOKUP(B366,[4]CLOSURES!B:BI,14,FALSE),"ddmmm"),IF(F366&lt;=0,0,IF(I366&lt;=0,0,IF(AND(F366&gt;0,O366&lt;=0),"&gt;52",IF(I366/O366&gt;52,"&gt;52", MAX(0,I366/O366-2))))))</f>
        <v>5.3585449655528654</v>
      </c>
      <c r="R366" s="153"/>
    </row>
    <row r="367" spans="2:18" s="158" customFormat="1" ht="10.75" customHeight="1" x14ac:dyDescent="0.3">
      <c r="B367" s="162" t="s">
        <v>86</v>
      </c>
      <c r="C367" s="130">
        <f>SUM(C342:C351)+SUM(C354:C366)</f>
        <v>5407.2679999999991</v>
      </c>
      <c r="D367" s="202">
        <f>SUM(D342:D351)+SUM(D354:D366)</f>
        <v>0</v>
      </c>
      <c r="E367" s="200">
        <f t="shared" si="68"/>
        <v>-526.40000000000055</v>
      </c>
      <c r="F367" s="201">
        <f>SUM(F342:F351)+SUM(F354:F366)</f>
        <v>4880.8679999999986</v>
      </c>
      <c r="G367" s="202">
        <f>SUM(G342:G351)+SUM(G354:G366)</f>
        <v>3022.9109814254871</v>
      </c>
      <c r="H367" s="151">
        <f t="shared" si="71"/>
        <v>61.933881052007301</v>
      </c>
      <c r="I367" s="201">
        <f>IF(F367="*","*",F367-G367)</f>
        <v>1857.9570185745115</v>
      </c>
      <c r="J367" s="202">
        <f>SUM(J342:J351)+SUM(J354:J366)</f>
        <v>4.3399998903274284E-2</v>
      </c>
      <c r="K367" s="202">
        <f>SUM(K342:K351)+SUM(K354:K366)</f>
        <v>6.4399998545646875E-2</v>
      </c>
      <c r="L367" s="202">
        <f>SUM(L342:L351)+SUM(L354:L366)</f>
        <v>349.70203157289353</v>
      </c>
      <c r="M367" s="202">
        <f>SUM(M342:M351)+SUM(M354:M366)</f>
        <v>377.17426198789474</v>
      </c>
      <c r="N367" s="11">
        <f>IF(C367="*","*",IF(C367&gt;0,M367/C367*100,"-"))</f>
        <v>6.9753202909102114</v>
      </c>
      <c r="O367" s="202">
        <f>IF(C367="*","*",SUM(J367:M367)/4)</f>
        <v>181.7460233895593</v>
      </c>
      <c r="P367" s="41">
        <f>IF(ISNUMBER(VLOOKUP(B367,[4]CLOSURES!B:BI,14,FALSE)),TEXT(VLOOKUP(B367,[4]CLOSURES!B:BI,14,FALSE),"ddmmm"),IF(F367&lt;=0,0,IF(I367&lt;=0,0,IF(AND(F367&gt;0,O367&lt;=0),"&gt;52",IF(I367/O367&gt;52,"&gt;52", MAX(0,I367/O367-2))))))</f>
        <v>8.2228207469063381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f>'[4]Pel Non PO'!C175</f>
        <v>0.4</v>
      </c>
      <c r="D369" s="200">
        <f>'[4]Pel Non PO'!D175</f>
        <v>0</v>
      </c>
      <c r="E369" s="200">
        <f t="shared" si="68"/>
        <v>0</v>
      </c>
      <c r="F369" s="201">
        <f>'[4]Pel Non PO'!F175</f>
        <v>0.4</v>
      </c>
      <c r="G369" s="202">
        <f>'[4]Pel Non PO'!G175</f>
        <v>0</v>
      </c>
      <c r="H369" s="151">
        <f t="shared" si="71"/>
        <v>0</v>
      </c>
      <c r="I369" s="201">
        <f t="shared" si="72"/>
        <v>0.4</v>
      </c>
      <c r="J369" s="202">
        <f>'[4]Pel Non PO'!J175</f>
        <v>0</v>
      </c>
      <c r="K369" s="202">
        <f>'[4]Pel Non PO'!K175</f>
        <v>0</v>
      </c>
      <c r="L369" s="202">
        <f>'[4]Pel Non PO'!L175</f>
        <v>0</v>
      </c>
      <c r="M369" s="202">
        <f>'[4]Pel Non PO'!M175</f>
        <v>0</v>
      </c>
      <c r="N369" s="11">
        <f>IF(C369="*","*",IF(C369&gt;0,M369/C369*100,"-"))</f>
        <v>0</v>
      </c>
      <c r="O369" s="202">
        <f>IF(C369="*","*",SUM(J369:M369)/4)</f>
        <v>0</v>
      </c>
      <c r="P369" s="41" t="str">
        <f>IF(ISNUMBER(VLOOKUP(B369,[4]CLOSURES!B:BI,14,FALSE)),TEXT(VLOOKUP(B369,[4]CLOSURES!B:BI,14,FALSE),"ddmmm"),IF(F369&lt;=0,0,IF(I369&lt;=0,0,IF(AND(F369&gt;0,O369&lt;=0),"&gt;52",IF(I369/O369&gt;52,"&gt;52", MAX(0,I369/O369-2))))))</f>
        <v>&gt;52</v>
      </c>
      <c r="R369" s="153"/>
    </row>
    <row r="370" spans="2:18" s="158" customFormat="1" ht="10.75" customHeight="1" x14ac:dyDescent="0.3">
      <c r="B370" s="44" t="s">
        <v>88</v>
      </c>
      <c r="C370" s="130">
        <f>'[5]Maj Pel Combined'!$J$33</f>
        <v>0</v>
      </c>
      <c r="D370" s="200" t="s">
        <v>64</v>
      </c>
      <c r="E370" s="200" t="s">
        <v>64</v>
      </c>
      <c r="F370" s="201">
        <f>C370</f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f>IF(C370="*","*",SUM(J370:M370)/4)</f>
        <v>0</v>
      </c>
      <c r="P370" s="41">
        <f>IF(ISNUMBER(VLOOKUP(B370,[4]CLOSURES!B:BI,14,FALSE)),TEXT(VLOOKUP(B370,[4]CLOSURES!B:BI,14,FALSE),"ddmmm"),IF(F370&lt;=0,0,IF(I370&lt;=0,0,IF(AND(F370&gt;0,O370&lt;=0),"&gt;52",IF(I370/O370&gt;52,"&gt;52", MAX(0,I370/O370-2))))))</f>
        <v>0</v>
      </c>
      <c r="R370" s="153"/>
    </row>
    <row r="371" spans="2:18" s="158" customFormat="1" ht="10.75" customHeight="1" x14ac:dyDescent="0.3">
      <c r="B371" s="44" t="s">
        <v>89</v>
      </c>
      <c r="C371" s="130">
        <f>'[4]Pel Non PO'!C182</f>
        <v>7.0000000000000007E-2</v>
      </c>
      <c r="D371" s="200">
        <f>'[4]Pel Non PO'!D182</f>
        <v>0</v>
      </c>
      <c r="E371" s="200">
        <f t="shared" si="68"/>
        <v>22.200000000000003</v>
      </c>
      <c r="F371" s="201">
        <f>'[4]Pel Non PO'!F182</f>
        <v>22.270000000000003</v>
      </c>
      <c r="G371" s="202">
        <f>'[4]Pel Non PO'!G182</f>
        <v>2.7037700057700245</v>
      </c>
      <c r="H371" s="151">
        <f t="shared" si="71"/>
        <v>12.140862172294675</v>
      </c>
      <c r="I371" s="201">
        <f t="shared" si="72"/>
        <v>19.566229994229978</v>
      </c>
      <c r="J371" s="202">
        <f>'[4]Pel Non PO'!J182</f>
        <v>1.4199999988079082E-2</v>
      </c>
      <c r="K371" s="202">
        <f>'[4]Pel Non PO'!K182</f>
        <v>1.9869999647140091E-2</v>
      </c>
      <c r="L371" s="202">
        <f>'[4]Pel Non PO'!L182</f>
        <v>4.8200000166892298E-2</v>
      </c>
      <c r="M371" s="202">
        <f>'[4]Pel Non PO'!M182</f>
        <v>6.4600000016391323E-2</v>
      </c>
      <c r="N371" s="11">
        <f>IF(C371="*","*",IF(C371&gt;0,M371/C371*100,"-"))</f>
        <v>92.285714309130455</v>
      </c>
      <c r="O371" s="202">
        <f>IF(C371="*","*",SUM(J371:M371)/4)</f>
        <v>3.6717499954625699E-2</v>
      </c>
      <c r="P371" s="41" t="str">
        <f>IF(ISNUMBER(VLOOKUP(B371,[4]CLOSURES!B:BI,14,FALSE)),TEXT(VLOOKUP(B371,[4]CLOSURES!B:BI,14,FALSE),"ddmmm"),IF(F371&lt;=0,0,IF(I371&lt;=0,0,IF(AND(F371&gt;0,O371&lt;=0),"&gt;52",IF(I371/O371&gt;52,"&gt;52", MAX(0,I371/O371-2))))))</f>
        <v>&gt;52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f>'[5]Maj Pel Combined'!$J$41</f>
        <v>0</v>
      </c>
      <c r="D373" s="202"/>
      <c r="E373" s="200"/>
      <c r="F373" s="201">
        <f>E373</f>
        <v>0</v>
      </c>
      <c r="G373" s="202"/>
      <c r="H373" s="151"/>
      <c r="I373" s="201">
        <f>F373</f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f>C367+SUM(C369:C373)</f>
        <v>5407.7379999999994</v>
      </c>
      <c r="D374" s="131">
        <f>D367+SUM(D369:D373)</f>
        <v>0</v>
      </c>
      <c r="E374" s="131">
        <f>E367+SUM(E369:E373)</f>
        <v>-504.20000000000056</v>
      </c>
      <c r="F374" s="132">
        <f>F367+SUM(F369:F372)</f>
        <v>4903.5379999999986</v>
      </c>
      <c r="G374" s="131">
        <f>G367+SUM(G369:G373)</f>
        <v>3025.614751431257</v>
      </c>
      <c r="H374" s="156">
        <f t="shared" si="71"/>
        <v>61.702687965939241</v>
      </c>
      <c r="I374" s="132">
        <f t="shared" si="72"/>
        <v>1877.9232485687417</v>
      </c>
      <c r="J374" s="131">
        <f>VLOOKUP(B374,[4]Weeks!$A$125:$X$161,15,FALSE)-VLOOKUP(B374,[4]Weeks!$A$165:$X$200,15,FALSE)</f>
        <v>5.7599998891419091E-2</v>
      </c>
      <c r="K374" s="131">
        <f>VLOOKUP(B374,[4]Weeks!$A$85:$X$121,15,FALSE)-VLOOKUP(B374,[4]Weeks!$A$125:$X$161,15,FALSE)</f>
        <v>8.4269998192667117E-2</v>
      </c>
      <c r="L374" s="131">
        <f>VLOOKUP(B374,[4]Weeks!$A$44:$X$81,15,FALSE)-VLOOKUP(B374,[4]Weeks!$A$85:$X$121,15,FALSE)</f>
        <v>349.75023157306077</v>
      </c>
      <c r="M374" s="131">
        <f>M367+M369+M371</f>
        <v>377.23886198791115</v>
      </c>
      <c r="N374" s="53">
        <f>IF(C374="*","*",IF(C374&gt;0,M374/C374*100,"-"))</f>
        <v>6.975908632923991</v>
      </c>
      <c r="O374" s="131">
        <f>IF(C374="*","*",SUM(J374:M374)/4)</f>
        <v>181.782740889514</v>
      </c>
      <c r="P374" s="49">
        <f>IF(ISNUMBER(VLOOKUP(B374,[4]CLOSURES!B:BI,14,FALSE)),TEXT(VLOOKUP(B374,[4]CLOSURES!B:BI,14,FALSE),"ddmmm"),IF(F374&lt;=0,0,IF(I374&lt;=0,0,IF(AND(F374&gt;0,O374&lt;=0),"&gt;52",IF(I374/O374&gt;52,"&gt;52", MAX(0,I374/O374-2))))))</f>
        <v>8.3305915588000037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f>$J7</f>
        <v>44895</v>
      </c>
      <c r="K379" s="33">
        <f>$K7</f>
        <v>44902</v>
      </c>
      <c r="L379" s="33">
        <f>$L7</f>
        <v>44909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f>C658+C698+C738+C778+C818</f>
        <v>0</v>
      </c>
      <c r="D382" s="202">
        <f>D658+D698+D738+D778+D818</f>
        <v>0</v>
      </c>
      <c r="E382" s="202">
        <f>E658+E698+E738+E778+E818</f>
        <v>0</v>
      </c>
      <c r="F382" s="201">
        <f>F658+F698+F738+F778+F818</f>
        <v>0</v>
      </c>
      <c r="G382" s="202">
        <f>G658+G698+G738+G778+G818</f>
        <v>0</v>
      </c>
      <c r="H382" s="151">
        <f t="shared" ref="H382:H392" si="76">IF(AND(F382=0,G382&gt;0),"n/a",IF(F382=0,0,100*G382/F382))</f>
        <v>0</v>
      </c>
      <c r="I382" s="201">
        <f t="shared" ref="I382:I392" si="77">IF(F382="*","*",F382-G382)</f>
        <v>0</v>
      </c>
      <c r="J382" s="202">
        <f>J658+J698+J738+J778+J818</f>
        <v>0</v>
      </c>
      <c r="K382" s="202">
        <f>K658+K698+K738+K778+K818</f>
        <v>0</v>
      </c>
      <c r="L382" s="202">
        <f>L658+L698+L738+L778+L818</f>
        <v>0</v>
      </c>
      <c r="M382" s="202">
        <f>M658+M698+M738+M778+M818</f>
        <v>0</v>
      </c>
      <c r="N382" s="11" t="str">
        <f>IF(C382="*","*",IF(C382&gt;0,M382/C382*100,"-"))</f>
        <v>-</v>
      </c>
      <c r="O382" s="202">
        <f t="shared" ref="O382:O391" si="78">IF(C382="*","*",SUM(J382:M382)/4)</f>
        <v>0</v>
      </c>
      <c r="P382" s="41">
        <f>IF(ISNUMBER(VLOOKUP(B382,[4]CLOSURES!B:BI,16,FALSE)),TEXT(VLOOKUP(B382,[4]CLOSURES!B:BI,16,FALSE),"ddmmm"),IF(F382&lt;=0,0,IF(I382&lt;=0,0,IF(AND(F382&gt;0,O382&lt;=0),"&gt;52",IF(I382/O382&gt;52,"&gt;52", MAX(0,I382/O382-2))))))</f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f t="shared" ref="C383:G398" si="79">C659+C699+C739+C779+C819</f>
        <v>0</v>
      </c>
      <c r="D383" s="202">
        <f t="shared" si="79"/>
        <v>0</v>
      </c>
      <c r="E383" s="202">
        <v>0</v>
      </c>
      <c r="F383" s="201">
        <f t="shared" si="79"/>
        <v>0</v>
      </c>
      <c r="G383" s="202">
        <f t="shared" si="79"/>
        <v>0</v>
      </c>
      <c r="H383" s="151">
        <f t="shared" si="76"/>
        <v>0</v>
      </c>
      <c r="I383" s="201">
        <f t="shared" si="77"/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f t="shared" si="78"/>
        <v>0</v>
      </c>
      <c r="P383" s="41" t="str">
        <f>IF(ISNUMBER(VLOOKUP(B383,[4]CLOSURES!B:BI,16,FALSE)),TEXT(VLOOKUP(B383,[4]CLOSURES!B:BI,16,FALSE),"ddmmm"),IF(F383&lt;=0,0,IF(I383&lt;=0,0,IF(AND(F383&gt;0,O383&lt;=0),"&gt;52",IF(I383/O383&gt;52,"&gt;52", MAX(0,I383/O383-2))))))</f>
        <v>01Jan</v>
      </c>
      <c r="R383" s="153"/>
    </row>
    <row r="384" spans="2:18" s="158" customFormat="1" ht="10.75" hidden="1" customHeight="1" x14ac:dyDescent="0.3">
      <c r="B384" s="40" t="s">
        <v>65</v>
      </c>
      <c r="C384" s="202">
        <f t="shared" si="79"/>
        <v>0</v>
      </c>
      <c r="D384" s="202">
        <f t="shared" si="79"/>
        <v>0</v>
      </c>
      <c r="E384" s="202">
        <f t="shared" si="79"/>
        <v>0</v>
      </c>
      <c r="F384" s="201">
        <f t="shared" si="79"/>
        <v>0</v>
      </c>
      <c r="G384" s="202">
        <f t="shared" si="79"/>
        <v>0</v>
      </c>
      <c r="H384" s="151">
        <f t="shared" si="76"/>
        <v>0</v>
      </c>
      <c r="I384" s="201">
        <f t="shared" si="77"/>
        <v>0</v>
      </c>
      <c r="J384" s="202">
        <f t="shared" ref="J384:M385" si="80">J660+J700+J740+J780+J820</f>
        <v>0</v>
      </c>
      <c r="K384" s="202">
        <f t="shared" si="80"/>
        <v>0</v>
      </c>
      <c r="L384" s="202">
        <f t="shared" si="80"/>
        <v>0</v>
      </c>
      <c r="M384" s="202">
        <f t="shared" si="80"/>
        <v>0</v>
      </c>
      <c r="N384" s="11" t="str">
        <f t="shared" ref="N384:N391" si="81">IF(C384="*","*",IF(C384&gt;0,M384/C384*100,"-"))</f>
        <v>-</v>
      </c>
      <c r="O384" s="202">
        <f t="shared" si="78"/>
        <v>0</v>
      </c>
      <c r="P384" s="41" t="str">
        <f>IF(ISNUMBER(VLOOKUP(B384,[4]CLOSURES!B:BI,16,FALSE)),TEXT(VLOOKUP(B384,[4]CLOSURES!B:BI,16,FALSE),"ddmmm"),IF(F384&lt;=0,0,IF(I384&lt;=0,0,IF(AND(F384&gt;0,O384&lt;=0),"&gt;52",IF(I384/O384&gt;52,"&gt;52", MAX(0,I384/O384-2))))))</f>
        <v>01Jan</v>
      </c>
      <c r="R384" s="153"/>
    </row>
    <row r="385" spans="2:18" s="158" customFormat="1" ht="10.75" hidden="1" customHeight="1" x14ac:dyDescent="0.3">
      <c r="B385" s="40" t="s">
        <v>66</v>
      </c>
      <c r="C385" s="202">
        <f t="shared" si="79"/>
        <v>0</v>
      </c>
      <c r="D385" s="202">
        <f t="shared" si="79"/>
        <v>0</v>
      </c>
      <c r="E385" s="202">
        <f t="shared" si="79"/>
        <v>0</v>
      </c>
      <c r="F385" s="201">
        <f t="shared" si="79"/>
        <v>0</v>
      </c>
      <c r="G385" s="202">
        <f t="shared" si="79"/>
        <v>0</v>
      </c>
      <c r="H385" s="151">
        <f t="shared" si="76"/>
        <v>0</v>
      </c>
      <c r="I385" s="201">
        <f t="shared" si="77"/>
        <v>0</v>
      </c>
      <c r="J385" s="202">
        <f t="shared" si="80"/>
        <v>0</v>
      </c>
      <c r="K385" s="202">
        <f t="shared" si="80"/>
        <v>0</v>
      </c>
      <c r="L385" s="202">
        <f t="shared" si="80"/>
        <v>0</v>
      </c>
      <c r="M385" s="202">
        <f t="shared" si="80"/>
        <v>0</v>
      </c>
      <c r="N385" s="11" t="str">
        <f t="shared" si="81"/>
        <v>-</v>
      </c>
      <c r="O385" s="202">
        <f t="shared" si="78"/>
        <v>0</v>
      </c>
      <c r="P385" s="41" t="str">
        <f>IF(ISNUMBER(VLOOKUP(B385,[4]CLOSURES!B:BI,16,FALSE)),TEXT(VLOOKUP(B385,[4]CLOSURES!B:BI,16,FALSE),"ddmmm"),IF(F385&lt;=0,0,IF(I385&lt;=0,0,IF(AND(F385&gt;0,O385&lt;=0),"&gt;52",IF(I385/O385&gt;52,"&gt;52", MAX(0,I385/O385-2))))))</f>
        <v>01Jan</v>
      </c>
      <c r="R385" s="153"/>
    </row>
    <row r="386" spans="2:18" s="158" customFormat="1" ht="10.75" hidden="1" customHeight="1" x14ac:dyDescent="0.3">
      <c r="B386" s="40" t="s">
        <v>67</v>
      </c>
      <c r="C386" s="202">
        <f t="shared" si="79"/>
        <v>0</v>
      </c>
      <c r="D386" s="202">
        <f t="shared" si="79"/>
        <v>0</v>
      </c>
      <c r="E386" s="202">
        <f t="shared" si="79"/>
        <v>0</v>
      </c>
      <c r="F386" s="201">
        <f t="shared" si="79"/>
        <v>0</v>
      </c>
      <c r="G386" s="202">
        <f t="shared" si="79"/>
        <v>0</v>
      </c>
      <c r="H386" s="151">
        <f t="shared" si="76"/>
        <v>0</v>
      </c>
      <c r="I386" s="201">
        <f t="shared" si="77"/>
        <v>0</v>
      </c>
      <c r="J386" s="202">
        <v>0</v>
      </c>
      <c r="K386" s="202">
        <v>0</v>
      </c>
      <c r="L386" s="202">
        <v>0</v>
      </c>
      <c r="M386" s="202">
        <v>0</v>
      </c>
      <c r="N386" s="11" t="str">
        <f t="shared" si="81"/>
        <v>-</v>
      </c>
      <c r="O386" s="202">
        <f t="shared" si="78"/>
        <v>0</v>
      </c>
      <c r="P386" s="41" t="str">
        <f>IF(ISNUMBER(VLOOKUP(B386,[4]CLOSURES!B:BI,16,FALSE)),TEXT(VLOOKUP(B386,[4]CLOSURES!B:BI,16,FALSE),"ddmmm"),IF(F386&lt;=0,0,IF(I386&lt;=0,0,IF(AND(F386&gt;0,O386&lt;=0),"&gt;52",IF(I386/O386&gt;52,"&gt;52", MAX(0,I386/O386-2))))))</f>
        <v>01Jan</v>
      </c>
      <c r="R386" s="153"/>
    </row>
    <row r="387" spans="2:18" s="158" customFormat="1" ht="10.75" hidden="1" customHeight="1" x14ac:dyDescent="0.3">
      <c r="B387" s="40" t="s">
        <v>68</v>
      </c>
      <c r="C387" s="202">
        <f t="shared" si="79"/>
        <v>0</v>
      </c>
      <c r="D387" s="202">
        <f t="shared" si="79"/>
        <v>0</v>
      </c>
      <c r="E387" s="202">
        <f t="shared" si="79"/>
        <v>0</v>
      </c>
      <c r="F387" s="201">
        <f t="shared" si="79"/>
        <v>0</v>
      </c>
      <c r="G387" s="202">
        <f t="shared" si="79"/>
        <v>0</v>
      </c>
      <c r="H387" s="151">
        <f t="shared" si="76"/>
        <v>0</v>
      </c>
      <c r="I387" s="201">
        <f t="shared" si="77"/>
        <v>0</v>
      </c>
      <c r="J387" s="202">
        <f t="shared" ref="J387:M391" si="82">J663+J703+J743+J783+J823</f>
        <v>0</v>
      </c>
      <c r="K387" s="202">
        <f t="shared" si="82"/>
        <v>0</v>
      </c>
      <c r="L387" s="202">
        <f t="shared" si="82"/>
        <v>0</v>
      </c>
      <c r="M387" s="202">
        <f t="shared" si="82"/>
        <v>0</v>
      </c>
      <c r="N387" s="11" t="str">
        <f t="shared" si="81"/>
        <v>-</v>
      </c>
      <c r="O387" s="202">
        <f t="shared" si="78"/>
        <v>0</v>
      </c>
      <c r="P387" s="41" t="str">
        <f>IF(ISNUMBER(VLOOKUP(B387,[4]CLOSURES!B:BI,16,FALSE)),TEXT(VLOOKUP(B387,[4]CLOSURES!B:BI,16,FALSE),"ddmmm"),IF(F387&lt;=0,0,IF(I387&lt;=0,0,IF(AND(F387&gt;0,O387&lt;=0),"&gt;52",IF(I387/O387&gt;52,"&gt;52", MAX(0,I387/O387-2))))))</f>
        <v>01Jan</v>
      </c>
      <c r="R387" s="153"/>
    </row>
    <row r="388" spans="2:18" s="158" customFormat="1" ht="10.75" hidden="1" customHeight="1" x14ac:dyDescent="0.3">
      <c r="B388" s="40" t="s">
        <v>69</v>
      </c>
      <c r="C388" s="202">
        <f t="shared" si="79"/>
        <v>0</v>
      </c>
      <c r="D388" s="202">
        <f t="shared" si="79"/>
        <v>0</v>
      </c>
      <c r="E388" s="202">
        <f t="shared" si="79"/>
        <v>0</v>
      </c>
      <c r="F388" s="201">
        <f t="shared" si="79"/>
        <v>0</v>
      </c>
      <c r="G388" s="202">
        <f t="shared" si="79"/>
        <v>0</v>
      </c>
      <c r="H388" s="151">
        <f t="shared" si="76"/>
        <v>0</v>
      </c>
      <c r="I388" s="201">
        <f t="shared" si="77"/>
        <v>0</v>
      </c>
      <c r="J388" s="202">
        <f t="shared" si="82"/>
        <v>0</v>
      </c>
      <c r="K388" s="202">
        <f t="shared" si="82"/>
        <v>0</v>
      </c>
      <c r="L388" s="202">
        <f t="shared" si="82"/>
        <v>0</v>
      </c>
      <c r="M388" s="202">
        <f t="shared" si="82"/>
        <v>0</v>
      </c>
      <c r="N388" s="11" t="str">
        <f t="shared" si="81"/>
        <v>-</v>
      </c>
      <c r="O388" s="202">
        <f t="shared" si="78"/>
        <v>0</v>
      </c>
      <c r="P388" s="41" t="str">
        <f>IF(ISNUMBER(VLOOKUP(B388,[4]CLOSURES!B:BI,16,FALSE)),TEXT(VLOOKUP(B388,[4]CLOSURES!B:BI,16,FALSE),"ddmmm"),IF(F388&lt;=0,0,IF(I388&lt;=0,0,IF(AND(F388&gt;0,O388&lt;=0),"&gt;52",IF(I388/O388&gt;52,"&gt;52", MAX(0,I388/O388-2))))))</f>
        <v>01Jan</v>
      </c>
      <c r="R388" s="153"/>
    </row>
    <row r="389" spans="2:18" s="158" customFormat="1" ht="10.75" hidden="1" customHeight="1" x14ac:dyDescent="0.3">
      <c r="B389" s="40" t="s">
        <v>70</v>
      </c>
      <c r="C389" s="202">
        <f t="shared" si="79"/>
        <v>0</v>
      </c>
      <c r="D389" s="202">
        <f t="shared" si="79"/>
        <v>0</v>
      </c>
      <c r="E389" s="202">
        <f t="shared" si="79"/>
        <v>0</v>
      </c>
      <c r="F389" s="201">
        <f t="shared" si="79"/>
        <v>0</v>
      </c>
      <c r="G389" s="202">
        <f t="shared" si="79"/>
        <v>0</v>
      </c>
      <c r="H389" s="151">
        <f t="shared" si="76"/>
        <v>0</v>
      </c>
      <c r="I389" s="201">
        <f t="shared" si="77"/>
        <v>0</v>
      </c>
      <c r="J389" s="202">
        <f t="shared" si="82"/>
        <v>0</v>
      </c>
      <c r="K389" s="202">
        <f t="shared" si="82"/>
        <v>0</v>
      </c>
      <c r="L389" s="202">
        <f t="shared" si="82"/>
        <v>0</v>
      </c>
      <c r="M389" s="202">
        <f t="shared" si="82"/>
        <v>0</v>
      </c>
      <c r="N389" s="11" t="str">
        <f t="shared" si="81"/>
        <v>-</v>
      </c>
      <c r="O389" s="202">
        <f t="shared" si="78"/>
        <v>0</v>
      </c>
      <c r="P389" s="41" t="str">
        <f>IF(ISNUMBER(VLOOKUP(B389,[4]CLOSURES!B:BI,16,FALSE)),TEXT(VLOOKUP(B389,[4]CLOSURES!B:BI,16,FALSE),"ddmmm"),IF(F389&lt;=0,0,IF(I389&lt;=0,0,IF(AND(F389&gt;0,O389&lt;=0),"&gt;52",IF(I389/O389&gt;52,"&gt;52", MAX(0,I389/O389-2))))))</f>
        <v>01Jan</v>
      </c>
      <c r="R389" s="153"/>
    </row>
    <row r="390" spans="2:18" s="158" customFormat="1" ht="10.75" hidden="1" customHeight="1" x14ac:dyDescent="0.3">
      <c r="B390" s="40" t="s">
        <v>71</v>
      </c>
      <c r="C390" s="202">
        <f t="shared" si="79"/>
        <v>0</v>
      </c>
      <c r="D390" s="202">
        <f t="shared" si="79"/>
        <v>0</v>
      </c>
      <c r="E390" s="202">
        <f t="shared" si="79"/>
        <v>0</v>
      </c>
      <c r="F390" s="201">
        <f t="shared" si="79"/>
        <v>0</v>
      </c>
      <c r="G390" s="202">
        <f t="shared" si="79"/>
        <v>0</v>
      </c>
      <c r="H390" s="151">
        <f t="shared" si="76"/>
        <v>0</v>
      </c>
      <c r="I390" s="201">
        <f t="shared" si="77"/>
        <v>0</v>
      </c>
      <c r="J390" s="202">
        <f t="shared" si="82"/>
        <v>0</v>
      </c>
      <c r="K390" s="202">
        <f t="shared" si="82"/>
        <v>0</v>
      </c>
      <c r="L390" s="202">
        <f t="shared" si="82"/>
        <v>0</v>
      </c>
      <c r="M390" s="202">
        <f t="shared" si="82"/>
        <v>0</v>
      </c>
      <c r="N390" s="11" t="str">
        <f t="shared" si="81"/>
        <v>-</v>
      </c>
      <c r="O390" s="202">
        <f t="shared" si="78"/>
        <v>0</v>
      </c>
      <c r="P390" s="41">
        <f>IF(ISNUMBER(VLOOKUP(B390,[4]CLOSURES!B:BI,16,FALSE)),TEXT(VLOOKUP(B390,[4]CLOSURES!B:BI,16,FALSE),"ddmmm"),IF(F390&lt;=0,0,IF(I390&lt;=0,0,IF(AND(F390&gt;0,O390&lt;=0),"&gt;52",IF(I390/O390&gt;52,"&gt;52", MAX(0,I390/O390-2))))))</f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f t="shared" si="79"/>
        <v>0</v>
      </c>
      <c r="D391" s="202">
        <f t="shared" si="79"/>
        <v>0</v>
      </c>
      <c r="E391" s="202">
        <f t="shared" si="79"/>
        <v>0</v>
      </c>
      <c r="F391" s="201">
        <f t="shared" si="79"/>
        <v>0</v>
      </c>
      <c r="G391" s="202">
        <f t="shared" si="79"/>
        <v>0</v>
      </c>
      <c r="H391" s="151">
        <f t="shared" si="76"/>
        <v>0</v>
      </c>
      <c r="I391" s="201">
        <f t="shared" si="77"/>
        <v>0</v>
      </c>
      <c r="J391" s="202">
        <f t="shared" si="82"/>
        <v>0</v>
      </c>
      <c r="K391" s="202">
        <f t="shared" si="82"/>
        <v>0</v>
      </c>
      <c r="L391" s="202">
        <f t="shared" si="82"/>
        <v>0</v>
      </c>
      <c r="M391" s="202">
        <f t="shared" si="82"/>
        <v>0</v>
      </c>
      <c r="N391" s="11" t="str">
        <f t="shared" si="81"/>
        <v>-</v>
      </c>
      <c r="O391" s="202">
        <f t="shared" si="78"/>
        <v>0</v>
      </c>
      <c r="P391" s="41">
        <f>IF(ISNUMBER(VLOOKUP(B391,[4]CLOSURES!B:BI,16,FALSE)),TEXT(VLOOKUP(B391,[4]CLOSURES!B:BI,16,FALSE),"ddmmm"),IF(F391&lt;=0,0,IF(I391&lt;=0,0,IF(AND(F391&gt;0,O391&lt;=0),"&gt;52",IF(I391/O391&gt;52,"&gt;52", MAX(0,I391/O391-2))))))</f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f>SUM(C382:C390)</f>
        <v>0</v>
      </c>
      <c r="D392" s="202">
        <f>SUM(D382:D390)</f>
        <v>0</v>
      </c>
      <c r="E392" s="202">
        <f>SUM(E382:E390)</f>
        <v>0</v>
      </c>
      <c r="F392" s="201">
        <f>SUM(F382:F390)</f>
        <v>0</v>
      </c>
      <c r="G392" s="202">
        <f t="shared" si="79"/>
        <v>0</v>
      </c>
      <c r="H392" s="151">
        <f t="shared" si="76"/>
        <v>0</v>
      </c>
      <c r="I392" s="201">
        <f t="shared" si="77"/>
        <v>0</v>
      </c>
      <c r="J392" s="202">
        <f t="shared" ref="J392:O392" si="83">SUM(J382:J391)</f>
        <v>0</v>
      </c>
      <c r="K392" s="202">
        <f t="shared" si="83"/>
        <v>0</v>
      </c>
      <c r="L392" s="202">
        <f t="shared" si="83"/>
        <v>0</v>
      </c>
      <c r="M392" s="202">
        <f t="shared" si="83"/>
        <v>0</v>
      </c>
      <c r="N392" s="11">
        <f t="shared" si="83"/>
        <v>0</v>
      </c>
      <c r="O392" s="202">
        <f t="shared" si="83"/>
        <v>0</v>
      </c>
      <c r="P392" s="41">
        <f>IF(ISNUMBER(VLOOKUP(B392,[4]CLOSURES!B:BI,16,FALSE)),TEXT(VLOOKUP(B392,[4]CLOSURES!B:BI,16,FALSE),"ddmmm"),IF(F392&lt;=0,0,IF(I392&lt;=0,0,IF(AND(F392&gt;0,O392&lt;=0),"&gt;52",IF(I392/O392&gt;52,"&gt;52", MAX(0,I392/O392-2))))))</f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f t="shared" si="79"/>
        <v>0</v>
      </c>
      <c r="D394" s="202">
        <f t="shared" si="79"/>
        <v>0</v>
      </c>
      <c r="E394" s="202">
        <f t="shared" si="79"/>
        <v>0</v>
      </c>
      <c r="F394" s="201">
        <f t="shared" si="79"/>
        <v>0</v>
      </c>
      <c r="G394" s="202">
        <f t="shared" si="79"/>
        <v>0</v>
      </c>
      <c r="H394" s="151">
        <f t="shared" ref="H394:H407" si="84">IF(AND(F394=0,G394&gt;0),"n/a",IF(F394=0,0,100*G394/F394))</f>
        <v>0</v>
      </c>
      <c r="I394" s="201">
        <f t="shared" ref="I394:I407" si="85">IF(F394="*","*",F394-G394)</f>
        <v>0</v>
      </c>
      <c r="J394" s="202">
        <f t="shared" ref="J394:M403" si="86">J670+J710+J750+J790+J830</f>
        <v>0</v>
      </c>
      <c r="K394" s="202">
        <f t="shared" si="86"/>
        <v>0</v>
      </c>
      <c r="L394" s="202">
        <f t="shared" si="86"/>
        <v>0</v>
      </c>
      <c r="M394" s="202">
        <f t="shared" si="86"/>
        <v>0</v>
      </c>
      <c r="N394" s="11" t="str">
        <f t="shared" ref="N394:N407" si="87">IF(C394="*","*",IF(C394&gt;0,M394/C394*100,"-"))</f>
        <v>-</v>
      </c>
      <c r="O394" s="202">
        <f t="shared" ref="O394:O407" si="88">IF(C394="*","*",SUM(J394:M394)/4)</f>
        <v>0</v>
      </c>
      <c r="P394" s="41">
        <f>IF(ISNUMBER(VLOOKUP(B394,[4]CLOSURES!B:BI,16,FALSE)),TEXT(VLOOKUP(B394,[4]CLOSURES!B:BI,16,FALSE),"ddmmm"),IF(F394&lt;=0,0,IF(I394&lt;=0,0,IF(AND(F394&gt;0,O394&lt;=0),"&gt;52",IF(I394/O394&gt;52,"&gt;52", MAX(0,I394/O394-2))))))</f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f t="shared" si="79"/>
        <v>0</v>
      </c>
      <c r="D395" s="202">
        <f t="shared" si="79"/>
        <v>0</v>
      </c>
      <c r="E395" s="202">
        <f t="shared" si="79"/>
        <v>0</v>
      </c>
      <c r="F395" s="201">
        <f t="shared" si="79"/>
        <v>0</v>
      </c>
      <c r="G395" s="202">
        <f t="shared" si="79"/>
        <v>0</v>
      </c>
      <c r="H395" s="151">
        <f t="shared" si="84"/>
        <v>0</v>
      </c>
      <c r="I395" s="201">
        <f t="shared" si="85"/>
        <v>0</v>
      </c>
      <c r="J395" s="202">
        <f t="shared" si="86"/>
        <v>0</v>
      </c>
      <c r="K395" s="202">
        <f t="shared" si="86"/>
        <v>0</v>
      </c>
      <c r="L395" s="202">
        <f t="shared" si="86"/>
        <v>0</v>
      </c>
      <c r="M395" s="202">
        <f t="shared" si="86"/>
        <v>0</v>
      </c>
      <c r="N395" s="11" t="str">
        <f t="shared" si="87"/>
        <v>-</v>
      </c>
      <c r="O395" s="202">
        <f t="shared" si="88"/>
        <v>0</v>
      </c>
      <c r="P395" s="41">
        <f>IF(ISNUMBER(VLOOKUP(B395,[4]CLOSURES!B:BI,16,FALSE)),TEXT(VLOOKUP(B395,[4]CLOSURES!B:BI,16,FALSE),"ddmmm"),IF(F395&lt;=0,0,IF(I395&lt;=0,0,IF(AND(F395&gt;0,O395&lt;=0),"&gt;52",IF(I395/O395&gt;52,"&gt;52", MAX(0,I395/O395-2))))))</f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f t="shared" si="79"/>
        <v>0</v>
      </c>
      <c r="D396" s="202">
        <f t="shared" si="79"/>
        <v>0</v>
      </c>
      <c r="E396" s="202">
        <f t="shared" si="79"/>
        <v>0</v>
      </c>
      <c r="F396" s="201">
        <f t="shared" si="79"/>
        <v>0</v>
      </c>
      <c r="G396" s="202">
        <f t="shared" si="79"/>
        <v>0</v>
      </c>
      <c r="H396" s="151">
        <f t="shared" si="84"/>
        <v>0</v>
      </c>
      <c r="I396" s="201">
        <f t="shared" si="85"/>
        <v>0</v>
      </c>
      <c r="J396" s="202">
        <f t="shared" si="86"/>
        <v>0</v>
      </c>
      <c r="K396" s="202">
        <f t="shared" si="86"/>
        <v>0</v>
      </c>
      <c r="L396" s="202">
        <f t="shared" si="86"/>
        <v>0</v>
      </c>
      <c r="M396" s="202">
        <f t="shared" si="86"/>
        <v>0</v>
      </c>
      <c r="N396" s="11" t="str">
        <f t="shared" si="87"/>
        <v>-</v>
      </c>
      <c r="O396" s="202">
        <f t="shared" si="88"/>
        <v>0</v>
      </c>
      <c r="P396" s="41" t="str">
        <f>IF(ISNUMBER(VLOOKUP(B396,[4]CLOSURES!B:BI,16,FALSE)),TEXT(VLOOKUP(B396,[4]CLOSURES!B:BI,16,FALSE),"ddmmm"),IF(F396&lt;=0,0,IF(I396&lt;=0,0,IF(AND(F396&gt;0,O396&lt;=0),"&gt;52",IF(I396/O396&gt;52,"&gt;52", MAX(0,I396/O396-2))))))</f>
        <v>01Jan</v>
      </c>
      <c r="R396" s="153"/>
    </row>
    <row r="397" spans="2:18" s="158" customFormat="1" ht="10.75" hidden="1" customHeight="1" x14ac:dyDescent="0.3">
      <c r="B397" s="40" t="s">
        <v>76</v>
      </c>
      <c r="C397" s="202">
        <f t="shared" si="79"/>
        <v>0</v>
      </c>
      <c r="D397" s="202">
        <f t="shared" si="79"/>
        <v>0</v>
      </c>
      <c r="E397" s="202">
        <f t="shared" si="79"/>
        <v>0</v>
      </c>
      <c r="F397" s="201">
        <f t="shared" si="79"/>
        <v>0</v>
      </c>
      <c r="G397" s="202">
        <f t="shared" si="79"/>
        <v>0</v>
      </c>
      <c r="H397" s="151">
        <f t="shared" si="84"/>
        <v>0</v>
      </c>
      <c r="I397" s="201">
        <f t="shared" si="85"/>
        <v>0</v>
      </c>
      <c r="J397" s="202">
        <f t="shared" si="86"/>
        <v>0</v>
      </c>
      <c r="K397" s="202">
        <f t="shared" si="86"/>
        <v>0</v>
      </c>
      <c r="L397" s="202">
        <f t="shared" si="86"/>
        <v>0</v>
      </c>
      <c r="M397" s="202">
        <f t="shared" si="86"/>
        <v>0</v>
      </c>
      <c r="N397" s="11" t="str">
        <f t="shared" si="87"/>
        <v>-</v>
      </c>
      <c r="O397" s="202">
        <f t="shared" si="88"/>
        <v>0</v>
      </c>
      <c r="P397" s="41" t="str">
        <f>IF(ISNUMBER(VLOOKUP(B397,[4]CLOSURES!B:BI,16,FALSE)),TEXT(VLOOKUP(B397,[4]CLOSURES!B:BI,16,FALSE),"ddmmm"),IF(F397&lt;=0,0,IF(I397&lt;=0,0,IF(AND(F397&gt;0,O397&lt;=0),"&gt;52",IF(I397/O397&gt;52,"&gt;52", MAX(0,I397/O397-2))))))</f>
        <v>01Jan</v>
      </c>
      <c r="R397" s="153"/>
    </row>
    <row r="398" spans="2:18" s="158" customFormat="1" ht="10.75" hidden="1" customHeight="1" x14ac:dyDescent="0.3">
      <c r="B398" s="40" t="s">
        <v>77</v>
      </c>
      <c r="C398" s="202">
        <f t="shared" si="79"/>
        <v>0</v>
      </c>
      <c r="D398" s="202">
        <f t="shared" si="79"/>
        <v>0</v>
      </c>
      <c r="E398" s="202">
        <f t="shared" si="79"/>
        <v>0</v>
      </c>
      <c r="F398" s="201">
        <f t="shared" si="79"/>
        <v>0</v>
      </c>
      <c r="G398" s="202">
        <f t="shared" si="79"/>
        <v>0</v>
      </c>
      <c r="H398" s="151">
        <f t="shared" si="84"/>
        <v>0</v>
      </c>
      <c r="I398" s="201">
        <f t="shared" si="85"/>
        <v>0</v>
      </c>
      <c r="J398" s="202">
        <f t="shared" si="86"/>
        <v>0</v>
      </c>
      <c r="K398" s="202">
        <f t="shared" si="86"/>
        <v>0</v>
      </c>
      <c r="L398" s="202">
        <f t="shared" si="86"/>
        <v>0</v>
      </c>
      <c r="M398" s="202">
        <f t="shared" si="86"/>
        <v>0</v>
      </c>
      <c r="N398" s="11" t="str">
        <f t="shared" si="87"/>
        <v>-</v>
      </c>
      <c r="O398" s="202">
        <f t="shared" si="88"/>
        <v>0</v>
      </c>
      <c r="P398" s="41">
        <f>IF(ISNUMBER(VLOOKUP(B398,[4]CLOSURES!B:BI,16,FALSE)),TEXT(VLOOKUP(B398,[4]CLOSURES!B:BI,16,FALSE),"ddmmm"),IF(F398&lt;=0,0,IF(I398&lt;=0,0,IF(AND(F398&gt;0,O398&lt;=0),"&gt;52",IF(I398/O398&gt;52,"&gt;52", MAX(0,I398/O398-2))))))</f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f t="shared" ref="C399:G411" si="89">C675+C715+C755+C795+C835</f>
        <v>0</v>
      </c>
      <c r="D399" s="202">
        <f t="shared" si="89"/>
        <v>0</v>
      </c>
      <c r="E399" s="202">
        <f t="shared" si="89"/>
        <v>0</v>
      </c>
      <c r="F399" s="201">
        <f t="shared" si="89"/>
        <v>0</v>
      </c>
      <c r="G399" s="202">
        <f t="shared" si="89"/>
        <v>0</v>
      </c>
      <c r="H399" s="151">
        <f t="shared" si="84"/>
        <v>0</v>
      </c>
      <c r="I399" s="201">
        <f t="shared" si="85"/>
        <v>0</v>
      </c>
      <c r="J399" s="202">
        <f t="shared" si="86"/>
        <v>0</v>
      </c>
      <c r="K399" s="202">
        <f t="shared" si="86"/>
        <v>0</v>
      </c>
      <c r="L399" s="202">
        <f t="shared" si="86"/>
        <v>0</v>
      </c>
      <c r="M399" s="202">
        <f t="shared" si="86"/>
        <v>0</v>
      </c>
      <c r="N399" s="11" t="str">
        <f t="shared" si="87"/>
        <v>-</v>
      </c>
      <c r="O399" s="202">
        <f t="shared" si="88"/>
        <v>0</v>
      </c>
      <c r="P399" s="41">
        <f>IF(ISNUMBER(VLOOKUP(B399,[4]CLOSURES!B:BI,16,FALSE)),TEXT(VLOOKUP(B399,[4]CLOSURES!B:BI,16,FALSE),"ddmmm"),IF(F399&lt;=0,0,IF(I399&lt;=0,0,IF(AND(F399&gt;0,O399&lt;=0),"&gt;52",IF(I399/O399&gt;52,"&gt;52", MAX(0,I399/O399-2))))))</f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f t="shared" si="89"/>
        <v>0</v>
      </c>
      <c r="D400" s="202">
        <f t="shared" si="89"/>
        <v>0</v>
      </c>
      <c r="E400" s="202">
        <f t="shared" si="89"/>
        <v>0</v>
      </c>
      <c r="F400" s="201">
        <f t="shared" si="89"/>
        <v>0</v>
      </c>
      <c r="G400" s="202">
        <f t="shared" si="89"/>
        <v>0</v>
      </c>
      <c r="H400" s="151">
        <f t="shared" si="84"/>
        <v>0</v>
      </c>
      <c r="I400" s="201">
        <f t="shared" si="85"/>
        <v>0</v>
      </c>
      <c r="J400" s="202">
        <f t="shared" si="86"/>
        <v>0</v>
      </c>
      <c r="K400" s="202">
        <f t="shared" si="86"/>
        <v>0</v>
      </c>
      <c r="L400" s="202">
        <f t="shared" si="86"/>
        <v>0</v>
      </c>
      <c r="M400" s="202">
        <f t="shared" si="86"/>
        <v>0</v>
      </c>
      <c r="N400" s="11" t="str">
        <f t="shared" si="87"/>
        <v>-</v>
      </c>
      <c r="O400" s="202">
        <f t="shared" si="88"/>
        <v>0</v>
      </c>
      <c r="P400" s="41">
        <f>IF(ISNUMBER(VLOOKUP(B400,[4]CLOSURES!B:BI,16,FALSE)),TEXT(VLOOKUP(B400,[4]CLOSURES!B:BI,16,FALSE),"ddmmm"),IF(F400&lt;=0,0,IF(I400&lt;=0,0,IF(AND(F400&gt;0,O400&lt;=0),"&gt;52",IF(I400/O400&gt;52,"&gt;52", MAX(0,I400/O400-2))))))</f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f t="shared" si="89"/>
        <v>0</v>
      </c>
      <c r="D401" s="202">
        <f t="shared" si="89"/>
        <v>0</v>
      </c>
      <c r="E401" s="202">
        <f t="shared" si="89"/>
        <v>0</v>
      </c>
      <c r="F401" s="201">
        <f t="shared" si="89"/>
        <v>0</v>
      </c>
      <c r="G401" s="202">
        <f t="shared" si="89"/>
        <v>0</v>
      </c>
      <c r="H401" s="151">
        <f t="shared" si="84"/>
        <v>0</v>
      </c>
      <c r="I401" s="201">
        <f t="shared" si="85"/>
        <v>0</v>
      </c>
      <c r="J401" s="202">
        <f t="shared" si="86"/>
        <v>0</v>
      </c>
      <c r="K401" s="202">
        <f t="shared" si="86"/>
        <v>0</v>
      </c>
      <c r="L401" s="202">
        <f t="shared" si="86"/>
        <v>0</v>
      </c>
      <c r="M401" s="202">
        <f t="shared" si="86"/>
        <v>0</v>
      </c>
      <c r="N401" s="11" t="str">
        <f t="shared" si="87"/>
        <v>-</v>
      </c>
      <c r="O401" s="202">
        <f t="shared" si="88"/>
        <v>0</v>
      </c>
      <c r="P401" s="41" t="str">
        <f>IF(ISNUMBER(VLOOKUP(B401,[4]CLOSURES!B:BI,16,FALSE)),TEXT(VLOOKUP(B401,[4]CLOSURES!B:BI,16,FALSE),"ddmmm"),IF(F401&lt;=0,0,IF(I401&lt;=0,0,IF(AND(F401&gt;0,O401&lt;=0),"&gt;52",IF(I401/O401&gt;52,"&gt;52", MAX(0,I401/O401-2))))))</f>
        <v>01Jan</v>
      </c>
      <c r="R401" s="153"/>
    </row>
    <row r="402" spans="1:254" s="158" customFormat="1" ht="10.75" hidden="1" customHeight="1" x14ac:dyDescent="0.3">
      <c r="B402" s="40" t="s">
        <v>81</v>
      </c>
      <c r="C402" s="202">
        <f t="shared" si="89"/>
        <v>0</v>
      </c>
      <c r="D402" s="202">
        <f t="shared" si="89"/>
        <v>0</v>
      </c>
      <c r="E402" s="202">
        <f t="shared" si="89"/>
        <v>0</v>
      </c>
      <c r="F402" s="201">
        <f t="shared" si="89"/>
        <v>0</v>
      </c>
      <c r="G402" s="202">
        <f t="shared" si="89"/>
        <v>0</v>
      </c>
      <c r="H402" s="151">
        <f t="shared" si="84"/>
        <v>0</v>
      </c>
      <c r="I402" s="201">
        <f t="shared" si="85"/>
        <v>0</v>
      </c>
      <c r="J402" s="202">
        <f t="shared" si="86"/>
        <v>0</v>
      </c>
      <c r="K402" s="202">
        <f t="shared" si="86"/>
        <v>0</v>
      </c>
      <c r="L402" s="202">
        <f t="shared" si="86"/>
        <v>0</v>
      </c>
      <c r="M402" s="202">
        <f t="shared" si="86"/>
        <v>0</v>
      </c>
      <c r="N402" s="11" t="str">
        <f t="shared" si="87"/>
        <v>-</v>
      </c>
      <c r="O402" s="202">
        <f t="shared" si="88"/>
        <v>0</v>
      </c>
      <c r="P402" s="41" t="str">
        <f>IF(ISNUMBER(VLOOKUP(B402,[4]CLOSURES!B:BI,16,FALSE)),TEXT(VLOOKUP(B402,[4]CLOSURES!B:BI,16,FALSE),"ddmmm"),IF(F402&lt;=0,0,IF(I402&lt;=0,0,IF(AND(F402&gt;0,O402&lt;=0),"&gt;52",IF(I402/O402&gt;52,"&gt;52", MAX(0,I402/O402-2))))))</f>
        <v>01Jan</v>
      </c>
      <c r="R402" s="153"/>
    </row>
    <row r="403" spans="1:254" s="158" customFormat="1" ht="10.75" hidden="1" customHeight="1" x14ac:dyDescent="0.3">
      <c r="B403" s="152" t="s">
        <v>82</v>
      </c>
      <c r="C403" s="202">
        <f t="shared" si="89"/>
        <v>0</v>
      </c>
      <c r="D403" s="202">
        <f t="shared" si="89"/>
        <v>0</v>
      </c>
      <c r="E403" s="202">
        <f t="shared" si="89"/>
        <v>0</v>
      </c>
      <c r="F403" s="201">
        <f t="shared" si="89"/>
        <v>0</v>
      </c>
      <c r="G403" s="202">
        <f t="shared" si="89"/>
        <v>0</v>
      </c>
      <c r="H403" s="151">
        <f t="shared" si="84"/>
        <v>0</v>
      </c>
      <c r="I403" s="201">
        <f t="shared" si="85"/>
        <v>0</v>
      </c>
      <c r="J403" s="202">
        <f t="shared" si="86"/>
        <v>0</v>
      </c>
      <c r="K403" s="202">
        <f t="shared" si="86"/>
        <v>0</v>
      </c>
      <c r="L403" s="202">
        <f t="shared" si="86"/>
        <v>0</v>
      </c>
      <c r="M403" s="202">
        <f t="shared" si="86"/>
        <v>0</v>
      </c>
      <c r="N403" s="11" t="str">
        <f t="shared" si="87"/>
        <v>-</v>
      </c>
      <c r="O403" s="202">
        <f t="shared" si="88"/>
        <v>0</v>
      </c>
      <c r="P403" s="41" t="str">
        <f>IF(ISNUMBER(VLOOKUP(B403,[4]CLOSURES!B:BI,16,FALSE)),TEXT(VLOOKUP(B403,[4]CLOSURES!B:BI,16,FALSE),"ddmmm"),IF(F403&lt;=0,0,IF(I403&lt;=0,0,IF(AND(F403&gt;0,O403&lt;=0),"&gt;52",IF(I403/O403&gt;52,"&gt;52", MAX(0,I403/O403-2))))))</f>
        <v>01Jan</v>
      </c>
      <c r="R403" s="153"/>
    </row>
    <row r="404" spans="1:254" s="158" customFormat="1" ht="10.75" hidden="1" customHeight="1" x14ac:dyDescent="0.3">
      <c r="B404" s="152" t="s">
        <v>83</v>
      </c>
      <c r="C404" s="202">
        <f t="shared" si="89"/>
        <v>0</v>
      </c>
      <c r="D404" s="202">
        <f t="shared" si="89"/>
        <v>0</v>
      </c>
      <c r="E404" s="202">
        <f t="shared" si="89"/>
        <v>0</v>
      </c>
      <c r="F404" s="201">
        <f t="shared" si="89"/>
        <v>0</v>
      </c>
      <c r="G404" s="202">
        <f t="shared" si="89"/>
        <v>0</v>
      </c>
      <c r="H404" s="151">
        <f t="shared" si="84"/>
        <v>0</v>
      </c>
      <c r="I404" s="201">
        <f t="shared" si="85"/>
        <v>0</v>
      </c>
      <c r="J404" s="202">
        <v>0</v>
      </c>
      <c r="K404" s="202">
        <v>0</v>
      </c>
      <c r="L404" s="202">
        <v>0</v>
      </c>
      <c r="M404" s="202">
        <v>0</v>
      </c>
      <c r="N404" s="11" t="str">
        <f t="shared" si="87"/>
        <v>-</v>
      </c>
      <c r="O404" s="202">
        <f t="shared" si="88"/>
        <v>0</v>
      </c>
      <c r="P404" s="41" t="str">
        <f>IF(ISNUMBER(VLOOKUP(B404,[4]CLOSURES!B:BI,16,FALSE)),TEXT(VLOOKUP(B404,[4]CLOSURES!B:BI,16,FALSE),"ddmmm"),IF(F404&lt;=0,0,IF(I404&lt;=0,0,IF(AND(F404&gt;0,O404&lt;=0),"&gt;52",IF(I404/O404&gt;52,"&gt;52", MAX(0,I404/O404-2))))))</f>
        <v>01Jan</v>
      </c>
      <c r="R404" s="153"/>
    </row>
    <row r="405" spans="1:254" s="158" customFormat="1" ht="10.75" hidden="1" customHeight="1" x14ac:dyDescent="0.3">
      <c r="B405" s="170" t="s">
        <v>84</v>
      </c>
      <c r="C405" s="202">
        <f t="shared" si="89"/>
        <v>0</v>
      </c>
      <c r="D405" s="202">
        <f t="shared" si="89"/>
        <v>0</v>
      </c>
      <c r="E405" s="202">
        <f t="shared" si="89"/>
        <v>0</v>
      </c>
      <c r="F405" s="201">
        <f t="shared" si="89"/>
        <v>0</v>
      </c>
      <c r="G405" s="202">
        <f t="shared" si="89"/>
        <v>0</v>
      </c>
      <c r="H405" s="151">
        <f t="shared" si="84"/>
        <v>0</v>
      </c>
      <c r="I405" s="201">
        <f t="shared" si="85"/>
        <v>0</v>
      </c>
      <c r="J405" s="202">
        <f t="shared" ref="J405:M406" si="90">J681+J721+J761+J801+J841</f>
        <v>0</v>
      </c>
      <c r="K405" s="202">
        <f t="shared" si="90"/>
        <v>0</v>
      </c>
      <c r="L405" s="202">
        <f t="shared" si="90"/>
        <v>0</v>
      </c>
      <c r="M405" s="202">
        <f t="shared" si="90"/>
        <v>0</v>
      </c>
      <c r="N405" s="11" t="str">
        <f t="shared" si="87"/>
        <v>-</v>
      </c>
      <c r="O405" s="202">
        <f t="shared" si="88"/>
        <v>0</v>
      </c>
      <c r="P405" s="41">
        <f>IF(ISNUMBER(VLOOKUP(B405,[4]CLOSURES!B:BI,16,FALSE)),TEXT(VLOOKUP(B405,[4]CLOSURES!B:BI,16,FALSE),"ddmmm"),IF(F405&lt;=0,0,IF(I405&lt;=0,0,IF(AND(F405&gt;0,O405&lt;=0),"&gt;52",IF(I405/O405&gt;52,"&gt;52", MAX(0,I405/O405-2))))))</f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f t="shared" si="89"/>
        <v>0</v>
      </c>
      <c r="D406" s="202">
        <f t="shared" si="89"/>
        <v>0</v>
      </c>
      <c r="E406" s="202">
        <f t="shared" si="89"/>
        <v>0</v>
      </c>
      <c r="F406" s="201">
        <f t="shared" si="89"/>
        <v>0</v>
      </c>
      <c r="G406" s="202">
        <f t="shared" si="89"/>
        <v>0</v>
      </c>
      <c r="H406" s="151">
        <f t="shared" si="84"/>
        <v>0</v>
      </c>
      <c r="I406" s="201">
        <f t="shared" si="85"/>
        <v>0</v>
      </c>
      <c r="J406" s="202">
        <f t="shared" si="90"/>
        <v>0</v>
      </c>
      <c r="K406" s="202">
        <f t="shared" si="90"/>
        <v>0</v>
      </c>
      <c r="L406" s="202">
        <f t="shared" si="90"/>
        <v>0</v>
      </c>
      <c r="M406" s="202">
        <f t="shared" si="90"/>
        <v>0</v>
      </c>
      <c r="N406" s="11" t="str">
        <f t="shared" si="87"/>
        <v>-</v>
      </c>
      <c r="O406" s="202">
        <f t="shared" si="88"/>
        <v>0</v>
      </c>
      <c r="P406" s="41" t="str">
        <f>IF(ISNUMBER(VLOOKUP(B406,[4]CLOSURES!B:BI,16,FALSE)),TEXT(VLOOKUP(B406,[4]CLOSURES!B:BI,16,FALSE),"ddmmm"),IF(F406&lt;=0,0,IF(I406&lt;=0,0,IF(AND(F406&gt;0,O406&lt;=0),"&gt;52",IF(I406/O406&gt;52,"&gt;52", MAX(0,I406/O406-2))))))</f>
        <v>01Jan</v>
      </c>
      <c r="R406" s="153"/>
    </row>
    <row r="407" spans="1:254" s="158" customFormat="1" ht="10.75" hidden="1" customHeight="1" x14ac:dyDescent="0.3">
      <c r="B407" s="162" t="s">
        <v>86</v>
      </c>
      <c r="C407" s="130">
        <f>SUM(C382:C391)+SUM(C394:C406)</f>
        <v>0</v>
      </c>
      <c r="D407" s="202">
        <f>SUM(D382:D391)+SUM(D394:D406)</f>
        <v>0</v>
      </c>
      <c r="E407" s="200">
        <f>F407-C407</f>
        <v>0</v>
      </c>
      <c r="F407" s="201">
        <f>SUM(F382:F391)+SUM(F394:F406)</f>
        <v>0</v>
      </c>
      <c r="G407" s="202">
        <f t="shared" si="89"/>
        <v>0</v>
      </c>
      <c r="H407" s="151">
        <f t="shared" si="84"/>
        <v>0</v>
      </c>
      <c r="I407" s="201">
        <f t="shared" si="85"/>
        <v>0</v>
      </c>
      <c r="J407" s="202">
        <f>SUM(J382:J391)+SUM(J394:J406)</f>
        <v>0</v>
      </c>
      <c r="K407" s="202">
        <f>SUM(K382:K391)+SUM(K394:K406)</f>
        <v>0</v>
      </c>
      <c r="L407" s="202">
        <f>SUM(L382:L391)+SUM(L394:L406)</f>
        <v>0</v>
      </c>
      <c r="M407" s="202">
        <f>SUM(M382:M391)+SUM(M394:M406)</f>
        <v>0</v>
      </c>
      <c r="N407" s="11" t="str">
        <f t="shared" si="87"/>
        <v>-</v>
      </c>
      <c r="O407" s="202">
        <f t="shared" si="88"/>
        <v>0</v>
      </c>
      <c r="P407" s="41">
        <f>IF(ISNUMBER(VLOOKUP(B407,[4]CLOSURES!B:BI,16,FALSE)),TEXT(VLOOKUP(B407,[4]CLOSURES!B:BI,16,FALSE),"ddmmm"),IF(F407&lt;=0,0,IF(I407&lt;=0,0,IF(AND(F407&gt;0,O407&lt;=0),"&gt;52",IF(I407/O407&gt;52,"&gt;52", MAX(0,I407/O407-2))))))</f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f t="shared" si="89"/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f>'[4]Pel Non PO'!C197</f>
        <v>0</v>
      </c>
      <c r="D409" s="200">
        <f>'[4]Pel Non PO'!D197</f>
        <v>0</v>
      </c>
      <c r="E409" s="200">
        <f>F409-C409</f>
        <v>0</v>
      </c>
      <c r="F409" s="201">
        <f>'[4]Pel Non PO'!F197</f>
        <v>0</v>
      </c>
      <c r="G409" s="202">
        <f t="shared" si="89"/>
        <v>0</v>
      </c>
      <c r="H409" s="151">
        <f>IF(AND(F409=0,G409&gt;0),"n/a",IF(F409=0,0,100*G409/F409))</f>
        <v>0</v>
      </c>
      <c r="I409" s="201">
        <f>IF(F409="*","*",F409-G409)</f>
        <v>0</v>
      </c>
      <c r="J409" s="202">
        <f>'[4]Pel Non PO'!J197</f>
        <v>0</v>
      </c>
      <c r="K409" s="202">
        <f>'[4]Pel Non PO'!K197</f>
        <v>0</v>
      </c>
      <c r="L409" s="202">
        <f>'[4]Pel Non PO'!L197</f>
        <v>0</v>
      </c>
      <c r="M409" s="202">
        <f>'[4]Pel Non PO'!M197</f>
        <v>0</v>
      </c>
      <c r="N409" s="11" t="str">
        <f>IF(C409="*","*",IF(C409&gt;0,M409/C409*100,"-"))</f>
        <v>-</v>
      </c>
      <c r="O409" s="202">
        <f>IF(C409="*","*",SUM(J409:M409)/4)</f>
        <v>0</v>
      </c>
      <c r="P409" s="41" t="str">
        <f>IF(ISNUMBER(VLOOKUP(B409,[4]CLOSURES!B:BI,16,FALSE)),TEXT(VLOOKUP(B409,[4]CLOSURES!B:BI,16,FALSE),"ddmmm"),IF(F409&lt;=0,0,IF(I409&lt;=0,0,IF(AND(F409&gt;0,O409&lt;=0),"&gt;52",IF(I409/O409&gt;52,"&gt;52", MAX(0,I409/O409-2))))))</f>
        <v>01Jan</v>
      </c>
      <c r="Q409" s="158"/>
    </row>
    <row r="410" spans="1:254" ht="10.75" hidden="1" customHeight="1" x14ac:dyDescent="0.3">
      <c r="A410" s="158"/>
      <c r="B410" s="44" t="s">
        <v>88</v>
      </c>
      <c r="C410" s="130">
        <f>'[5]Maj Pel Combined'!$O$33</f>
        <v>0</v>
      </c>
      <c r="D410" s="202">
        <f>D686+D726+D766+D806+D846</f>
        <v>0</v>
      </c>
      <c r="E410" s="200">
        <f>F410-C410</f>
        <v>0</v>
      </c>
      <c r="F410" s="201">
        <f>F686+F726+F766+F806+F846</f>
        <v>0</v>
      </c>
      <c r="G410" s="202"/>
      <c r="H410" s="151">
        <f>IF(AND(F410=0,G410&gt;0),"n/a",IF(F410=0,0,100*G410/F410))</f>
        <v>0</v>
      </c>
      <c r="I410" s="201">
        <f>IF(F410="*","*",F410-G410)</f>
        <v>0</v>
      </c>
      <c r="J410" s="202">
        <f>'[4]Pel Non PO'!J198</f>
        <v>0</v>
      </c>
      <c r="K410" s="202">
        <f>'[4]Pel Non PO'!K198</f>
        <v>0</v>
      </c>
      <c r="L410" s="202">
        <f>'[4]Pel Non PO'!L198</f>
        <v>0</v>
      </c>
      <c r="M410" s="202">
        <f>'[4]Pel Non PO'!M198</f>
        <v>0</v>
      </c>
      <c r="N410" s="11" t="s">
        <v>64</v>
      </c>
      <c r="O410" s="202">
        <f>IF(C410="*","*",SUM(J410:M410)/4)</f>
        <v>0</v>
      </c>
      <c r="P410" s="41" t="str">
        <f>IF(ISNUMBER(VLOOKUP(B410,[4]CLOSURES!B:BI,16,FALSE)),TEXT(VLOOKUP(B410,[4]CLOSURES!B:BI,16,FALSE),"ddmmm"),IF(F410&lt;=0,0,IF(I410&lt;=0,0,IF(AND(F410&gt;0,O410&lt;=0),"&gt;52",IF(I410/O410&gt;52,"&gt;52", MAX(0,I410/O410-2))))))</f>
        <v>01Jan</v>
      </c>
      <c r="Q410" s="158"/>
    </row>
    <row r="411" spans="1:254" ht="10.75" hidden="1" customHeight="1" x14ac:dyDescent="0.3">
      <c r="A411" s="158"/>
      <c r="B411" s="44" t="s">
        <v>89</v>
      </c>
      <c r="C411" s="130">
        <f>'[4]Pel Non PO'!C204</f>
        <v>0</v>
      </c>
      <c r="D411" s="200">
        <f>'[4]Pel Non PO'!D204</f>
        <v>0</v>
      </c>
      <c r="E411" s="200">
        <f>F411-C411</f>
        <v>0</v>
      </c>
      <c r="F411" s="201">
        <f>'[4]Pel Non PO'!F204</f>
        <v>0</v>
      </c>
      <c r="G411" s="202">
        <f t="shared" si="89"/>
        <v>0</v>
      </c>
      <c r="H411" s="151">
        <f>IF(AND(F411=0,G411&gt;0),"n/a",IF(F411=0,0,100*G411/F411))</f>
        <v>0</v>
      </c>
      <c r="I411" s="201">
        <f>IF(F411="*","*",F411-G411)</f>
        <v>0</v>
      </c>
      <c r="J411" s="202">
        <f>'[4]Pel Non PO'!J204</f>
        <v>0</v>
      </c>
      <c r="K411" s="202">
        <f>'[4]Pel Non PO'!K204</f>
        <v>0</v>
      </c>
      <c r="L411" s="202">
        <f>'[4]Pel Non PO'!L204</f>
        <v>0</v>
      </c>
      <c r="M411" s="202">
        <f>'[4]Pel Non PO'!M204</f>
        <v>0</v>
      </c>
      <c r="N411" s="11" t="str">
        <f>IF(C411="*","*",IF(C411&gt;0,M411/C411*100,"-"))</f>
        <v>-</v>
      </c>
      <c r="O411" s="202">
        <f>IF(C411="*","*",SUM(J411:M411)/4)</f>
        <v>0</v>
      </c>
      <c r="P411" s="41" t="str">
        <f>IF(ISNUMBER(VLOOKUP(B411,[4]CLOSURES!B:BI,16,FALSE)),TEXT(VLOOKUP(B411,[4]CLOSURES!B:BI,16,FALSE),"ddmmm"),IF(F411&lt;=0,0,IF(I411&lt;=0,0,IF(AND(F411&gt;0,O411&lt;=0),"&gt;52",IF(I411/O411&gt;52,"&gt;52", MAX(0,I411/O411-2))))))</f>
        <v>01Jan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f>C689+C729+C769+C809+C849</f>
        <v>0</v>
      </c>
      <c r="D413" s="200"/>
      <c r="E413" s="200"/>
      <c r="F413" s="201">
        <f>C413</f>
        <v>0</v>
      </c>
      <c r="G413" s="202"/>
      <c r="H413" s="151"/>
      <c r="I413" s="201">
        <f>F413</f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f>C407+SUM(C409:C413)</f>
        <v>0</v>
      </c>
      <c r="D414" s="131">
        <f>D407+SUM(D409:D413)</f>
        <v>0</v>
      </c>
      <c r="E414" s="131">
        <f>E407+SUM(E409:E413)</f>
        <v>0</v>
      </c>
      <c r="F414" s="132">
        <f>F407+SUM(F409:F413)</f>
        <v>0</v>
      </c>
      <c r="G414" s="131">
        <f>G407+SUM(G409:G413)</f>
        <v>0</v>
      </c>
      <c r="H414" s="156">
        <f>IF(AND(F414=0,G414&gt;0),"n/a",IF(F414=0,0,100*G414/F414))</f>
        <v>0</v>
      </c>
      <c r="I414" s="132">
        <f>IF(F414="*","*",F414-G414)</f>
        <v>0</v>
      </c>
      <c r="J414" s="131">
        <f>J407+SUM(J409:J411)</f>
        <v>0</v>
      </c>
      <c r="K414" s="131">
        <f>K407+SUM(K409:K411)</f>
        <v>0</v>
      </c>
      <c r="L414" s="131">
        <f>L407+SUM(L409:L411)</f>
        <v>0</v>
      </c>
      <c r="M414" s="131">
        <f>M407+SUM(M409:M411)</f>
        <v>0</v>
      </c>
      <c r="N414" s="53" t="str">
        <f>IF(C414="*","*",IF(C414&gt;0,M414/C414*100,"-"))</f>
        <v>-</v>
      </c>
      <c r="O414" s="131">
        <f>IF(C414="*","*",SUM(J414:M414)/4)</f>
        <v>0</v>
      </c>
      <c r="P414" s="49" t="str">
        <f>IF(ISNUMBER(VLOOKUP(B414,[4]CLOSURES!B:BI,16,FALSE)),TEXT(VLOOKUP(B414,[4]CLOSURES!B:BI,16,FALSE),"ddmmm"),IF(F414&lt;=0,0,IF(I414&lt;=0,0,IF(AND(F414&gt;0,O414&lt;=0),"&gt;52",IF(I414/O414&gt;52,"&gt;52", MAX(0,I414/O414-2))))))</f>
        <v>01Jan</v>
      </c>
      <c r="Q414" s="158"/>
    </row>
    <row r="415" spans="1:254" ht="10.75" hidden="1" customHeight="1" x14ac:dyDescent="0.3">
      <c r="B415" s="163" t="str">
        <f>B83</f>
        <v>Number of Weeks to end of year is 2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tr">
        <f>B84</f>
        <v>Estimated weeks left after applying 4 week average to amount left, and subtracting 2 weeks to account for lags in recording.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f>$J7</f>
        <v>44895</v>
      </c>
      <c r="K422" s="33">
        <f>$K7</f>
        <v>44902</v>
      </c>
      <c r="L422" s="33">
        <f>$L7</f>
        <v>44909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f>'[5]Maj Pel Combined'!$K$23</f>
        <v>7992.0060000000003</v>
      </c>
      <c r="D425" s="200">
        <f>F425-VLOOKUP(B425,[4]quotas!$B$85:$W$120,19,FALSE)</f>
        <v>0</v>
      </c>
      <c r="E425" s="200">
        <f t="shared" ref="E425:E454" si="91">F425-C425</f>
        <v>-2702</v>
      </c>
      <c r="F425" s="201">
        <f>VLOOKUP(B425,[4]quotas!$B$46:$W$84,19,FALSE)</f>
        <v>5290.0060000000003</v>
      </c>
      <c r="G425" s="202">
        <f>VLOOKUP(B425,[4]Cumulative!$A$56:$X$91,20,FALSE)</f>
        <v>5289.58</v>
      </c>
      <c r="H425" s="151">
        <f>IF(AND(F425=0,G425&gt;0),"n/a",IF(F425=0,0,100*G425/F425))</f>
        <v>99.991947079077036</v>
      </c>
      <c r="I425" s="201">
        <f>IF(F425="*","*",F425-G425)</f>
        <v>0.42600000000038563</v>
      </c>
      <c r="J425" s="202">
        <f>VLOOKUP(B425,[4]Weeks!$A$125:$X$161,20,FALSE)-VLOOKUP(B425,[4]Weeks!$A$165:$X$200,20,FALSE)</f>
        <v>0</v>
      </c>
      <c r="K425" s="202">
        <f>VLOOKUP(B425,[4]Weeks!$A$85:$X$121,20,FALSE)-VLOOKUP(B425,[4]Weeks!$A$125:$X$161,20,FALSE)</f>
        <v>0</v>
      </c>
      <c r="L425" s="202">
        <f>VLOOKUP(B425,[4]Weeks!$A$44:$X$81,20,FALSE)-VLOOKUP(B425,[4]Weeks!$A$85:$X$121,20,FALSE)</f>
        <v>0</v>
      </c>
      <c r="M425" s="202">
        <f>VLOOKUP(B425,[4]Weeks!$A$3:$X$39,20,FALSE)-VLOOKUP(B425,[4]Weeks!$A$44:$X$81,20,FALSE)</f>
        <v>0</v>
      </c>
      <c r="N425" s="11">
        <f t="shared" ref="N425:N435" si="92">IF(C425="*","*",IF(C425&gt;0,M425/C425*100,"-"))</f>
        <v>0</v>
      </c>
      <c r="O425" s="202">
        <f t="shared" ref="O425:O434" si="93">IF(C425="*","*",SUM(J425:M425)/4)</f>
        <v>0</v>
      </c>
      <c r="P425" s="41" t="str">
        <f>IF(ISNUMBER(VLOOKUP(B425,[4]CLOSURES!B:BI,19,FALSE)),TEXT(VLOOKUP(B425,[4]CLOSURES!B:BI,19,FALSE),"ddmmm"),IF(F425&lt;=0,0,IF(I425&lt;=0,0,IF(AND(F425&gt;0,O425&lt;=0),"&gt;52",IF(I425/O425&gt;52,"&gt;52", MAX(0,I425/O425-2))))))</f>
        <v>&gt;52</v>
      </c>
      <c r="R425" s="153"/>
    </row>
    <row r="426" spans="2:18" s="158" customFormat="1" ht="10.75" customHeight="1" x14ac:dyDescent="0.3">
      <c r="B426" s="40" t="s">
        <v>63</v>
      </c>
      <c r="C426" s="130">
        <f>'[5]Maj Pel Combined'!$K$16</f>
        <v>0</v>
      </c>
      <c r="D426" s="200">
        <f>F426-VLOOKUP(B426,[4]quotas!$B$85:$W$120,19,FALSE)</f>
        <v>0</v>
      </c>
      <c r="E426" s="200">
        <f t="shared" si="91"/>
        <v>0</v>
      </c>
      <c r="F426" s="201">
        <f>VLOOKUP(B426,[4]quotas!$B$46:$W$84,19,FALSE)</f>
        <v>0</v>
      </c>
      <c r="G426" s="202">
        <f>VLOOKUP(B426,[4]Cumulative!$A$56:$X$91,20,FALSE)</f>
        <v>0.02</v>
      </c>
      <c r="H426" s="151" t="str">
        <f t="shared" ref="H426:H457" si="94">IF(AND(F426=0,G426&gt;0),"n/a",IF(F426=0,0,100*G426/F426))</f>
        <v>n/a</v>
      </c>
      <c r="I426" s="201">
        <f t="shared" ref="I426:I454" si="95">IF(F426="*","*",F426-G426)</f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f t="shared" si="93"/>
        <v>0</v>
      </c>
      <c r="P426" s="41" t="str">
        <f>IF(ISNUMBER(VLOOKUP(B426,[4]CLOSURES!B:BI,19,FALSE)),TEXT(VLOOKUP(B426,[4]CLOSURES!B:BI,19,FALSE),"ddmmm"),IF(F426&lt;=0,0,IF(I426&lt;=0,0,IF(AND(F426&gt;0,O426&lt;=0),"&gt;52",IF(I426/O426&gt;52,"&gt;52", MAX(0,I426/O426-2))))))</f>
        <v>01Jan</v>
      </c>
      <c r="R426" s="153"/>
    </row>
    <row r="427" spans="2:18" s="158" customFormat="1" ht="10.75" customHeight="1" x14ac:dyDescent="0.3">
      <c r="B427" s="40" t="s">
        <v>65</v>
      </c>
      <c r="C427" s="130">
        <f>'[5]Maj Pel Combined'!$K$20</f>
        <v>223.5</v>
      </c>
      <c r="D427" s="200">
        <f>F427-VLOOKUP(B427,[4]quotas!$B$85:$W$120,19,FALSE)</f>
        <v>0</v>
      </c>
      <c r="E427" s="200">
        <f t="shared" si="91"/>
        <v>-220</v>
      </c>
      <c r="F427" s="201">
        <f>VLOOKUP(B427,[4]quotas!$B$46:$W$84,19,FALSE)</f>
        <v>3.5</v>
      </c>
      <c r="G427" s="202">
        <f>VLOOKUP(B427,[4]Cumulative!$A$56:$X$91,20,FALSE)</f>
        <v>0</v>
      </c>
      <c r="H427" s="151">
        <f t="shared" si="94"/>
        <v>0</v>
      </c>
      <c r="I427" s="201">
        <f t="shared" si="95"/>
        <v>3.5</v>
      </c>
      <c r="J427" s="202">
        <f>VLOOKUP(B427,[4]Weeks!$A$125:$X$161,20,FALSE)-VLOOKUP(B427,[4]Weeks!$A$165:$X$200,20,FALSE)</f>
        <v>0</v>
      </c>
      <c r="K427" s="202">
        <f>VLOOKUP(B427,[4]Weeks!$A$85:$X$121,20,FALSE)-VLOOKUP(B427,[4]Weeks!$A$125:$X$161,20,FALSE)</f>
        <v>0</v>
      </c>
      <c r="L427" s="202">
        <f>VLOOKUP(B427,[4]Weeks!$A$44:$X$81,20,FALSE)-VLOOKUP(B427,[4]Weeks!$A$85:$X$121,20,FALSE)</f>
        <v>0</v>
      </c>
      <c r="M427" s="202">
        <f>VLOOKUP(B427,[4]Weeks!$A$3:$X$39,20,FALSE)-VLOOKUP(B427,[4]Weeks!$A$44:$X$81,20,FALSE)</f>
        <v>0</v>
      </c>
      <c r="N427" s="11">
        <f t="shared" si="92"/>
        <v>0</v>
      </c>
      <c r="O427" s="202">
        <f t="shared" si="93"/>
        <v>0</v>
      </c>
      <c r="P427" s="41" t="str">
        <f>IF(ISNUMBER(VLOOKUP(B427,[4]CLOSURES!B:BI,19,FALSE)),TEXT(VLOOKUP(B427,[4]CLOSURES!B:BI,19,FALSE),"ddmmm"),IF(F427&lt;=0,0,IF(I427&lt;=0,0,IF(AND(F427&gt;0,O427&lt;=0),"&gt;52",IF(I427/O427&gt;52,"&gt;52", MAX(0,I427/O427-2))))))</f>
        <v>01Jan</v>
      </c>
      <c r="R427" s="153"/>
    </row>
    <row r="428" spans="2:18" s="158" customFormat="1" ht="10.75" customHeight="1" x14ac:dyDescent="0.3">
      <c r="B428" s="40" t="s">
        <v>66</v>
      </c>
      <c r="C428" s="130">
        <f>'[5]Maj Pel Combined'!$K$24</f>
        <v>12840.3</v>
      </c>
      <c r="D428" s="200">
        <f>F428-VLOOKUP(B428,[4]quotas!$B$85:$W$120,19,FALSE)</f>
        <v>0</v>
      </c>
      <c r="E428" s="200">
        <f t="shared" si="91"/>
        <v>-4084.7000000000007</v>
      </c>
      <c r="F428" s="201">
        <f>VLOOKUP(B428,[4]quotas!$B$46:$W$84,19,FALSE)</f>
        <v>8755.5999999999985</v>
      </c>
      <c r="G428" s="202">
        <f>VLOOKUP(B428,[4]Cumulative!$A$56:$X$91,20,FALSE)</f>
        <v>8768.7099999999991</v>
      </c>
      <c r="H428" s="151">
        <f t="shared" si="94"/>
        <v>100.14973274247339</v>
      </c>
      <c r="I428" s="201">
        <f t="shared" si="95"/>
        <v>-13.110000000000582</v>
      </c>
      <c r="J428" s="202">
        <f>VLOOKUP(B428,[4]Weeks!$A$125:$X$161,20,FALSE)-VLOOKUP(B428,[4]Weeks!$A$165:$X$200,20,FALSE)</f>
        <v>0</v>
      </c>
      <c r="K428" s="202">
        <f>VLOOKUP(B428,[4]Weeks!$A$85:$X$121,20,FALSE)-VLOOKUP(B428,[4]Weeks!$A$125:$X$161,20,FALSE)</f>
        <v>0</v>
      </c>
      <c r="L428" s="202">
        <f>VLOOKUP(B428,[4]Weeks!$A$44:$X$81,20,FALSE)-VLOOKUP(B428,[4]Weeks!$A$85:$X$121,20,FALSE)</f>
        <v>0</v>
      </c>
      <c r="M428" s="202">
        <f>VLOOKUP(B428,[4]Weeks!$A$3:$X$39,20,FALSE)-VLOOKUP(B428,[4]Weeks!$A$44:$X$81,20,FALSE)</f>
        <v>0</v>
      </c>
      <c r="N428" s="11">
        <f t="shared" si="92"/>
        <v>0</v>
      </c>
      <c r="O428" s="202">
        <f t="shared" si="93"/>
        <v>0</v>
      </c>
      <c r="P428" s="41">
        <f>IF(ISNUMBER(VLOOKUP(B428,[4]CLOSURES!B:BI,19,FALSE)),TEXT(VLOOKUP(B428,[4]CLOSURES!B:BI,19,FALSE),"ddmmm"),IF(F428&lt;=0,0,IF(I428&lt;=0,0,IF(AND(F428&gt;0,O428&lt;=0),"&gt;52",IF(I428/O428&gt;52,"&gt;52", MAX(0,I428/O428-2))))))</f>
        <v>0</v>
      </c>
      <c r="R428" s="153"/>
    </row>
    <row r="429" spans="2:18" s="158" customFormat="1" ht="10.75" customHeight="1" x14ac:dyDescent="0.3">
      <c r="B429" s="40" t="s">
        <v>67</v>
      </c>
      <c r="C429" s="130">
        <f>'[5]Maj Pel Combined'!$K$17</f>
        <v>0</v>
      </c>
      <c r="D429" s="200">
        <f>F429-VLOOKUP(B429,[4]quotas!$B$85:$W$120,19,FALSE)</f>
        <v>0</v>
      </c>
      <c r="E429" s="200">
        <f>F429-C429</f>
        <v>0</v>
      </c>
      <c r="F429" s="201">
        <f>VLOOKUP(B429,[4]quotas!$B$46:$W$84,19,FALSE)</f>
        <v>0</v>
      </c>
      <c r="G429" s="202">
        <f>VLOOKUP(B429,[4]Cumulative!$A$56:$X$91,20,FALSE)</f>
        <v>0</v>
      </c>
      <c r="H429" s="151">
        <f>IF(AND(F429=0,G429&gt;0),"n/a",IF(F429=0,0,100*G429/F429))</f>
        <v>0</v>
      </c>
      <c r="I429" s="201">
        <f>IF(F429="*","*",F429-G429)</f>
        <v>0</v>
      </c>
      <c r="J429" s="202">
        <f>VLOOKUP(B429,[4]Weeks!$A$125:$X$161,20,FALSE)-VLOOKUP(B429,[4]Weeks!$A$165:$X$200,20,FALSE)</f>
        <v>0</v>
      </c>
      <c r="K429" s="202">
        <f>VLOOKUP(B429,[4]Weeks!$A$85:$X$121,20,FALSE)-VLOOKUP(B429,[4]Weeks!$A$125:$X$161,20,FALSE)</f>
        <v>0</v>
      </c>
      <c r="L429" s="202">
        <f>VLOOKUP(B429,[4]Weeks!$A$44:$X$81,20,FALSE)-VLOOKUP(B429,[4]Weeks!$A$85:$X$121,20,FALSE)</f>
        <v>0</v>
      </c>
      <c r="M429" s="202">
        <f>VLOOKUP(B429,[4]Weeks!$A$3:$X$39,20,FALSE)-VLOOKUP(B429,[4]Weeks!$A$44:$X$81,20,FALSE)</f>
        <v>0</v>
      </c>
      <c r="N429" s="11" t="str">
        <f>IF(C429="*","*",IF(C429&gt;0,M429/C429*100,"-"))</f>
        <v>-</v>
      </c>
      <c r="O429" s="202">
        <f t="shared" si="93"/>
        <v>0</v>
      </c>
      <c r="P429" s="41" t="str">
        <f>IF(ISNUMBER(VLOOKUP(B429,[4]CLOSURES!B:BI,19,FALSE)),TEXT(VLOOKUP(B429,[4]CLOSURES!B:BI,19,FALSE),"ddmmm"),IF(F429&lt;=0,0,IF(I429&lt;=0,0,IF(AND(F429&gt;0,O429&lt;=0),"&gt;52",IF(I429/O429&gt;52,"&gt;52", MAX(0,I429/O429-2))))))</f>
        <v>01Jan</v>
      </c>
      <c r="R429" s="153"/>
    </row>
    <row r="430" spans="2:18" s="158" customFormat="1" ht="10.75" customHeight="1" x14ac:dyDescent="0.3">
      <c r="B430" s="40" t="s">
        <v>68</v>
      </c>
      <c r="C430" s="130">
        <f>'[5]Maj Pel Combined'!$K$25</f>
        <v>0</v>
      </c>
      <c r="D430" s="200">
        <f>F430-VLOOKUP(B430,[4]quotas!$B$85:$W$120,19,FALSE)</f>
        <v>0</v>
      </c>
      <c r="E430" s="200">
        <f t="shared" si="91"/>
        <v>0</v>
      </c>
      <c r="F430" s="201">
        <f>VLOOKUP(B430,[4]quotas!$B$46:$W$84,19,FALSE)</f>
        <v>0</v>
      </c>
      <c r="G430" s="202">
        <f>VLOOKUP(B430,[4]Cumulative!$A$56:$X$91,20,FALSE)</f>
        <v>0</v>
      </c>
      <c r="H430" s="151">
        <f t="shared" si="94"/>
        <v>0</v>
      </c>
      <c r="I430" s="201">
        <f t="shared" si="95"/>
        <v>0</v>
      </c>
      <c r="J430" s="202">
        <f>VLOOKUP(B430,[4]Weeks!$A$125:$X$161,20,FALSE)-VLOOKUP(B430,[4]Weeks!$A$165:$X$200,20,FALSE)</f>
        <v>0</v>
      </c>
      <c r="K430" s="202">
        <f>VLOOKUP(B430,[4]Weeks!$A$85:$X$121,20,FALSE)-VLOOKUP(B430,[4]Weeks!$A$125:$X$161,20,FALSE)</f>
        <v>0</v>
      </c>
      <c r="L430" s="202">
        <f>VLOOKUP(B430,[4]Weeks!$A$44:$X$81,20,FALSE)-VLOOKUP(B430,[4]Weeks!$A$85:$X$121,20,FALSE)</f>
        <v>0</v>
      </c>
      <c r="M430" s="202">
        <f>VLOOKUP(B430,[4]Weeks!$A$3:$X$39,20,FALSE)-VLOOKUP(B430,[4]Weeks!$A$44:$X$81,20,FALSE)</f>
        <v>0</v>
      </c>
      <c r="N430" s="11" t="str">
        <f t="shared" si="92"/>
        <v>-</v>
      </c>
      <c r="O430" s="202">
        <f t="shared" si="93"/>
        <v>0</v>
      </c>
      <c r="P430" s="41" t="str">
        <f>IF(ISNUMBER(VLOOKUP(B430,[4]CLOSURES!B:BI,19,FALSE)),TEXT(VLOOKUP(B430,[4]CLOSURES!B:BI,19,FALSE),"ddmmm"),IF(F430&lt;=0,0,IF(I430&lt;=0,0,IF(AND(F430&gt;0,O430&lt;=0),"&gt;52",IF(I430/O430&gt;52,"&gt;52", MAX(0,I430/O430-2))))))</f>
        <v>01Jan</v>
      </c>
      <c r="R430" s="153"/>
    </row>
    <row r="431" spans="2:18" s="158" customFormat="1" ht="10.75" customHeight="1" x14ac:dyDescent="0.3">
      <c r="B431" s="40" t="s">
        <v>69</v>
      </c>
      <c r="C431" s="130">
        <f>'[5]Maj Pel Combined'!$K$22</f>
        <v>0</v>
      </c>
      <c r="D431" s="200">
        <f>F431-VLOOKUP(B431,[4]quotas!$B$85:$W$120,19,FALSE)</f>
        <v>0</v>
      </c>
      <c r="E431" s="200">
        <f t="shared" si="91"/>
        <v>0</v>
      </c>
      <c r="F431" s="201">
        <f>VLOOKUP(B431,[4]quotas!$B$46:$W$84,19,FALSE)</f>
        <v>0</v>
      </c>
      <c r="G431" s="202">
        <f>VLOOKUP(B431,[4]Cumulative!$A$56:$X$91,20,FALSE)</f>
        <v>0</v>
      </c>
      <c r="H431" s="151">
        <f t="shared" si="94"/>
        <v>0</v>
      </c>
      <c r="I431" s="201">
        <f t="shared" si="95"/>
        <v>0</v>
      </c>
      <c r="J431" s="202">
        <f>VLOOKUP(B431,[4]Weeks!$A$125:$X$161,20,FALSE)-VLOOKUP(B431,[4]Weeks!$A$165:$X$200,20,FALSE)</f>
        <v>0</v>
      </c>
      <c r="K431" s="202">
        <f>VLOOKUP(B431,[4]Weeks!$A$85:$X$121,20,FALSE)-VLOOKUP(B431,[4]Weeks!$A$125:$X$161,20,FALSE)</f>
        <v>0</v>
      </c>
      <c r="L431" s="202">
        <f>VLOOKUP(B431,[4]Weeks!$A$44:$X$81,20,FALSE)-VLOOKUP(B431,[4]Weeks!$A$85:$X$121,20,FALSE)</f>
        <v>0</v>
      </c>
      <c r="M431" s="202">
        <f>VLOOKUP(B431,[4]Weeks!$A$3:$X$39,20,FALSE)-VLOOKUP(B431,[4]Weeks!$A$44:$X$81,20,FALSE)</f>
        <v>0</v>
      </c>
      <c r="N431" s="11" t="str">
        <f t="shared" si="92"/>
        <v>-</v>
      </c>
      <c r="O431" s="202">
        <f t="shared" si="93"/>
        <v>0</v>
      </c>
      <c r="P431" s="41" t="str">
        <f>IF(ISNUMBER(VLOOKUP(B431,[4]CLOSURES!B:BI,19,FALSE)),TEXT(VLOOKUP(B431,[4]CLOSURES!B:BI,19,FALSE),"ddmmm"),IF(F431&lt;=0,0,IF(I431&lt;=0,0,IF(AND(F431&gt;0,O431&lt;=0),"&gt;52",IF(I431/O431&gt;52,"&gt;52", MAX(0,I431/O431-2))))))</f>
        <v>01Jan</v>
      </c>
      <c r="R431" s="153"/>
    </row>
    <row r="432" spans="2:18" s="158" customFormat="1" ht="10.75" customHeight="1" x14ac:dyDescent="0.3">
      <c r="B432" s="40" t="s">
        <v>70</v>
      </c>
      <c r="C432" s="130">
        <f>'[5]Maj Pel Combined'!$K$21</f>
        <v>2.6</v>
      </c>
      <c r="D432" s="200">
        <f>F432-VLOOKUP(B432,[4]quotas!$B$85:$W$120,19,FALSE)</f>
        <v>0</v>
      </c>
      <c r="E432" s="200">
        <f t="shared" si="91"/>
        <v>0</v>
      </c>
      <c r="F432" s="201">
        <f>VLOOKUP(B432,[4]quotas!$B$46:$W$84,19,FALSE)</f>
        <v>2.6</v>
      </c>
      <c r="G432" s="202">
        <f>VLOOKUP(B432,[4]Cumulative!$A$56:$X$91,20,FALSE)</f>
        <v>0</v>
      </c>
      <c r="H432" s="151">
        <f t="shared" si="94"/>
        <v>0</v>
      </c>
      <c r="I432" s="201">
        <f t="shared" si="95"/>
        <v>2.6</v>
      </c>
      <c r="J432" s="202">
        <f>VLOOKUP(B432,[4]Weeks!$A$125:$X$161,20,FALSE)-VLOOKUP(B432,[4]Weeks!$A$165:$X$200,20,FALSE)</f>
        <v>0</v>
      </c>
      <c r="K432" s="202">
        <f>VLOOKUP(B432,[4]Weeks!$A$85:$X$121,20,FALSE)-VLOOKUP(B432,[4]Weeks!$A$125:$X$161,20,FALSE)</f>
        <v>0</v>
      </c>
      <c r="L432" s="202">
        <f>VLOOKUP(B432,[4]Weeks!$A$44:$X$81,20,FALSE)-VLOOKUP(B432,[4]Weeks!$A$85:$X$121,20,FALSE)</f>
        <v>0</v>
      </c>
      <c r="M432" s="202">
        <f>VLOOKUP(B432,[4]Weeks!$A$3:$X$39,20,FALSE)-VLOOKUP(B432,[4]Weeks!$A$44:$X$81,20,FALSE)</f>
        <v>0</v>
      </c>
      <c r="N432" s="11">
        <f t="shared" si="92"/>
        <v>0</v>
      </c>
      <c r="O432" s="202">
        <f t="shared" si="93"/>
        <v>0</v>
      </c>
      <c r="P432" s="41" t="str">
        <f>IF(ISNUMBER(VLOOKUP(B432,[4]CLOSURES!B:BI,19,FALSE)),TEXT(VLOOKUP(B432,[4]CLOSURES!B:BI,19,FALSE),"ddmmm"),IF(F432&lt;=0,0,IF(I432&lt;=0,0,IF(AND(F432&gt;0,O432&lt;=0),"&gt;52",IF(I432/O432&gt;52,"&gt;52", MAX(0,I432/O432-2))))))</f>
        <v>01Jan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f>'[5]Maj Pel Combined'!$K$18</f>
        <v>8063.6</v>
      </c>
      <c r="D433" s="200">
        <f>F433-VLOOKUP(B433,[4]quotas!$B$85:$W$120,19,FALSE)</f>
        <v>0</v>
      </c>
      <c r="E433" s="200">
        <f t="shared" si="91"/>
        <v>0</v>
      </c>
      <c r="F433" s="201">
        <f>VLOOKUP(B433,[4]quotas!$B$46:$W$84,19,FALSE)</f>
        <v>8063.6</v>
      </c>
      <c r="G433" s="202">
        <f>VLOOKUP(B433,[4]Cumulative!$A$56:$X$91,20,FALSE)</f>
        <v>8340.8000000000011</v>
      </c>
      <c r="H433" s="151">
        <f t="shared" si="94"/>
        <v>103.43767051937101</v>
      </c>
      <c r="I433" s="201">
        <f t="shared" si="95"/>
        <v>-277.20000000000073</v>
      </c>
      <c r="J433" s="202">
        <f>VLOOKUP(B433,[4]Weeks!$A$125:$X$161,20,FALSE)-VLOOKUP(B433,[4]Weeks!$A$165:$X$200,20,FALSE)</f>
        <v>0</v>
      </c>
      <c r="K433" s="202">
        <f>VLOOKUP(B433,[4]Weeks!$A$85:$X$121,20,FALSE)-VLOOKUP(B433,[4]Weeks!$A$125:$X$161,20,FALSE)</f>
        <v>0</v>
      </c>
      <c r="L433" s="202">
        <f>VLOOKUP(B433,[4]Weeks!$A$44:$X$81,20,FALSE)-VLOOKUP(B433,[4]Weeks!$A$85:$X$121,20,FALSE)</f>
        <v>0</v>
      </c>
      <c r="M433" s="202">
        <f>VLOOKUP(B433,[4]Weeks!$A$3:$X$39,20,FALSE)-VLOOKUP(B433,[4]Weeks!$A$44:$X$81,20,FALSE)</f>
        <v>0</v>
      </c>
      <c r="N433" s="11">
        <f t="shared" si="92"/>
        <v>0</v>
      </c>
      <c r="O433" s="202">
        <f t="shared" si="93"/>
        <v>0</v>
      </c>
      <c r="P433" s="41">
        <f>IF(ISNUMBER(VLOOKUP(B433,[4]CLOSURES!B:BI,19,FALSE)),TEXT(VLOOKUP(B433,[4]CLOSURES!B:BI,19,FALSE),"ddmmm"),IF(F433&lt;=0,0,IF(I433&lt;=0,0,IF(AND(F433&gt;0,O433&lt;=0),"&gt;52",IF(I433/O433&gt;52,"&gt;52", MAX(0,I433/O433-2))))))</f>
        <v>0</v>
      </c>
      <c r="R433" s="153"/>
    </row>
    <row r="434" spans="1:18" s="158" customFormat="1" ht="10.75" customHeight="1" x14ac:dyDescent="0.3">
      <c r="B434" s="40" t="s">
        <v>72</v>
      </c>
      <c r="C434" s="130">
        <f>'[5]Maj Pel Combined'!$K$19</f>
        <v>18934.690999999999</v>
      </c>
      <c r="D434" s="200">
        <f>F434-VLOOKUP(B434,[4]quotas!$B$85:$W$120,19,FALSE)</f>
        <v>0</v>
      </c>
      <c r="E434" s="200">
        <f t="shared" si="91"/>
        <v>0</v>
      </c>
      <c r="F434" s="201">
        <f>VLOOKUP(B434,[4]quotas!$B$46:$W$84,19,FALSE)</f>
        <v>18934.690999999999</v>
      </c>
      <c r="G434" s="202">
        <f>VLOOKUP(B434,[4]Cumulative!$A$56:$X$91,20,FALSE)</f>
        <v>19921.170000000002</v>
      </c>
      <c r="H434" s="151">
        <f t="shared" si="94"/>
        <v>105.20990281806027</v>
      </c>
      <c r="I434" s="201">
        <f t="shared" si="95"/>
        <v>-986.479000000003</v>
      </c>
      <c r="J434" s="202">
        <f>VLOOKUP(B434,[4]Weeks!$A$125:$X$161,20,FALSE)-VLOOKUP(B434,[4]Weeks!$A$165:$X$200,20,FALSE)</f>
        <v>0</v>
      </c>
      <c r="K434" s="202">
        <f>VLOOKUP(B434,[4]Weeks!$A$85:$X$121,20,FALSE)-VLOOKUP(B434,[4]Weeks!$A$125:$X$161,20,FALSE)</f>
        <v>0</v>
      </c>
      <c r="L434" s="202">
        <f>VLOOKUP(B434,[4]Weeks!$A$44:$X$81,20,FALSE)-VLOOKUP(B434,[4]Weeks!$A$85:$X$121,20,FALSE)</f>
        <v>0</v>
      </c>
      <c r="M434" s="202">
        <f>VLOOKUP(B434,[4]Weeks!$A$3:$X$39,20,FALSE)-VLOOKUP(B434,[4]Weeks!$A$44:$X$81,20,FALSE)</f>
        <v>0</v>
      </c>
      <c r="N434" s="11">
        <f t="shared" si="92"/>
        <v>0</v>
      </c>
      <c r="O434" s="202">
        <f t="shared" si="93"/>
        <v>0</v>
      </c>
      <c r="P434" s="41">
        <f>IF(ISNUMBER(VLOOKUP(B434,[4]CLOSURES!B:BI,19,FALSE)),TEXT(VLOOKUP(B434,[4]CLOSURES!B:BI,19,FALSE),"ddmmm"),IF(F434&lt;=0,0,IF(I434&lt;=0,0,IF(AND(F434&gt;0,O434&lt;=0),"&gt;52",IF(I434/O434&gt;52,"&gt;52", MAX(0,I434/O434-2))))))</f>
        <v>0</v>
      </c>
      <c r="R434" s="157"/>
    </row>
    <row r="435" spans="1:18" s="158" customFormat="1" ht="10.75" customHeight="1" x14ac:dyDescent="0.3">
      <c r="B435" s="43" t="s">
        <v>73</v>
      </c>
      <c r="C435" s="130">
        <f>SUM(C425:C434)</f>
        <v>48056.697</v>
      </c>
      <c r="D435" s="200">
        <f>SUM(D425:D434)</f>
        <v>0</v>
      </c>
      <c r="E435" s="200">
        <f t="shared" si="91"/>
        <v>-7006.6999999999971</v>
      </c>
      <c r="F435" s="201">
        <f>SUM(F425:F434)</f>
        <v>41049.997000000003</v>
      </c>
      <c r="G435" s="202">
        <f>SUM(G425:G434)</f>
        <v>42320.28</v>
      </c>
      <c r="H435" s="151">
        <f t="shared" si="94"/>
        <v>103.09447769265365</v>
      </c>
      <c r="I435" s="201">
        <f>SUM(I425:I434)</f>
        <v>-1270.283000000004</v>
      </c>
      <c r="J435" s="202">
        <f t="shared" ref="J435:O435" si="96">SUM(J425:J434)</f>
        <v>0</v>
      </c>
      <c r="K435" s="202">
        <f t="shared" si="96"/>
        <v>0</v>
      </c>
      <c r="L435" s="202">
        <f t="shared" si="96"/>
        <v>0</v>
      </c>
      <c r="M435" s="202">
        <f t="shared" si="96"/>
        <v>0</v>
      </c>
      <c r="N435" s="11">
        <f t="shared" si="92"/>
        <v>0</v>
      </c>
      <c r="O435" s="202">
        <f t="shared" si="96"/>
        <v>0</v>
      </c>
      <c r="P435" s="41">
        <f>IF(ISNUMBER(VLOOKUP(B435,[4]CLOSURES!B:BI,19,FALSE)),TEXT(VLOOKUP(B435,[4]CLOSURES!B:BI,19,FALSE),"ddmmm"),IF(F435&lt;=0,0,IF(I435&lt;=0,0,IF(AND(F435&gt;0,O435&lt;=0),"&gt;52",IF(I435/O435&gt;52,"&gt;52", MAX(0,I435/O435-2))))))</f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f>'[5]Maj Pel Combined'!$K$5</f>
        <v>0</v>
      </c>
      <c r="D437" s="200">
        <f>F437-VLOOKUP(B437,[4]quotas!$B$85:$W$120,19,FALSE)</f>
        <v>0</v>
      </c>
      <c r="E437" s="200">
        <f t="shared" si="91"/>
        <v>0</v>
      </c>
      <c r="F437" s="201">
        <f>VLOOKUP(B437,[4]quotas!$B$46:$W$84,19,FALSE)</f>
        <v>0</v>
      </c>
      <c r="G437" s="202">
        <f>VLOOKUP(B437,[4]Cumulative!$A$56:$X$91,20,FALSE)</f>
        <v>0</v>
      </c>
      <c r="H437" s="151">
        <f t="shared" si="94"/>
        <v>0</v>
      </c>
      <c r="I437" s="201">
        <f t="shared" si="95"/>
        <v>0</v>
      </c>
      <c r="J437" s="202">
        <f>VLOOKUP(B437,[4]Weeks!$A$125:$X$161,20,FALSE)-VLOOKUP(B437,[4]Weeks!$A$165:$X$200,20,FALSE)</f>
        <v>0</v>
      </c>
      <c r="K437" s="202">
        <f>VLOOKUP(B437,[4]Weeks!$A$85:$X$121,20,FALSE)-VLOOKUP(B437,[4]Weeks!$A$125:$X$161,20,FALSE)</f>
        <v>0</v>
      </c>
      <c r="L437" s="202">
        <f>VLOOKUP(B437,[4]Weeks!$A$44:$X$81,20,FALSE)-VLOOKUP(B437,[4]Weeks!$A$85:$X$121,20,FALSE)</f>
        <v>0</v>
      </c>
      <c r="M437" s="202">
        <f>VLOOKUP(B437,[4]Weeks!$A$3:$X$39,20,FALSE)-VLOOKUP(B437,[4]Weeks!$A$44:$X$81,20,FALSE)</f>
        <v>0</v>
      </c>
      <c r="N437" s="11" t="str">
        <f t="shared" ref="N437:N445" si="97">IF(C437="*","*",IF(C437&gt;0,M437/C437*100,"-"))</f>
        <v>-</v>
      </c>
      <c r="O437" s="202">
        <f t="shared" ref="O437:O448" si="98">IF(C437="*","*",SUM(J437:M437)/4)</f>
        <v>0</v>
      </c>
      <c r="P437" s="41" t="str">
        <f>IF(ISNUMBER(VLOOKUP(B437,[4]CLOSURES!B:BI,19,FALSE)),TEXT(VLOOKUP(B437,[4]CLOSURES!B:BI,19,FALSE),"ddmmm"),IF(F437&lt;=0,0,IF(I437&lt;=0,0,IF(AND(F437&gt;0,O437&lt;=0),"&gt;52",IF(I437/O437&gt;52,"&gt;52", MAX(0,I437/O437-2))))))</f>
        <v>01Jan</v>
      </c>
      <c r="R437" s="153"/>
    </row>
    <row r="438" spans="1:18" s="158" customFormat="1" ht="10.75" customHeight="1" x14ac:dyDescent="0.3">
      <c r="B438" s="40" t="s">
        <v>75</v>
      </c>
      <c r="C438" s="130">
        <f>'[5]Maj Pel Combined'!$K$7</f>
        <v>0</v>
      </c>
      <c r="D438" s="200">
        <f>F438-VLOOKUP(B438,[4]quotas!$B$85:$W$120,19,FALSE)</f>
        <v>0</v>
      </c>
      <c r="E438" s="200">
        <f>F438-C438</f>
        <v>0</v>
      </c>
      <c r="F438" s="201">
        <f>VLOOKUP(B438,[4]quotas!$B$46:$W$84,19,FALSE)</f>
        <v>0</v>
      </c>
      <c r="G438" s="202">
        <f>VLOOKUP(B438,[4]Cumulative!$A$56:$X$91,20,FALSE)</f>
        <v>0</v>
      </c>
      <c r="H438" s="151">
        <f>IF(AND(F438=0,G438&gt;0),"n/a",IF(F438=0,0,100*G438/F438))</f>
        <v>0</v>
      </c>
      <c r="I438" s="201">
        <f>IF(F438="*","*",F438-G438)</f>
        <v>0</v>
      </c>
      <c r="J438" s="202">
        <f>VLOOKUP(B438,[4]Weeks!$A$125:$X$161,20,FALSE)-VLOOKUP(B438,[4]Weeks!$A$165:$X$200,20,FALSE)</f>
        <v>0</v>
      </c>
      <c r="K438" s="202">
        <f>VLOOKUP(B438,[4]Weeks!$A$85:$X$121,20,FALSE)-VLOOKUP(B438,[4]Weeks!$A$125:$X$161,20,FALSE)</f>
        <v>0</v>
      </c>
      <c r="L438" s="202">
        <f>VLOOKUP(B438,[4]Weeks!$A$44:$X$81,20,FALSE)-VLOOKUP(B438,[4]Weeks!$A$85:$X$121,20,FALSE)</f>
        <v>0</v>
      </c>
      <c r="M438" s="202">
        <f>VLOOKUP(B438,[4]Weeks!$A$3:$X$39,20,FALSE)-VLOOKUP(B438,[4]Weeks!$A$44:$X$81,20,FALSE)</f>
        <v>0</v>
      </c>
      <c r="N438" s="11" t="str">
        <f>IF(C438="*","*",IF(C438&gt;0,M438/C438*100,"-"))</f>
        <v>-</v>
      </c>
      <c r="O438" s="202">
        <f>IF(C438="*","*",SUM(J438:M438)/4)</f>
        <v>0</v>
      </c>
      <c r="P438" s="41">
        <f>IF(ISNUMBER(VLOOKUP(B438,[4]CLOSURES!B:BI,19,FALSE)),TEXT(VLOOKUP(B438,[4]CLOSURES!B:BI,19,FALSE),"ddmmm"),IF(F438&lt;=0,0,IF(I438&lt;=0,0,IF(AND(F438&gt;0,O438&lt;=0),"&gt;52",IF(I438/O438&gt;52,"&gt;52", MAX(0,I438/O438-2))))))</f>
        <v>0</v>
      </c>
      <c r="R438" s="153"/>
    </row>
    <row r="439" spans="1:18" s="158" customFormat="1" ht="10.75" customHeight="1" x14ac:dyDescent="0.3">
      <c r="B439" s="40" t="s">
        <v>152</v>
      </c>
      <c r="C439" s="130">
        <f>'[5]Maj Pel Combined'!$K$8</f>
        <v>0</v>
      </c>
      <c r="D439" s="200">
        <f>F439-VLOOKUP(B439,[4]quotas!$B$85:$W$120,19,FALSE)</f>
        <v>0</v>
      </c>
      <c r="E439" s="200">
        <f>F439-C439</f>
        <v>0</v>
      </c>
      <c r="F439" s="201">
        <f>VLOOKUP(B439,[4]quotas!$B$46:$W$84,19,FALSE)</f>
        <v>0</v>
      </c>
      <c r="G439" s="202">
        <f>VLOOKUP(B439,[4]Cumulative!$A$56:$X$91,20,FALSE)</f>
        <v>0</v>
      </c>
      <c r="H439" s="151">
        <f>IF(AND(F439=0,G439&gt;0),"n/a",IF(F439=0,0,100*G439/F439))</f>
        <v>0</v>
      </c>
      <c r="I439" s="201">
        <f>IF(F439="*","*",F439-G439)</f>
        <v>0</v>
      </c>
      <c r="J439" s="202">
        <f>VLOOKUP(B439,[4]Weeks!$A$125:$X$161,20,FALSE)-VLOOKUP(B439,[4]Weeks!$A$165:$X$200,20,FALSE)</f>
        <v>0</v>
      </c>
      <c r="K439" s="202">
        <f>VLOOKUP(B439,[4]Weeks!$A$85:$X$121,20,FALSE)-VLOOKUP(B439,[4]Weeks!$A$125:$X$161,20,FALSE)</f>
        <v>0</v>
      </c>
      <c r="L439" s="202">
        <f>VLOOKUP(B439,[4]Weeks!$A$44:$X$81,20,FALSE)-VLOOKUP(B439,[4]Weeks!$A$85:$X$121,20,FALSE)</f>
        <v>0</v>
      </c>
      <c r="M439" s="202">
        <f>VLOOKUP(B439,[4]Weeks!$A$3:$X$39,20,FALSE)-VLOOKUP(B439,[4]Weeks!$A$44:$X$81,20,FALSE)</f>
        <v>0</v>
      </c>
      <c r="N439" s="11" t="str">
        <f>IF(C439="*","*",IF(C439&gt;0,M439/C439*100,"-"))</f>
        <v>-</v>
      </c>
      <c r="O439" s="202">
        <f>IF(C439="*","*",SUM(J439:M439)/4)</f>
        <v>0</v>
      </c>
      <c r="P439" s="41" t="str">
        <f>IF(ISNUMBER(VLOOKUP(B439,[4]CLOSURES!B:BI,19,FALSE)),TEXT(VLOOKUP(B439,[4]CLOSURES!B:BI,19,FALSE),"ddmmm"),IF(F439&lt;=0,0,IF(I439&lt;=0,0,IF(AND(F439&gt;0,O439&lt;=0),"&gt;52",IF(I439/O439&gt;52,"&gt;52", MAX(0,I439/O439-2))))))</f>
        <v>01Jan</v>
      </c>
      <c r="R439" s="153"/>
    </row>
    <row r="440" spans="1:18" s="158" customFormat="1" ht="10.75" customHeight="1" x14ac:dyDescent="0.3">
      <c r="B440" s="40" t="s">
        <v>76</v>
      </c>
      <c r="C440" s="130">
        <f>'[5]Maj Pel Combined'!$K$9</f>
        <v>1.24</v>
      </c>
      <c r="D440" s="200">
        <f>F440-VLOOKUP(B440,[4]quotas!$B$85:$W$120,19,FALSE)</f>
        <v>0</v>
      </c>
      <c r="E440" s="200">
        <f t="shared" si="91"/>
        <v>0</v>
      </c>
      <c r="F440" s="201">
        <f>VLOOKUP(B440,[4]quotas!$B$46:$W$84,19,FALSE)</f>
        <v>1.24</v>
      </c>
      <c r="G440" s="202">
        <f>VLOOKUP(B440,[4]Cumulative!$A$56:$X$91,20,FALSE)</f>
        <v>0</v>
      </c>
      <c r="H440" s="151">
        <f t="shared" si="94"/>
        <v>0</v>
      </c>
      <c r="I440" s="201">
        <f t="shared" si="95"/>
        <v>1.24</v>
      </c>
      <c r="J440" s="202">
        <f>VLOOKUP(B440,[4]Weeks!$A$125:$X$161,20,FALSE)-VLOOKUP(B440,[4]Weeks!$A$165:$X$200,20,FALSE)</f>
        <v>0</v>
      </c>
      <c r="K440" s="202">
        <f>VLOOKUP(B440,[4]Weeks!$A$85:$X$121,20,FALSE)-VLOOKUP(B440,[4]Weeks!$A$125:$X$161,20,FALSE)</f>
        <v>0</v>
      </c>
      <c r="L440" s="202">
        <f>VLOOKUP(B440,[4]Weeks!$A$44:$X$81,20,FALSE)-VLOOKUP(B440,[4]Weeks!$A$85:$X$121,20,FALSE)</f>
        <v>0</v>
      </c>
      <c r="M440" s="202">
        <f>VLOOKUP(B440,[4]Weeks!$A$3:$X$39,20,FALSE)-VLOOKUP(B440,[4]Weeks!$A$44:$X$81,20,FALSE)</f>
        <v>0</v>
      </c>
      <c r="N440" s="11">
        <f t="shared" si="97"/>
        <v>0</v>
      </c>
      <c r="O440" s="202">
        <f t="shared" si="98"/>
        <v>0</v>
      </c>
      <c r="P440" s="41" t="str">
        <f>IF(ISNUMBER(VLOOKUP(B440,[4]CLOSURES!B:BI,19,FALSE)),TEXT(VLOOKUP(B440,[4]CLOSURES!B:BI,19,FALSE),"ddmmm"),IF(F440&lt;=0,0,IF(I440&lt;=0,0,IF(AND(F440&gt;0,O440&lt;=0),"&gt;52",IF(I440/O440&gt;52,"&gt;52", MAX(0,I440/O440-2))))))</f>
        <v>01Jan</v>
      </c>
      <c r="R440" s="153"/>
    </row>
    <row r="441" spans="1:18" s="158" customFormat="1" ht="10.75" customHeight="1" x14ac:dyDescent="0.3">
      <c r="B441" s="40" t="s">
        <v>77</v>
      </c>
      <c r="C441" s="130">
        <f>'[5]Maj Pel Combined'!$K$27</f>
        <v>0.23699999999999999</v>
      </c>
      <c r="D441" s="200">
        <f>F441-VLOOKUP(B441,[4]quotas!$B$85:$W$120,19,FALSE)</f>
        <v>0</v>
      </c>
      <c r="E441" s="200">
        <f t="shared" si="91"/>
        <v>0</v>
      </c>
      <c r="F441" s="201">
        <f>VLOOKUP(B441,[4]quotas!$B$46:$W$84,19,FALSE)</f>
        <v>0.23699999999999999</v>
      </c>
      <c r="G441" s="202">
        <f>VLOOKUP(B441,[4]Cumulative!$A$56:$X$91,20,FALSE)</f>
        <v>0</v>
      </c>
      <c r="H441" s="151">
        <f t="shared" si="94"/>
        <v>0</v>
      </c>
      <c r="I441" s="201">
        <f t="shared" si="95"/>
        <v>0.23699999999999999</v>
      </c>
      <c r="J441" s="202">
        <f>VLOOKUP(B441,[4]Weeks!$A$125:$X$161,20,FALSE)-VLOOKUP(B441,[4]Weeks!$A$165:$X$200,20,FALSE)</f>
        <v>0</v>
      </c>
      <c r="K441" s="202">
        <f>VLOOKUP(B441,[4]Weeks!$A$85:$X$121,20,FALSE)-VLOOKUP(B441,[4]Weeks!$A$125:$X$161,20,FALSE)</f>
        <v>0</v>
      </c>
      <c r="L441" s="202">
        <f>VLOOKUP(B441,[4]Weeks!$A$44:$X$81,20,FALSE)-VLOOKUP(B441,[4]Weeks!$A$85:$X$121,20,FALSE)</f>
        <v>0</v>
      </c>
      <c r="M441" s="202">
        <f>VLOOKUP(B441,[4]Weeks!$A$3:$X$39,20,FALSE)-VLOOKUP(B441,[4]Weeks!$A$44:$X$81,20,FALSE)</f>
        <v>0</v>
      </c>
      <c r="N441" s="11">
        <f t="shared" si="97"/>
        <v>0</v>
      </c>
      <c r="O441" s="202">
        <f t="shared" si="98"/>
        <v>0</v>
      </c>
      <c r="P441" s="41" t="str">
        <f>IF(ISNUMBER(VLOOKUP(B441,[4]CLOSURES!B:BI,19,FALSE)),TEXT(VLOOKUP(B441,[4]CLOSURES!B:BI,19,FALSE),"ddmmm"),IF(F441&lt;=0,0,IF(I441&lt;=0,0,IF(AND(F441&gt;0,O441&lt;=0),"&gt;52",IF(I441/O441&gt;52,"&gt;52", MAX(0,I441/O441-2))))))</f>
        <v>01Jan</v>
      </c>
      <c r="R441" s="153"/>
    </row>
    <row r="442" spans="1:18" s="158" customFormat="1" ht="10.75" customHeight="1" x14ac:dyDescent="0.3">
      <c r="B442" s="40" t="s">
        <v>78</v>
      </c>
      <c r="C442" s="130">
        <f>'[5]Maj Pel Combined'!$K$26</f>
        <v>2832.8629999999998</v>
      </c>
      <c r="D442" s="200">
        <f>F442-VLOOKUP(B442,[4]quotas!$B$85:$W$120,19,FALSE)</f>
        <v>0</v>
      </c>
      <c r="E442" s="200">
        <f t="shared" si="91"/>
        <v>-2832</v>
      </c>
      <c r="F442" s="201">
        <f>VLOOKUP(B442,[4]quotas!$B$46:$W$84,19,FALSE)</f>
        <v>0.86299999999982901</v>
      </c>
      <c r="G442" s="202">
        <f>VLOOKUP(B442,[4]Cumulative!$A$56:$X$91,20,FALSE)</f>
        <v>0</v>
      </c>
      <c r="H442" s="151">
        <f t="shared" si="94"/>
        <v>0</v>
      </c>
      <c r="I442" s="201">
        <f t="shared" si="95"/>
        <v>0.86299999999982901</v>
      </c>
      <c r="J442" s="202">
        <f>VLOOKUP(B442,[4]Weeks!$A$125:$X$161,20,FALSE)-VLOOKUP(B442,[4]Weeks!$A$165:$X$200,20,FALSE)</f>
        <v>0</v>
      </c>
      <c r="K442" s="202">
        <f>VLOOKUP(B442,[4]Weeks!$A$85:$X$121,20,FALSE)-VLOOKUP(B442,[4]Weeks!$A$125:$X$161,20,FALSE)</f>
        <v>0</v>
      </c>
      <c r="L442" s="202">
        <f>VLOOKUP(B442,[4]Weeks!$A$44:$X$81,20,FALSE)-VLOOKUP(B442,[4]Weeks!$A$85:$X$121,20,FALSE)</f>
        <v>0</v>
      </c>
      <c r="M442" s="202">
        <f>VLOOKUP(B442,[4]Weeks!$A$3:$X$39,20,FALSE)-VLOOKUP(B442,[4]Weeks!$A$44:$X$81,20,FALSE)</f>
        <v>0</v>
      </c>
      <c r="N442" s="11">
        <f t="shared" si="97"/>
        <v>0</v>
      </c>
      <c r="O442" s="202">
        <f t="shared" si="98"/>
        <v>0</v>
      </c>
      <c r="P442" s="41" t="str">
        <f>IF(ISNUMBER(VLOOKUP(B442,[4]CLOSURES!B:BI,19,FALSE)),TEXT(VLOOKUP(B442,[4]CLOSURES!B:BI,19,FALSE),"ddmmm"),IF(F442&lt;=0,0,IF(I442&lt;=0,0,IF(AND(F442&gt;0,O442&lt;=0),"&gt;52",IF(I442/O442&gt;52,"&gt;52", MAX(0,I442/O442-2))))))</f>
        <v>&gt;52</v>
      </c>
      <c r="R442" s="153"/>
    </row>
    <row r="443" spans="1:18" s="158" customFormat="1" ht="10.75" customHeight="1" x14ac:dyDescent="0.3">
      <c r="B443" s="40" t="s">
        <v>79</v>
      </c>
      <c r="C443" s="130">
        <f>'[5]Maj Pel Combined'!$K$6</f>
        <v>0</v>
      </c>
      <c r="D443" s="200">
        <f>F443-VLOOKUP(B443,[4]quotas!$B$85:$W$120,19,FALSE)</f>
        <v>0</v>
      </c>
      <c r="E443" s="200">
        <f t="shared" si="91"/>
        <v>0</v>
      </c>
      <c r="F443" s="201">
        <f>VLOOKUP(B443,[4]quotas!$B$46:$W$84,19,FALSE)</f>
        <v>0</v>
      </c>
      <c r="G443" s="202">
        <f>VLOOKUP(B443,[4]Cumulative!$A$56:$X$91,20,FALSE)</f>
        <v>0</v>
      </c>
      <c r="H443" s="151">
        <f t="shared" si="94"/>
        <v>0</v>
      </c>
      <c r="I443" s="201">
        <f t="shared" si="95"/>
        <v>0</v>
      </c>
      <c r="J443" s="202">
        <f>VLOOKUP(B443,[4]Weeks!$A$125:$X$161,20,FALSE)-VLOOKUP(B443,[4]Weeks!$A$165:$X$200,20,FALSE)</f>
        <v>0</v>
      </c>
      <c r="K443" s="202">
        <f>VLOOKUP(B443,[4]Weeks!$A$85:$X$121,20,FALSE)-VLOOKUP(B443,[4]Weeks!$A$125:$X$161,20,FALSE)</f>
        <v>0</v>
      </c>
      <c r="L443" s="202">
        <f>VLOOKUP(B443,[4]Weeks!$A$44:$X$81,20,FALSE)-VLOOKUP(B443,[4]Weeks!$A$85:$X$121,20,FALSE)</f>
        <v>0</v>
      </c>
      <c r="M443" s="202">
        <f>VLOOKUP(B443,[4]Weeks!$A$3:$X$39,20,FALSE)-VLOOKUP(B443,[4]Weeks!$A$44:$X$81,20,FALSE)</f>
        <v>0</v>
      </c>
      <c r="N443" s="11" t="str">
        <f t="shared" si="97"/>
        <v>-</v>
      </c>
      <c r="O443" s="202">
        <f t="shared" si="98"/>
        <v>0</v>
      </c>
      <c r="P443" s="41">
        <f>IF(ISNUMBER(VLOOKUP(B443,[4]CLOSURES!B:BI,19,FALSE)),TEXT(VLOOKUP(B443,[4]CLOSURES!B:BI,19,FALSE),"ddmmm"),IF(F443&lt;=0,0,IF(I443&lt;=0,0,IF(AND(F443&gt;0,O443&lt;=0),"&gt;52",IF(I443/O443&gt;52,"&gt;52", MAX(0,I443/O443-2))))))</f>
        <v>0</v>
      </c>
      <c r="R443" s="153"/>
    </row>
    <row r="444" spans="1:18" s="158" customFormat="1" ht="10.75" customHeight="1" x14ac:dyDescent="0.3">
      <c r="B444" s="40" t="s">
        <v>80</v>
      </c>
      <c r="C444" s="130">
        <f>'[5]Maj Pel Combined'!$K$14</f>
        <v>0</v>
      </c>
      <c r="D444" s="200">
        <f>F444-VLOOKUP(B444,[4]quotas!$B$85:$W$120,19,FALSE)</f>
        <v>0</v>
      </c>
      <c r="E444" s="200">
        <f t="shared" si="91"/>
        <v>0</v>
      </c>
      <c r="F444" s="201">
        <f>VLOOKUP(B444,[4]quotas!$B$46:$W$84,19,FALSE)</f>
        <v>0</v>
      </c>
      <c r="G444" s="202">
        <f>VLOOKUP(B444,[4]Cumulative!$A$56:$X$91,20,FALSE)</f>
        <v>0</v>
      </c>
      <c r="H444" s="151">
        <f t="shared" si="94"/>
        <v>0</v>
      </c>
      <c r="I444" s="201">
        <f t="shared" si="95"/>
        <v>0</v>
      </c>
      <c r="J444" s="202">
        <f>VLOOKUP(B444,[4]Weeks!$A$125:$X$161,20,FALSE)-VLOOKUP(B444,[4]Weeks!$A$165:$X$200,20,FALSE)</f>
        <v>0</v>
      </c>
      <c r="K444" s="202">
        <f>VLOOKUP(B444,[4]Weeks!$A$85:$X$121,20,FALSE)-VLOOKUP(B444,[4]Weeks!$A$125:$X$161,20,FALSE)</f>
        <v>0</v>
      </c>
      <c r="L444" s="202">
        <f>VLOOKUP(B444,[4]Weeks!$A$44:$X$81,20,FALSE)-VLOOKUP(B444,[4]Weeks!$A$85:$X$121,20,FALSE)</f>
        <v>0</v>
      </c>
      <c r="M444" s="202">
        <f>VLOOKUP(B444,[4]Weeks!$A$3:$X$39,20,FALSE)-VLOOKUP(B444,[4]Weeks!$A$44:$X$81,20,FALSE)</f>
        <v>0</v>
      </c>
      <c r="N444" s="11" t="str">
        <f t="shared" si="97"/>
        <v>-</v>
      </c>
      <c r="O444" s="202">
        <f t="shared" si="98"/>
        <v>0</v>
      </c>
      <c r="P444" s="41">
        <f>IF(ISNUMBER(VLOOKUP(B444,[4]CLOSURES!B:BI,19,FALSE)),TEXT(VLOOKUP(B444,[4]CLOSURES!B:BI,19,FALSE),"ddmmm"),IF(F444&lt;=0,0,IF(I444&lt;=0,0,IF(AND(F444&gt;0,O444&lt;=0),"&gt;52",IF(I444/O444&gt;52,"&gt;52", MAX(0,I444/O444-2))))))</f>
        <v>0</v>
      </c>
      <c r="R444" s="153"/>
    </row>
    <row r="445" spans="1:18" s="158" customFormat="1" ht="10.75" customHeight="1" x14ac:dyDescent="0.3">
      <c r="B445" s="40" t="s">
        <v>81</v>
      </c>
      <c r="C445" s="130">
        <f>'[5]Maj Pel Combined'!$K$13</f>
        <v>0</v>
      </c>
      <c r="D445" s="200">
        <f>F445-VLOOKUP(B445,[4]quotas!$B$85:$W$120,19,FALSE)</f>
        <v>0</v>
      </c>
      <c r="E445" s="200">
        <f t="shared" si="91"/>
        <v>0</v>
      </c>
      <c r="F445" s="201">
        <f>VLOOKUP(B445,[4]quotas!$B$46:$W$84,19,FALSE)</f>
        <v>0</v>
      </c>
      <c r="G445" s="202">
        <f>VLOOKUP(B445,[4]Cumulative!$A$56:$X$91,20,FALSE)</f>
        <v>0</v>
      </c>
      <c r="H445" s="151">
        <f t="shared" si="94"/>
        <v>0</v>
      </c>
      <c r="I445" s="201">
        <f t="shared" si="95"/>
        <v>0</v>
      </c>
      <c r="J445" s="202">
        <f>VLOOKUP(B445,[4]Weeks!$A$125:$X$161,20,FALSE)-VLOOKUP(B445,[4]Weeks!$A$165:$X$200,20,FALSE)</f>
        <v>0</v>
      </c>
      <c r="K445" s="202">
        <f>VLOOKUP(B445,[4]Weeks!$A$85:$X$121,20,FALSE)-VLOOKUP(B445,[4]Weeks!$A$125:$X$161,20,FALSE)</f>
        <v>0</v>
      </c>
      <c r="L445" s="202">
        <f>VLOOKUP(B445,[4]Weeks!$A$44:$X$81,20,FALSE)-VLOOKUP(B445,[4]Weeks!$A$85:$X$121,20,FALSE)</f>
        <v>0</v>
      </c>
      <c r="M445" s="202">
        <f>VLOOKUP(B445,[4]Weeks!$A$3:$X$39,20,FALSE)-VLOOKUP(B445,[4]Weeks!$A$44:$X$81,20,FALSE)</f>
        <v>0</v>
      </c>
      <c r="N445" s="11" t="str">
        <f t="shared" si="97"/>
        <v>-</v>
      </c>
      <c r="O445" s="202">
        <f t="shared" si="98"/>
        <v>0</v>
      </c>
      <c r="P445" s="41">
        <f>IF(ISNUMBER(VLOOKUP(B445,[4]CLOSURES!B:BI,19,FALSE)),TEXT(VLOOKUP(B445,[4]CLOSURES!B:BI,19,FALSE),"ddmmm"),IF(F445&lt;=0,0,IF(I445&lt;=0,0,IF(AND(F445&gt;0,O445&lt;=0),"&gt;52",IF(I445/O445&gt;52,"&gt;52", MAX(0,I445/O445-2))))))</f>
        <v>0</v>
      </c>
      <c r="R445" s="153"/>
    </row>
    <row r="446" spans="1:18" s="158" customFormat="1" ht="10.75" customHeight="1" x14ac:dyDescent="0.3">
      <c r="B446" s="152" t="s">
        <v>82</v>
      </c>
      <c r="C446" s="130">
        <f>'[5]Maj Pel Combined'!$K$11</f>
        <v>0</v>
      </c>
      <c r="D446" s="200">
        <f>F446-VLOOKUP(B446,[4]quotas!$B$85:$W$120,19,FALSE)</f>
        <v>0</v>
      </c>
      <c r="E446" s="200">
        <f>F446-C446</f>
        <v>0</v>
      </c>
      <c r="F446" s="201">
        <f>VLOOKUP(B446,[4]quotas!$B$46:$W$84,19,FALSE)</f>
        <v>0</v>
      </c>
      <c r="G446" s="202">
        <f>VLOOKUP(B446,[4]Cumulative!$A$56:$X$91,20,FALSE)</f>
        <v>0</v>
      </c>
      <c r="H446" s="151">
        <f>IF(AND(F446=0,G446&gt;0),"n/a",IF(F446=0,0,100*G446/F446))</f>
        <v>0</v>
      </c>
      <c r="I446" s="201">
        <f>IF(F446="*","*",F446-G446)</f>
        <v>0</v>
      </c>
      <c r="J446" s="202">
        <f>VLOOKUP(B446,[4]Weeks!$A$125:$X$161,20,FALSE)-VLOOKUP(B446,[4]Weeks!$A$165:$X$200,20,FALSE)</f>
        <v>0</v>
      </c>
      <c r="K446" s="202">
        <f>VLOOKUP(B446,[4]Weeks!$A$85:$X$121,20,FALSE)-VLOOKUP(B446,[4]Weeks!$A$125:$X$161,20,FALSE)</f>
        <v>0</v>
      </c>
      <c r="L446" s="202">
        <f>VLOOKUP(B446,[4]Weeks!$A$44:$X$81,20,FALSE)-VLOOKUP(B446,[4]Weeks!$A$85:$X$121,20,FALSE)</f>
        <v>0</v>
      </c>
      <c r="M446" s="202">
        <f>VLOOKUP(B446,[4]Weeks!$A$3:$X$39,20,FALSE)-VLOOKUP(B446,[4]Weeks!$A$44:$X$81,20,FALSE)</f>
        <v>0</v>
      </c>
      <c r="N446" s="11" t="str">
        <f>IF(C446="*","*",IF(C446&gt;0,M446/C446*100,"-"))</f>
        <v>-</v>
      </c>
      <c r="O446" s="202">
        <f>IF(C446="*","*",SUM(J446:M446)/4)</f>
        <v>0</v>
      </c>
      <c r="P446" s="41">
        <f>IF(ISNUMBER(VLOOKUP(B446,[4]CLOSURES!B:BI,19,FALSE)),TEXT(VLOOKUP(B446,[4]CLOSURES!B:BI,19,FALSE),"ddmmm"),IF(F446&lt;=0,0,IF(I446&lt;=0,0,IF(AND(F446&gt;0,O446&lt;=0),"&gt;52",IF(I446/O446&gt;52,"&gt;52", MAX(0,I446/O446-2))))))</f>
        <v>0</v>
      </c>
      <c r="R446" s="153"/>
    </row>
    <row r="447" spans="1:18" s="158" customFormat="1" ht="10.75" customHeight="1" x14ac:dyDescent="0.3">
      <c r="B447" s="152" t="s">
        <v>83</v>
      </c>
      <c r="C447" s="130">
        <f>'[5]Maj Pel Combined'!$K$15</f>
        <v>2.48</v>
      </c>
      <c r="D447" s="200">
        <f>F447-VLOOKUP(B447,[4]quotas!$B$85:$W$120,19,FALSE)</f>
        <v>0</v>
      </c>
      <c r="E447" s="200">
        <f>F447-C447</f>
        <v>0</v>
      </c>
      <c r="F447" s="201">
        <f>VLOOKUP(B447,[4]quotas!$B$46:$W$84,19,FALSE)</f>
        <v>2.48</v>
      </c>
      <c r="G447" s="202">
        <f>VLOOKUP(B447,[4]Cumulative!$A$56:$X$91,20,FALSE)</f>
        <v>0</v>
      </c>
      <c r="H447" s="151">
        <f>IF(AND(F447=0,G447&gt;0),"n/a",IF(F447=0,0,100*G447/F447))</f>
        <v>0</v>
      </c>
      <c r="I447" s="201">
        <f>IF(F447="*","*",F447-G447)</f>
        <v>2.48</v>
      </c>
      <c r="J447" s="202">
        <f>VLOOKUP(B447,[4]Weeks!$A$125:$X$161,20,FALSE)-VLOOKUP(B447,[4]Weeks!$A$165:$X$200,20,FALSE)</f>
        <v>0</v>
      </c>
      <c r="K447" s="202">
        <f>VLOOKUP(B447,[4]Weeks!$A$85:$X$121,20,FALSE)-VLOOKUP(B447,[4]Weeks!$A$125:$X$161,20,FALSE)</f>
        <v>0</v>
      </c>
      <c r="L447" s="202">
        <f>VLOOKUP(B447,[4]Weeks!$A$44:$X$81,20,FALSE)-VLOOKUP(B447,[4]Weeks!$A$85:$X$121,20,FALSE)</f>
        <v>0</v>
      </c>
      <c r="M447" s="202">
        <f>VLOOKUP(B447,[4]Weeks!$A$3:$X$39,20,FALSE)-VLOOKUP(B447,[4]Weeks!$A$44:$X$81,20,FALSE)</f>
        <v>0</v>
      </c>
      <c r="N447" s="11">
        <f>IF(C447="*","*",IF(C447&gt;0,M447/C447*100,"-"))</f>
        <v>0</v>
      </c>
      <c r="O447" s="202">
        <f t="shared" si="98"/>
        <v>0</v>
      </c>
      <c r="P447" s="41" t="str">
        <f>IF(ISNUMBER(VLOOKUP(B447,[4]CLOSURES!B:BI,19,FALSE)),TEXT(VLOOKUP(B447,[4]CLOSURES!B:BI,19,FALSE),"ddmmm"),IF(F447&lt;=0,0,IF(I447&lt;=0,0,IF(AND(F447&gt;0,O447&lt;=0),"&gt;52",IF(I447/O447&gt;52,"&gt;52", MAX(0,I447/O447-2))))))</f>
        <v>01Jan</v>
      </c>
      <c r="R447" s="153"/>
    </row>
    <row r="448" spans="1:18" s="158" customFormat="1" ht="10.75" customHeight="1" x14ac:dyDescent="0.3">
      <c r="B448" s="170" t="s">
        <v>84</v>
      </c>
      <c r="C448" s="130">
        <f>'[5]Maj Pel Combined'!$K$10</f>
        <v>5731.2</v>
      </c>
      <c r="D448" s="200">
        <f>F448-VLOOKUP(B448,[4]quotas!$B$85:$W$120,19,FALSE)</f>
        <v>0</v>
      </c>
      <c r="E448" s="200">
        <f t="shared" si="91"/>
        <v>-2039</v>
      </c>
      <c r="F448" s="201">
        <f>VLOOKUP(B448,[4]quotas!$B$46:$W$84,19,FALSE)</f>
        <v>3692.2</v>
      </c>
      <c r="G448" s="202">
        <f>VLOOKUP(B448,[4]Cumulative!$A$56:$X$91,20,FALSE)</f>
        <v>3691.6499999999996</v>
      </c>
      <c r="H448" s="151">
        <f t="shared" si="94"/>
        <v>99.985103732192172</v>
      </c>
      <c r="I448" s="201">
        <f>IF(F448="*","*",F448-G448)</f>
        <v>0.5500000000001819</v>
      </c>
      <c r="J448" s="202">
        <f>VLOOKUP(B448,[4]Weeks!$A$125:$X$161,20,FALSE)-VLOOKUP(B448,[4]Weeks!$A$165:$X$200,20,FALSE)</f>
        <v>0</v>
      </c>
      <c r="K448" s="202">
        <f>VLOOKUP(B448,[4]Weeks!$A$85:$X$121,20,FALSE)-VLOOKUP(B448,[4]Weeks!$A$125:$X$161,20,FALSE)</f>
        <v>0</v>
      </c>
      <c r="L448" s="202">
        <f>VLOOKUP(B448,[4]Weeks!$A$44:$X$81,20,FALSE)-VLOOKUP(B448,[4]Weeks!$A$85:$X$121,20,FALSE)</f>
        <v>0</v>
      </c>
      <c r="M448" s="202">
        <f>VLOOKUP(B448,[4]Weeks!$A$3:$X$39,20,FALSE)-VLOOKUP(B448,[4]Weeks!$A$44:$X$81,20,FALSE)</f>
        <v>0</v>
      </c>
      <c r="N448" s="11">
        <f>IF(C448="*","*",IF(C448&gt;0,M448/C448*100,"-"))</f>
        <v>0</v>
      </c>
      <c r="O448" s="202">
        <f t="shared" si="98"/>
        <v>0</v>
      </c>
      <c r="P448" s="41" t="str">
        <f>IF(ISNUMBER(VLOOKUP(B448,[4]CLOSURES!B:BI,19,FALSE)),TEXT(VLOOKUP(B448,[4]CLOSURES!B:BI,19,FALSE),"ddmmm"),IF(F448&lt;=0,0,IF(I448&lt;=0,0,IF(AND(F448&gt;0,O448&lt;=0),"&gt;52",IF(I448/O448&gt;52,"&gt;52", MAX(0,I448/O448-2))))))</f>
        <v>&gt;52</v>
      </c>
      <c r="R448" s="153"/>
    </row>
    <row r="449" spans="2:18" s="158" customFormat="1" ht="10.75" customHeight="1" x14ac:dyDescent="0.3">
      <c r="B449" s="40" t="s">
        <v>85</v>
      </c>
      <c r="C449" s="130">
        <f>'[5]Maj Pel Combined'!$K$12</f>
        <v>1617.653</v>
      </c>
      <c r="D449" s="200">
        <f>F449-VLOOKUP(B449,[4]quotas!$B$85:$W$120,19,FALSE)</f>
        <v>0</v>
      </c>
      <c r="E449" s="200">
        <f>F449-C449</f>
        <v>5870.7000000000007</v>
      </c>
      <c r="F449" s="201">
        <f>VLOOKUP(B449,[4]quotas!$B$46:$W$84,19,FALSE)</f>
        <v>7488.353000000001</v>
      </c>
      <c r="G449" s="202">
        <f>VLOOKUP(B449,[4]Cumulative!$A$56:$X$91,20,FALSE)</f>
        <v>7477.7809921875014</v>
      </c>
      <c r="H449" s="151">
        <f t="shared" si="94"/>
        <v>99.858820653720528</v>
      </c>
      <c r="I449" s="201">
        <f>IF(F449="*","*",F449-G449)</f>
        <v>10.572007812499578</v>
      </c>
      <c r="J449" s="202">
        <f>VLOOKUP(B449,[4]Weeks!$A$125:$X$161,20,FALSE)-VLOOKUP(B449,[4]Weeks!$A$165:$X$200,20,FALSE)</f>
        <v>0</v>
      </c>
      <c r="K449" s="202">
        <f>VLOOKUP(B449,[4]Weeks!$A$85:$X$121,20,FALSE)-VLOOKUP(B449,[4]Weeks!$A$125:$X$161,20,FALSE)</f>
        <v>0</v>
      </c>
      <c r="L449" s="202">
        <f>VLOOKUP(B449,[4]Weeks!$A$44:$X$81,20,FALSE)-VLOOKUP(B449,[4]Weeks!$A$85:$X$121,20,FALSE)</f>
        <v>0</v>
      </c>
      <c r="M449" s="202">
        <f>VLOOKUP(B449,[4]Weeks!$A$3:$X$39,20,FALSE)-VLOOKUP(B449,[4]Weeks!$A$44:$X$81,20,FALSE)</f>
        <v>0</v>
      </c>
      <c r="N449" s="11">
        <f>IF(C449="*","*",IF(C449&gt;0,M449/C449*100,"-"))</f>
        <v>0</v>
      </c>
      <c r="O449" s="202">
        <f>IF(C449="*","*",SUM(J449:M449)/4)</f>
        <v>0</v>
      </c>
      <c r="P449" s="41" t="str">
        <f>IF(ISNUMBER(VLOOKUP(B449,[4]CLOSURES!B:BI,19,FALSE)),TEXT(VLOOKUP(B449,[4]CLOSURES!B:BI,19,FALSE),"ddmmm"),IF(F449&lt;=0,0,IF(I449&lt;=0,0,IF(AND(F449&gt;0,O449&lt;=0),"&gt;52",IF(I449/O449&gt;52,"&gt;52", MAX(0,I449/O449-2))))))</f>
        <v>01Jan</v>
      </c>
      <c r="R449" s="153"/>
    </row>
    <row r="450" spans="2:18" s="158" customFormat="1" ht="10.75" customHeight="1" x14ac:dyDescent="0.3">
      <c r="B450" s="162" t="s">
        <v>86</v>
      </c>
      <c r="C450" s="130">
        <f>SUM(C425:C434)+SUM(C437:C449)</f>
        <v>58242.37</v>
      </c>
      <c r="D450" s="202">
        <f>SUM(D425:D434)+SUM(D437:D449)</f>
        <v>0</v>
      </c>
      <c r="E450" s="200">
        <f t="shared" si="91"/>
        <v>-6007</v>
      </c>
      <c r="F450" s="201">
        <f>SUM(F425:F434)+SUM(F436:F449)</f>
        <v>52235.37</v>
      </c>
      <c r="G450" s="202">
        <f>SUM(G425:G434)+SUM(G436:G449)</f>
        <v>53489.710992187502</v>
      </c>
      <c r="H450" s="151">
        <f t="shared" si="94"/>
        <v>102.40132498762333</v>
      </c>
      <c r="I450" s="201">
        <f>I435+SUM(I437:I449)</f>
        <v>-1254.3409921875043</v>
      </c>
      <c r="J450" s="202">
        <f>SUM(J425:J434)+SUM(J436:J449)</f>
        <v>0</v>
      </c>
      <c r="K450" s="202">
        <f>SUM(K425:K434)+SUM(K436:K449)</f>
        <v>0</v>
      </c>
      <c r="L450" s="202">
        <f>SUM(L425:L434)+SUM(L436:L449)</f>
        <v>0</v>
      </c>
      <c r="M450" s="202">
        <f>SUM(M425:M434)+SUM(M436:M449)</f>
        <v>0</v>
      </c>
      <c r="N450" s="11">
        <f>IF(C450="*","*",IF(C450&gt;0,M450/C450*100,"-"))</f>
        <v>0</v>
      </c>
      <c r="O450" s="202">
        <f>IF(C450="*","*",SUM(J450:M450)/4)</f>
        <v>0</v>
      </c>
      <c r="P450" s="41">
        <f>IF(ISNUMBER(VLOOKUP(B450,[4]CLOSURES!B:BI,19,FALSE)),TEXT(VLOOKUP(B450,[4]CLOSURES!B:BI,19,FALSE),"ddmmm"),IF(F450&lt;=0,0,IF(I450&lt;=0,0,IF(AND(F450&gt;0,O450&lt;=0),"&gt;52",IF(I450/O450&gt;52,"&gt;52", MAX(0,I450/O450-2))))))</f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f>'[4]Pel Non PO'!C222</f>
        <v>0</v>
      </c>
      <c r="D452" s="200">
        <f>'[4]Pel Non PO'!D222</f>
        <v>0</v>
      </c>
      <c r="E452" s="200">
        <f t="shared" si="91"/>
        <v>0</v>
      </c>
      <c r="F452" s="201">
        <f>'[4]Pel Non PO'!F222</f>
        <v>0</v>
      </c>
      <c r="G452" s="202">
        <f>'[4]Pel Non PO'!H222</f>
        <v>0</v>
      </c>
      <c r="H452" s="151">
        <f t="shared" si="94"/>
        <v>0</v>
      </c>
      <c r="I452" s="201">
        <f t="shared" si="95"/>
        <v>0</v>
      </c>
      <c r="J452" s="202">
        <f>'[4]Pel Non PO'!J222</f>
        <v>0</v>
      </c>
      <c r="K452" s="202">
        <f>'[4]Pel Non PO'!K222</f>
        <v>0</v>
      </c>
      <c r="L452" s="202">
        <f>'[4]Pel Non PO'!L222</f>
        <v>0</v>
      </c>
      <c r="M452" s="202">
        <f>'[4]Pel Non PO'!M222</f>
        <v>0</v>
      </c>
      <c r="N452" s="11" t="str">
        <f>IF(C452="*","*",IF(C452&gt;0,M452/C452*100,"-"))</f>
        <v>-</v>
      </c>
      <c r="O452" s="202">
        <f>IF(C452="*","*",SUM(J452:M452)/4)</f>
        <v>0</v>
      </c>
      <c r="P452" s="41" t="str">
        <f>IF(ISNUMBER(VLOOKUP(B452,[4]CLOSURES!B:BI,19,FALSE)),TEXT(VLOOKUP(B452,[4]CLOSURES!B:BI,19,FALSE),"ddmmm"),IF(F452&lt;=0,0,IF(I452&lt;=0,0,IF(AND(F452&gt;0,O452&lt;=0),"&gt;52",IF(I452/O452&gt;52,"&gt;52", MAX(0,I452/O452-2))))))</f>
        <v>01Jan</v>
      </c>
      <c r="R452" s="153"/>
    </row>
    <row r="453" spans="2:18" s="158" customFormat="1" ht="10.75" customHeight="1" x14ac:dyDescent="0.3">
      <c r="B453" s="44" t="s">
        <v>88</v>
      </c>
      <c r="C453" s="130">
        <f>'[5]Maj Pel Combined'!$K$33</f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f>IF(C453="*","*",SUM(J453:M453)/4)</f>
        <v>0</v>
      </c>
      <c r="P453" s="41" t="str">
        <f>IF(ISNUMBER(VLOOKUP(B453,[4]CLOSURES!B:BI,19,FALSE)),TEXT(VLOOKUP(B453,[4]CLOSURES!B:BI,19,FALSE),"ddmmm"),IF(F453&lt;=0,0,IF(I453&lt;=0,0,IF(AND(F453&gt;0,O453&lt;=0),"&gt;52",IF(I453/O453&gt;52,"&gt;52", MAX(0,I453/O453-2))))))</f>
        <v>01Jan</v>
      </c>
      <c r="R453" s="153"/>
    </row>
    <row r="454" spans="2:18" s="158" customFormat="1" ht="10.75" customHeight="1" x14ac:dyDescent="0.3">
      <c r="B454" s="44" t="s">
        <v>89</v>
      </c>
      <c r="C454" s="130">
        <f>'[4]Pel Non PO'!C229</f>
        <v>0</v>
      </c>
      <c r="D454" s="200">
        <f>'[4]Pel Non PO'!D229</f>
        <v>0</v>
      </c>
      <c r="E454" s="200">
        <f t="shared" si="91"/>
        <v>0</v>
      </c>
      <c r="F454" s="201">
        <f>'[4]Pel Non PO'!F229</f>
        <v>0</v>
      </c>
      <c r="G454" s="202">
        <f>'[4]Pel Non PO'!H229</f>
        <v>0</v>
      </c>
      <c r="H454" s="151">
        <f t="shared" si="94"/>
        <v>0</v>
      </c>
      <c r="I454" s="201">
        <f t="shared" si="95"/>
        <v>0</v>
      </c>
      <c r="J454" s="202">
        <f>'[4]Pel Non PO'!J229</f>
        <v>0</v>
      </c>
      <c r="K454" s="202">
        <f>'[4]Pel Non PO'!K229</f>
        <v>0</v>
      </c>
      <c r="L454" s="202">
        <f>'[4]Pel Non PO'!L229</f>
        <v>0</v>
      </c>
      <c r="M454" s="202">
        <f>'[4]Pel Non PO'!M229</f>
        <v>0</v>
      </c>
      <c r="N454" s="11" t="str">
        <f>IF(C454="*","*",IF(C454&gt;0,M454/C454*100,"-"))</f>
        <v>-</v>
      </c>
      <c r="O454" s="202">
        <f>IF(C454="*","*",SUM(J454:M454)/4)</f>
        <v>0</v>
      </c>
      <c r="P454" s="41" t="str">
        <f>IF(ISNUMBER(VLOOKUP(B454,[4]CLOSURES!B:BI,19,FALSE)),TEXT(VLOOKUP(B454,[4]CLOSURES!B:BI,19,FALSE),"ddmmm"),IF(F454&lt;=0,0,IF(I454&lt;=0,0,IF(AND(F454&gt;0,O454&lt;=0),"&gt;52",IF(I454/O454&gt;52,"&gt;52", MAX(0,I454/O454-2))))))</f>
        <v>01Jan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f>'[5]Maj Pel Combined'!$K$41</f>
        <v>0</v>
      </c>
      <c r="D456" s="200"/>
      <c r="E456" s="200"/>
      <c r="F456" s="201">
        <f>'[5]Maj Pel Combined'!$K$41</f>
        <v>0</v>
      </c>
      <c r="G456" s="202"/>
      <c r="H456" s="151"/>
      <c r="I456" s="201">
        <f>C456</f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f>C450+SUM(C452:C456)</f>
        <v>58242.37</v>
      </c>
      <c r="D457" s="131">
        <f t="shared" ref="D457:G457" si="99">D450+SUM(D452:D456)</f>
        <v>0</v>
      </c>
      <c r="E457" s="131">
        <f t="shared" si="99"/>
        <v>-6007</v>
      </c>
      <c r="F457" s="132">
        <f>[4]quotas!T79</f>
        <v>52235.37</v>
      </c>
      <c r="G457" s="132">
        <f t="shared" si="99"/>
        <v>53489.710992187502</v>
      </c>
      <c r="H457" s="156">
        <f t="shared" si="94"/>
        <v>102.40132498762333</v>
      </c>
      <c r="I457" s="132">
        <f>IF(F457="*","*",F457-G457)</f>
        <v>-1254.3409921874991</v>
      </c>
      <c r="J457" s="131">
        <f>VLOOKUP(B457,[4]Weeks!$A$125:$X$161,20,FALSE)-VLOOKUP(B457,[4]Weeks!$A$165:$X$200,20,FALSE)</f>
        <v>0</v>
      </c>
      <c r="K457" s="131">
        <f>VLOOKUP(B457,[4]Weeks!$A$85:$X$121,20,FALSE)-VLOOKUP(B457,[4]Weeks!$A$125:$X$161,20,FALSE)</f>
        <v>0</v>
      </c>
      <c r="L457" s="131">
        <f>VLOOKUP(B457,[4]Weeks!$A$44:$X$81,20,FALSE)-VLOOKUP(B457,[4]Weeks!$A$85:$X$121,20,FALSE)</f>
        <v>0</v>
      </c>
      <c r="M457" s="131">
        <f>M450+M452+M454</f>
        <v>0</v>
      </c>
      <c r="N457" s="53">
        <f>IF(C457="*","*",IF(C457&gt;0,M457/C457*100,"-"))</f>
        <v>0</v>
      </c>
      <c r="O457" s="131">
        <f>IF(C457="*","*",SUM(J457:M457)/4)</f>
        <v>0</v>
      </c>
      <c r="P457" s="49">
        <f>IF(ISNUMBER(VLOOKUP(B457,[4]CLOSURES!B:BI,19,FALSE)),TEXT(VLOOKUP(B457,[4]CLOSURES!B:BI,19,FALSE),"ddmmm"),IF(F457&lt;=0,0,IF(I457&lt;=0,0,IF(AND(F457&gt;0,O457&lt;=0),"&gt;52",IF(I457/O457&gt;52,"&gt;52", MAX(0,I457/O457-2))))))</f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f>#REF!</f>
        <v>#REF!</v>
      </c>
      <c r="K462" s="33" t="e">
        <f>#REF!</f>
        <v>#REF!</v>
      </c>
      <c r="L462" s="33" t="e">
        <f>#REF!</f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f>[4]quotas!V47</f>
        <v>0</v>
      </c>
      <c r="D466" s="208">
        <f>[4]quotas!V47-[4]quotas!V87</f>
        <v>0</v>
      </c>
      <c r="E466" s="208"/>
      <c r="F466" s="64">
        <f>[4]quotas!Y47</f>
        <v>0</v>
      </c>
      <c r="G466" s="208" t="e">
        <f>IF(#REF!="*","*",[4]Cumulative!X57)</f>
        <v>#REF!</v>
      </c>
      <c r="H466" s="11" t="str">
        <f>IF(C466="*","*",IF(C466&gt;0,#REF!/C466*100,"-"))</f>
        <v>-</v>
      </c>
      <c r="I466" s="209" t="e">
        <f>IF(C466="*","*",C466-#REF!)</f>
        <v>#REF!</v>
      </c>
      <c r="J466" s="208">
        <f>IF(C466="*","*",[4]Weeks!V126-[4]Weeks!V166)</f>
        <v>0</v>
      </c>
      <c r="K466" s="208">
        <f>IF(C466="*","*",[4]Weeks!V86-[4]Weeks!V126)</f>
        <v>0</v>
      </c>
      <c r="L466" s="208">
        <f>IF(C466="*","*",[4]Weeks!V46-[4]Weeks!V86)</f>
        <v>0</v>
      </c>
      <c r="M466" s="208" t="e">
        <f>IF(C466="*","*",[4]Weeks!V4-[4]Weeks!V46)</f>
        <v>#VALUE!</v>
      </c>
      <c r="N466" s="11" t="str">
        <f t="shared" ref="N466:N488" si="100">IF(C466="*","*",IF(C466&gt;0,M466/C466*100,"-"))</f>
        <v>-</v>
      </c>
      <c r="O466" s="208" t="e">
        <f t="shared" ref="O466:O488" si="101">IF(C466="*","*",SUM(J466:M466)/4)</f>
        <v>#VALUE!</v>
      </c>
      <c r="P466" s="41">
        <f>IF(ISTEXT(C466),$P$38,IF(ISNUMBER([4]CLOSURES!V5),TEXT([4]CLOSURES!V5,"ddmmm"),IF(C466&lt;=0,0,IF(I466&lt;0,0,IF(AND(C466&gt;0,O466&lt;=0),"&gt;99",IF(I466/O466&gt;100,"&gt;99",MAX(0,I466/O466-2)))))))</f>
        <v>0</v>
      </c>
      <c r="R466" s="153"/>
    </row>
    <row r="467" spans="2:18" s="158" customFormat="1" ht="13" hidden="1" x14ac:dyDescent="0.3">
      <c r="B467" s="40" t="s">
        <v>63</v>
      </c>
      <c r="C467" s="42">
        <f>[4]quotas!V48</f>
        <v>0</v>
      </c>
      <c r="D467" s="208">
        <f>[4]quotas!V48-[4]quotas!V88</f>
        <v>0</v>
      </c>
      <c r="E467" s="208"/>
      <c r="F467" s="64">
        <f>[4]quotas!Y48</f>
        <v>0</v>
      </c>
      <c r="G467" s="208" t="e">
        <f>IF(#REF!="*","*",[4]Cumulative!X58)</f>
        <v>#REF!</v>
      </c>
      <c r="H467" s="11" t="str">
        <f>IF(C467="*","*",IF(C467&gt;0,#REF!/C467*100,"-"))</f>
        <v>-</v>
      </c>
      <c r="I467" s="209" t="e">
        <f>IF(C467="*","*",C467-#REF!)</f>
        <v>#REF!</v>
      </c>
      <c r="J467" s="208">
        <f>IF(C467="*","*",[4]Weeks!V127-[4]Weeks!V167)</f>
        <v>0</v>
      </c>
      <c r="K467" s="208">
        <f>IF(C467="*","*",[4]Weeks!V87-[4]Weeks!V127)</f>
        <v>0</v>
      </c>
      <c r="L467" s="208">
        <f>IF(C467="*","*",[4]Weeks!V47-[4]Weeks!V87)</f>
        <v>0</v>
      </c>
      <c r="M467" s="208">
        <f>IF(C467="*","*",[4]Weeks!V5-[4]Weeks!V47)</f>
        <v>0</v>
      </c>
      <c r="N467" s="11" t="str">
        <f t="shared" si="100"/>
        <v>-</v>
      </c>
      <c r="O467" s="208">
        <f t="shared" si="101"/>
        <v>0</v>
      </c>
      <c r="P467" s="41">
        <f>IF(ISTEXT(C467),$P$38,IF(ISNUMBER([4]CLOSURES!V6),TEXT([4]CLOSURES!V6,"ddmmm"),IF(C467&lt;=0,0,IF(I467&lt;0,0,IF(AND(C467&gt;0,O467&lt;=0),"&gt;99",IF(I467/O467&gt;100,"&gt;99",MAX(0,I467/O467-2)))))))</f>
        <v>0</v>
      </c>
      <c r="R467" s="153"/>
    </row>
    <row r="468" spans="2:18" s="158" customFormat="1" ht="13" hidden="1" x14ac:dyDescent="0.3">
      <c r="B468" s="40" t="s">
        <v>65</v>
      </c>
      <c r="C468" s="42">
        <f>[4]quotas!V49</f>
        <v>0</v>
      </c>
      <c r="D468" s="208">
        <f>[4]quotas!V49-[4]quotas!V89</f>
        <v>0</v>
      </c>
      <c r="E468" s="208"/>
      <c r="F468" s="64">
        <f>[4]quotas!Y49</f>
        <v>0</v>
      </c>
      <c r="G468" s="208" t="e">
        <f>IF(#REF!="*","*",[4]Cumulative!X59)</f>
        <v>#REF!</v>
      </c>
      <c r="H468" s="11" t="str">
        <f>IF(C468="*","*",IF(C468&gt;0,#REF!/C468*100,"-"))</f>
        <v>-</v>
      </c>
      <c r="I468" s="209" t="e">
        <f>IF(C468="*","*",C468-#REF!)</f>
        <v>#REF!</v>
      </c>
      <c r="J468" s="208">
        <f>IF(C468="*","*",[4]Weeks!V128-[4]Weeks!V168)</f>
        <v>0</v>
      </c>
      <c r="K468" s="208">
        <f>IF(C468="*","*",[4]Weeks!V88-[4]Weeks!V128)</f>
        <v>0</v>
      </c>
      <c r="L468" s="208">
        <f>IF(C468="*","*",[4]Weeks!V48-[4]Weeks!V88)</f>
        <v>0</v>
      </c>
      <c r="M468" s="208">
        <f>IF(C468="*","*",[4]Weeks!V6-[4]Weeks!V48)</f>
        <v>0</v>
      </c>
      <c r="N468" s="11" t="str">
        <f t="shared" si="100"/>
        <v>-</v>
      </c>
      <c r="O468" s="208">
        <f t="shared" si="101"/>
        <v>0</v>
      </c>
      <c r="P468" s="41">
        <f>IF(ISTEXT(C468),$P$38,IF(ISNUMBER([4]CLOSURES!V7),TEXT([4]CLOSURES!V7,"ddmmm"),IF(C468&lt;=0,0,IF(I468&lt;0,0,IF(AND(C468&gt;0,O468&lt;=0),"&gt;99",IF(I468/O468&gt;100,"&gt;99",MAX(0,I468/O468-2)))))))</f>
        <v>0</v>
      </c>
      <c r="R468" s="153"/>
    </row>
    <row r="469" spans="2:18" s="158" customFormat="1" ht="13" hidden="1" x14ac:dyDescent="0.3">
      <c r="B469" s="40" t="s">
        <v>66</v>
      </c>
      <c r="C469" s="42">
        <f>[4]quotas!V50</f>
        <v>0</v>
      </c>
      <c r="D469" s="208">
        <f>[4]quotas!V50-[4]quotas!V90</f>
        <v>0</v>
      </c>
      <c r="E469" s="208"/>
      <c r="F469" s="64">
        <f>[4]quotas!Y50</f>
        <v>0</v>
      </c>
      <c r="G469" s="208" t="e">
        <f>IF(#REF!="*","*",[4]Cumulative!X60)</f>
        <v>#REF!</v>
      </c>
      <c r="H469" s="11" t="str">
        <f>IF(C469="*","*",IF(C469&gt;0,#REF!/C469*100,"-"))</f>
        <v>-</v>
      </c>
      <c r="I469" s="209" t="e">
        <f>IF(C469="*","*",C469-#REF!)</f>
        <v>#REF!</v>
      </c>
      <c r="J469" s="208">
        <f>IF(C469="*","*",[4]Weeks!V129-[4]Weeks!V169)</f>
        <v>0</v>
      </c>
      <c r="K469" s="208">
        <f>IF(C469="*","*",[4]Weeks!V89-[4]Weeks!V129)</f>
        <v>0</v>
      </c>
      <c r="L469" s="208">
        <f>IF(C469="*","*",[4]Weeks!V49-[4]Weeks!V89)</f>
        <v>0</v>
      </c>
      <c r="M469" s="208">
        <f>IF(C469="*","*",[4]Weeks!V7-[4]Weeks!V49)</f>
        <v>0</v>
      </c>
      <c r="N469" s="11" t="str">
        <f t="shared" si="100"/>
        <v>-</v>
      </c>
      <c r="O469" s="208">
        <f t="shared" si="101"/>
        <v>0</v>
      </c>
      <c r="P469" s="41">
        <f>IF(ISTEXT(C469),$P$38,IF(ISNUMBER([4]CLOSURES!V8),TEXT([4]CLOSURES!V8,"ddmmm"),IF(C469&lt;=0,0,IF(I469&lt;0,0,IF(AND(C469&gt;0,O469&lt;=0),"&gt;99",IF(I469/O469&gt;100,"&gt;99",MAX(0,I469/O469-2)))))))</f>
        <v>0</v>
      </c>
      <c r="R469" s="153"/>
    </row>
    <row r="470" spans="2:18" s="158" customFormat="1" ht="13" hidden="1" x14ac:dyDescent="0.3">
      <c r="B470" s="40" t="s">
        <v>67</v>
      </c>
      <c r="C470" s="42">
        <f>[4]quotas!V51</f>
        <v>0</v>
      </c>
      <c r="D470" s="208">
        <f>[4]quotas!V51-[4]quotas!V91</f>
        <v>0</v>
      </c>
      <c r="E470" s="208"/>
      <c r="F470" s="64">
        <f>[4]quotas!Y51</f>
        <v>0</v>
      </c>
      <c r="G470" s="208" t="e">
        <f>IF(#REF!="*","*",[4]Cumulative!X61)</f>
        <v>#REF!</v>
      </c>
      <c r="H470" s="11" t="str">
        <f>IF(C470="*","*",IF(C470&gt;0,#REF!/C470*100,"-"))</f>
        <v>-</v>
      </c>
      <c r="I470" s="209" t="e">
        <f>IF(C470="*","*",C470-#REF!)</f>
        <v>#REF!</v>
      </c>
      <c r="J470" s="208">
        <f>IF(C470="*","*",[4]Weeks!V130-[4]Weeks!V170)</f>
        <v>0</v>
      </c>
      <c r="K470" s="208">
        <f>IF(C470="*","*",[4]Weeks!V90-[4]Weeks!V130)</f>
        <v>0</v>
      </c>
      <c r="L470" s="208">
        <f>IF(C470="*","*",[4]Weeks!V50-[4]Weeks!V90)</f>
        <v>0</v>
      </c>
      <c r="M470" s="208">
        <f>IF(C470="*","*",[4]Weeks!V8-[4]Weeks!V50)</f>
        <v>0</v>
      </c>
      <c r="N470" s="11" t="str">
        <f t="shared" si="100"/>
        <v>-</v>
      </c>
      <c r="O470" s="208">
        <f t="shared" si="101"/>
        <v>0</v>
      </c>
      <c r="P470" s="41">
        <f>IF(ISTEXT(C470),$P$38,IF(ISNUMBER([4]CLOSURES!V9),TEXT([4]CLOSURES!V9,"ddmmm"),IF(C470&lt;=0,0,IF(I470&lt;0,0,IF(AND(C470&gt;0,O470&lt;=0),"&gt;99",IF(I470/O470&gt;100,"&gt;99",MAX(0,I470/O470-2)))))))</f>
        <v>0</v>
      </c>
      <c r="R470" s="153"/>
    </row>
    <row r="471" spans="2:18" s="158" customFormat="1" ht="13" hidden="1" x14ac:dyDescent="0.3">
      <c r="B471" s="40" t="s">
        <v>68</v>
      </c>
      <c r="C471" s="42">
        <f>[4]quotas!V52</f>
        <v>0</v>
      </c>
      <c r="D471" s="208">
        <f>[4]quotas!V52-[4]quotas!V92</f>
        <v>0</v>
      </c>
      <c r="E471" s="208"/>
      <c r="F471" s="64">
        <f>[4]quotas!Y52</f>
        <v>0</v>
      </c>
      <c r="G471" s="208" t="e">
        <f>IF(#REF!="*","*",[4]Cumulative!X62)</f>
        <v>#REF!</v>
      </c>
      <c r="H471" s="11" t="str">
        <f>IF(C471="*","*",IF(C471&gt;0,#REF!/C471*100,"-"))</f>
        <v>-</v>
      </c>
      <c r="I471" s="209" t="e">
        <f>IF(C471="*","*",C471-#REF!)</f>
        <v>#REF!</v>
      </c>
      <c r="J471" s="208">
        <f>IF(C471="*","*",[4]Weeks!V131-[4]Weeks!V171)</f>
        <v>0</v>
      </c>
      <c r="K471" s="208">
        <f>IF(C471="*","*",[4]Weeks!V91-[4]Weeks!V131)</f>
        <v>0</v>
      </c>
      <c r="L471" s="208">
        <f>IF(C471="*","*",[4]Weeks!V51-[4]Weeks!V91)</f>
        <v>0</v>
      </c>
      <c r="M471" s="208">
        <f>IF(C471="*","*",[4]Weeks!V9-[4]Weeks!V51)</f>
        <v>0</v>
      </c>
      <c r="N471" s="11" t="str">
        <f t="shared" si="100"/>
        <v>-</v>
      </c>
      <c r="O471" s="208">
        <f t="shared" si="101"/>
        <v>0</v>
      </c>
      <c r="P471" s="41">
        <f>IF(ISTEXT(C471),$P$38,IF(ISNUMBER([4]CLOSURES!V10),TEXT([4]CLOSURES!V10,"ddmmm"),IF(C471&lt;=0,0,IF(I471&lt;0,0,IF(AND(C471&gt;0,O471&lt;=0),"&gt;99",IF(I471/O471&gt;100,"&gt;99",MAX(0,I471/O471-2)))))))</f>
        <v>0</v>
      </c>
      <c r="R471" s="153"/>
    </row>
    <row r="472" spans="2:18" s="158" customFormat="1" ht="13" hidden="1" x14ac:dyDescent="0.3">
      <c r="B472" s="40" t="s">
        <v>69</v>
      </c>
      <c r="C472" s="42">
        <f>[4]quotas!V53</f>
        <v>0</v>
      </c>
      <c r="D472" s="208">
        <f>[4]quotas!V53-[4]quotas!V93</f>
        <v>0</v>
      </c>
      <c r="E472" s="208"/>
      <c r="F472" s="64">
        <f>[4]quotas!Y53</f>
        <v>0</v>
      </c>
      <c r="G472" s="208" t="e">
        <f>IF(#REF!="*","*",[4]Cumulative!X63)</f>
        <v>#REF!</v>
      </c>
      <c r="H472" s="11" t="str">
        <f>IF(C472="*","*",IF(C472&gt;0,#REF!/C472*100,"-"))</f>
        <v>-</v>
      </c>
      <c r="I472" s="209" t="e">
        <f>IF(C472="*","*",C472-#REF!)</f>
        <v>#REF!</v>
      </c>
      <c r="J472" s="208">
        <f>IF(C472="*","*",[4]Weeks!V132-[4]Weeks!V172)</f>
        <v>0</v>
      </c>
      <c r="K472" s="208">
        <f>IF(C472="*","*",[4]Weeks!V92-[4]Weeks!V132)</f>
        <v>0</v>
      </c>
      <c r="L472" s="208">
        <f>IF(C472="*","*",[4]Weeks!V52-[4]Weeks!V92)</f>
        <v>0</v>
      </c>
      <c r="M472" s="208">
        <f>IF(C472="*","*",[4]Weeks!V10-[4]Weeks!V52)</f>
        <v>0</v>
      </c>
      <c r="N472" s="11" t="str">
        <f t="shared" si="100"/>
        <v>-</v>
      </c>
      <c r="O472" s="208">
        <f t="shared" si="101"/>
        <v>0</v>
      </c>
      <c r="P472" s="41">
        <f>IF(ISTEXT(C472),$P$38,IF(ISNUMBER([4]CLOSURES!V11),TEXT([4]CLOSURES!V11,"ddmmm"),IF(C472&lt;=0,0,IF(I472&lt;0,0,IF(AND(C472&gt;0,O472&lt;=0),"&gt;99",IF(I472/O472&gt;100,"&gt;99",MAX(0,I472/O472-2)))))))</f>
        <v>0</v>
      </c>
      <c r="R472" s="153"/>
    </row>
    <row r="473" spans="2:18" s="158" customFormat="1" ht="13" hidden="1" x14ac:dyDescent="0.3">
      <c r="B473" s="40" t="s">
        <v>102</v>
      </c>
      <c r="C473" s="42">
        <f>[4]quotas!V57</f>
        <v>0</v>
      </c>
      <c r="D473" s="208">
        <f>[4]quotas!V57-[4]quotas!V97</f>
        <v>0</v>
      </c>
      <c r="E473" s="208"/>
      <c r="F473" s="64">
        <f>[4]quotas!Y57</f>
        <v>0</v>
      </c>
      <c r="G473" s="208" t="e">
        <f>IF(#REF!="*","*",[4]Cumulative!X67)</f>
        <v>#REF!</v>
      </c>
      <c r="H473" s="11" t="str">
        <f>IF(C473="*","*",IF(C473&gt;0,#REF!/C473*100,"-"))</f>
        <v>-</v>
      </c>
      <c r="I473" s="209" t="e">
        <f>IF(C473="*","*",C473-#REF!)</f>
        <v>#REF!</v>
      </c>
      <c r="J473" s="208">
        <f>IF(C473="*","*",[4]Weeks!V136-[4]Weeks!V176)</f>
        <v>0</v>
      </c>
      <c r="K473" s="208">
        <f>IF(C473="*","*",[4]Weeks!V96-[4]Weeks!V136)</f>
        <v>0</v>
      </c>
      <c r="L473" s="208">
        <f>IF(C473="*","*",[4]Weeks!V56-[4]Weeks!V96)</f>
        <v>0</v>
      </c>
      <c r="M473" s="208">
        <f>IF(C473="*","*",[4]Weeks!V14-[4]Weeks!V56)</f>
        <v>0</v>
      </c>
      <c r="N473" s="11" t="str">
        <f t="shared" si="100"/>
        <v>-</v>
      </c>
      <c r="O473" s="208">
        <f t="shared" si="101"/>
        <v>0</v>
      </c>
      <c r="P473" s="41">
        <f>IF(ISTEXT(C473),$P$38,IF(ISNUMBER([4]CLOSURES!V15),TEXT([4]CLOSURES!V15,"ddmmm"),IF(C473&lt;=0,0,IF(I473&lt;0,0,IF(AND(C473&gt;0,O473&lt;=0),"&gt;99",IF(I473/O473&gt;100,"&gt;99",MAX(0,I473/O473-2)))))))</f>
        <v>0</v>
      </c>
      <c r="R473" s="153"/>
    </row>
    <row r="474" spans="2:18" s="158" customFormat="1" ht="13" hidden="1" x14ac:dyDescent="0.3">
      <c r="B474" s="40" t="s">
        <v>75</v>
      </c>
      <c r="C474" s="42">
        <f>[4]quotas!V58</f>
        <v>0</v>
      </c>
      <c r="D474" s="208">
        <f>[4]quotas!V58-[4]quotas!V98</f>
        <v>0</v>
      </c>
      <c r="E474" s="208"/>
      <c r="F474" s="64">
        <f>[4]quotas!Y58</f>
        <v>0</v>
      </c>
      <c r="G474" s="208" t="e">
        <f>IF(#REF!="*","*",[4]Cumulative!X68)</f>
        <v>#REF!</v>
      </c>
      <c r="H474" s="11" t="str">
        <f>IF(C474="*","*",IF(C474&gt;0,#REF!/C474*100,"-"))</f>
        <v>-</v>
      </c>
      <c r="I474" s="209" t="e">
        <f>IF(C474="*","*",C474-#REF!)</f>
        <v>#REF!</v>
      </c>
      <c r="J474" s="208">
        <f>IF(C474="*","*",[4]Weeks!V133-[4]Weeks!V173)</f>
        <v>0</v>
      </c>
      <c r="K474" s="208">
        <f>IF(C474="*","*",[4]Weeks!V93-[4]Weeks!V133)</f>
        <v>0</v>
      </c>
      <c r="L474" s="208">
        <f>IF(C474="*","*",[4]Weeks!V53-[4]Weeks!V93)</f>
        <v>0</v>
      </c>
      <c r="M474" s="208">
        <f>IF(C474="*","*",[4]Weeks!V15-[4]Weeks!V53)</f>
        <v>0</v>
      </c>
      <c r="N474" s="11" t="str">
        <f t="shared" si="100"/>
        <v>-</v>
      </c>
      <c r="O474" s="208">
        <f t="shared" si="101"/>
        <v>0</v>
      </c>
      <c r="P474" s="41">
        <f>IF(ISTEXT(C474),$P$38,IF(ISNUMBER([4]CLOSURES!V16),TEXT([4]CLOSURES!V16,"ddmmm"),IF(C474&lt;=0,0,IF(I474&lt;0,0,IF(AND(C474&gt;0,O474&lt;=0),"&gt;99",IF(I474/O474&gt;100,"&gt;99",MAX(0,I474/O474-2)))))))</f>
        <v>0</v>
      </c>
      <c r="R474" s="153"/>
    </row>
    <row r="475" spans="2:18" s="158" customFormat="1" ht="13" hidden="1" x14ac:dyDescent="0.3">
      <c r="B475" s="40" t="s">
        <v>152</v>
      </c>
      <c r="C475" s="42">
        <f>[4]quotas!V59</f>
        <v>0</v>
      </c>
      <c r="D475" s="208">
        <f>[4]quotas!V59-[4]quotas!V99</f>
        <v>0</v>
      </c>
      <c r="E475" s="208"/>
      <c r="F475" s="64">
        <f>[4]quotas!Y59</f>
        <v>0</v>
      </c>
      <c r="G475" s="208" t="e">
        <f>IF(#REF!="*","*",[4]Cumulative!X69)</f>
        <v>#REF!</v>
      </c>
      <c r="H475" s="11" t="str">
        <f>IF(C475="*","*",IF(C475&gt;0,#REF!/C475*100,"-"))</f>
        <v>-</v>
      </c>
      <c r="I475" s="209" t="e">
        <f>IF(C475="*","*",C475-#REF!)</f>
        <v>#REF!</v>
      </c>
      <c r="J475" s="208">
        <f>IF(C475="*","*",[4]Weeks!V134-[4]Weeks!V174)</f>
        <v>0</v>
      </c>
      <c r="K475" s="208">
        <f>IF(C475="*","*",[4]Weeks!V94-[4]Weeks!V134)</f>
        <v>0</v>
      </c>
      <c r="L475" s="208">
        <f>IF(C475="*","*",[4]Weeks!V54-[4]Weeks!V94)</f>
        <v>0</v>
      </c>
      <c r="M475" s="208">
        <f>IF(C475="*","*",[4]Weeks!V16-[4]Weeks!V54)</f>
        <v>0</v>
      </c>
      <c r="N475" s="11" t="str">
        <f t="shared" si="100"/>
        <v>-</v>
      </c>
      <c r="O475" s="208">
        <f t="shared" si="101"/>
        <v>0</v>
      </c>
      <c r="P475" s="41">
        <f>IF(ISTEXT(C475),$P$38,IF(ISNUMBER([4]CLOSURES!V17),TEXT([4]CLOSURES!V17,"ddmmm"),IF(C475&lt;=0,0,IF(I475&lt;0,0,IF(AND(C475&gt;0,O475&lt;=0),"&gt;99",IF(I475/O475&gt;100,"&gt;99",MAX(0,I475/O475-2)))))))</f>
        <v>0</v>
      </c>
      <c r="R475" s="153"/>
    </row>
    <row r="476" spans="2:18" s="158" customFormat="1" ht="13" hidden="1" x14ac:dyDescent="0.3">
      <c r="B476" s="40" t="s">
        <v>76</v>
      </c>
      <c r="C476" s="42">
        <f>[4]quotas!V60</f>
        <v>0</v>
      </c>
      <c r="D476" s="208">
        <f>[4]quotas!V60-[4]quotas!V100</f>
        <v>0</v>
      </c>
      <c r="E476" s="208"/>
      <c r="F476" s="64">
        <f>[4]quotas!Y60</f>
        <v>0</v>
      </c>
      <c r="G476" s="208" t="e">
        <f>IF(#REF!="*","*",[4]Cumulative!X70)</f>
        <v>#REF!</v>
      </c>
      <c r="H476" s="11" t="str">
        <f>IF(C476="*","*",IF(C476&gt;0,#REF!/C476*100,"-"))</f>
        <v>-</v>
      </c>
      <c r="I476" s="209" t="e">
        <f>IF(C476="*","*",C476-#REF!)</f>
        <v>#REF!</v>
      </c>
      <c r="J476" s="208">
        <f>IF(C476="*","*",[4]Weeks!V137-[4]Weeks!V177)</f>
        <v>0</v>
      </c>
      <c r="K476" s="208">
        <f>IF(C476="*","*",[4]Weeks!V97-[4]Weeks!V137)</f>
        <v>0</v>
      </c>
      <c r="L476" s="208">
        <f>IF(C476="*","*",[4]Weeks!V57-[4]Weeks!V97)</f>
        <v>0</v>
      </c>
      <c r="M476" s="208">
        <f>IF(C476="*","*",[4]Weeks!V17-[4]Weeks!V57)</f>
        <v>0</v>
      </c>
      <c r="N476" s="11" t="str">
        <f t="shared" si="100"/>
        <v>-</v>
      </c>
      <c r="O476" s="208">
        <f t="shared" si="101"/>
        <v>0</v>
      </c>
      <c r="P476" s="41">
        <f>IF(ISTEXT(C476),$P$38,IF(ISNUMBER([4]CLOSURES!V18),TEXT([4]CLOSURES!V18,"ddmmm"),IF(C476&lt;=0,0,IF(I476&lt;0,0,IF(AND(C476&gt;0,O476&lt;=0),"&gt;99",IF(I476/O476&gt;100,"&gt;99",MAX(0,I476/O476-2)))))))</f>
        <v>0</v>
      </c>
      <c r="R476" s="153"/>
    </row>
    <row r="477" spans="2:18" s="158" customFormat="1" ht="13" hidden="1" x14ac:dyDescent="0.3">
      <c r="B477" s="40" t="s">
        <v>77</v>
      </c>
      <c r="C477" s="42">
        <f>[4]quotas!V61</f>
        <v>0</v>
      </c>
      <c r="D477" s="208">
        <f>[4]quotas!V61-[4]quotas!V101</f>
        <v>0</v>
      </c>
      <c r="E477" s="208"/>
      <c r="F477" s="64">
        <f>[4]quotas!Y61</f>
        <v>0</v>
      </c>
      <c r="G477" s="208" t="e">
        <f>IF(#REF!="*","*",[4]Cumulative!X71)</f>
        <v>#REF!</v>
      </c>
      <c r="H477" s="11" t="str">
        <f>IF(C477="*","*",IF(C477&gt;0,#REF!/C477*100,"-"))</f>
        <v>-</v>
      </c>
      <c r="I477" s="209" t="e">
        <f>IF(C477="*","*",C477-#REF!)</f>
        <v>#REF!</v>
      </c>
      <c r="J477" s="208">
        <f>IF(C477="*","*",[4]Weeks!V138-[4]Weeks!V178)</f>
        <v>0</v>
      </c>
      <c r="K477" s="208">
        <f>IF(C477="*","*",[4]Weeks!V98-[4]Weeks!V138)</f>
        <v>0</v>
      </c>
      <c r="L477" s="208">
        <f>IF(C477="*","*",[4]Weeks!V58-[4]Weeks!V98)</f>
        <v>0</v>
      </c>
      <c r="M477" s="208">
        <f>IF(C477="*","*",[4]Weeks!V18-[4]Weeks!V58)</f>
        <v>0</v>
      </c>
      <c r="N477" s="11" t="str">
        <f t="shared" si="100"/>
        <v>-</v>
      </c>
      <c r="O477" s="208">
        <f t="shared" si="101"/>
        <v>0</v>
      </c>
      <c r="P477" s="41">
        <f>IF(ISTEXT(C477),$P$38,IF(ISNUMBER([4]CLOSURES!V19),TEXT([4]CLOSURES!V19,"ddmmm"),IF(C477&lt;=0,0,IF(I477&lt;0,0,IF(AND(C477&gt;0,O477&lt;=0),"&gt;99",IF(I477/O477&gt;100,"&gt;99",MAX(0,I477/O477-2)))))))</f>
        <v>0</v>
      </c>
      <c r="R477" s="153"/>
    </row>
    <row r="478" spans="2:18" s="158" customFormat="1" ht="13" hidden="1" x14ac:dyDescent="0.3">
      <c r="B478" s="40" t="s">
        <v>78</v>
      </c>
      <c r="C478" s="42">
        <f>[4]quotas!V62</f>
        <v>0</v>
      </c>
      <c r="D478" s="208">
        <f>[4]quotas!V62-[4]quotas!V102</f>
        <v>0</v>
      </c>
      <c r="E478" s="208"/>
      <c r="F478" s="64">
        <f>[4]quotas!Y62</f>
        <v>0</v>
      </c>
      <c r="G478" s="208" t="e">
        <f>IF(#REF!="*","*",[4]Cumulative!X72)</f>
        <v>#REF!</v>
      </c>
      <c r="H478" s="11" t="str">
        <f>IF(C478="*","*",IF(C478&gt;0,#REF!/C478*100,"-"))</f>
        <v>-</v>
      </c>
      <c r="I478" s="209" t="e">
        <f>IF(C478="*","*",C478-#REF!)</f>
        <v>#REF!</v>
      </c>
      <c r="J478" s="208">
        <f>IF(C478="*","*",[4]Weeks!V139-[4]Weeks!V179)</f>
        <v>0</v>
      </c>
      <c r="K478" s="208">
        <f>IF(C478="*","*",[4]Weeks!V99-[4]Weeks!V139)</f>
        <v>0</v>
      </c>
      <c r="L478" s="208">
        <f>IF(C478="*","*",[4]Weeks!V59-[4]Weeks!V99)</f>
        <v>0</v>
      </c>
      <c r="M478" s="208">
        <f>IF(C478="*","*",[4]Weeks!V19-[4]Weeks!V59)</f>
        <v>0</v>
      </c>
      <c r="N478" s="11" t="str">
        <f t="shared" si="100"/>
        <v>-</v>
      </c>
      <c r="O478" s="208">
        <f t="shared" si="101"/>
        <v>0</v>
      </c>
      <c r="P478" s="41">
        <f>IF(ISTEXT(C478),$P$38,IF(ISNUMBER([4]CLOSURES!V20),TEXT([4]CLOSURES!V20,"ddmmm"),IF(C478&lt;=0,0,IF(I478&lt;0,0,IF(AND(C478&gt;0,O478&lt;=0),"&gt;99",IF(I478/O478&gt;100,"&gt;99",MAX(0,I478/O478-2)))))))</f>
        <v>0</v>
      </c>
      <c r="R478" s="153"/>
    </row>
    <row r="479" spans="2:18" s="158" customFormat="1" ht="13" hidden="1" x14ac:dyDescent="0.3">
      <c r="B479" s="40" t="s">
        <v>79</v>
      </c>
      <c r="C479" s="42">
        <f>[4]quotas!V63</f>
        <v>0</v>
      </c>
      <c r="D479" s="208">
        <f>[4]quotas!V63-[4]quotas!V103</f>
        <v>0</v>
      </c>
      <c r="E479" s="208"/>
      <c r="F479" s="64">
        <f>[4]quotas!Y63</f>
        <v>0</v>
      </c>
      <c r="G479" s="208" t="e">
        <f>IF(#REF!="*","*",[4]Cumulative!X73)</f>
        <v>#REF!</v>
      </c>
      <c r="H479" s="11" t="str">
        <f>IF(C479="*","*",IF(C479&gt;0,#REF!/C479*100,"-"))</f>
        <v>-</v>
      </c>
      <c r="I479" s="209" t="e">
        <f>IF(C479="*","*",C479-#REF!)</f>
        <v>#REF!</v>
      </c>
      <c r="J479" s="208">
        <f>IF(C479="*","*",[4]Weeks!V140-[4]Weeks!V180)</f>
        <v>0</v>
      </c>
      <c r="K479" s="208">
        <f>IF(C479="*","*",[4]Weeks!V100-[4]Weeks!V140)</f>
        <v>0</v>
      </c>
      <c r="L479" s="208">
        <f>IF(C479="*","*",[4]Weeks!V60-[4]Weeks!V100)</f>
        <v>0</v>
      </c>
      <c r="M479" s="208">
        <f>IF(C479="*","*",[4]Weeks!V20-[4]Weeks!V60)</f>
        <v>0</v>
      </c>
      <c r="N479" s="11" t="str">
        <f t="shared" si="100"/>
        <v>-</v>
      </c>
      <c r="O479" s="208">
        <f t="shared" si="101"/>
        <v>0</v>
      </c>
      <c r="P479" s="41">
        <f>IF(ISTEXT(C479),$P$38,IF(ISNUMBER([4]CLOSURES!V21),TEXT([4]CLOSURES!V21,"ddmmm"),IF(C479&lt;=0,0,IF(I479&lt;0,0,IF(AND(C479&gt;0,O479&lt;=0),"&gt;99",IF(I479/O479&gt;100,"&gt;99",MAX(0,I479/O479-2)))))))</f>
        <v>0</v>
      </c>
      <c r="R479" s="153"/>
    </row>
    <row r="480" spans="2:18" s="158" customFormat="1" ht="13" hidden="1" x14ac:dyDescent="0.3">
      <c r="B480" s="40" t="s">
        <v>80</v>
      </c>
      <c r="C480" s="42">
        <f>[4]quotas!V64</f>
        <v>0</v>
      </c>
      <c r="D480" s="208">
        <f>[4]quotas!V64-[4]quotas!V104</f>
        <v>0</v>
      </c>
      <c r="E480" s="208"/>
      <c r="F480" s="64">
        <f>[4]quotas!Y64</f>
        <v>0</v>
      </c>
      <c r="G480" s="208" t="e">
        <f>IF(#REF!="*","*",[4]Cumulative!X74)</f>
        <v>#REF!</v>
      </c>
      <c r="H480" s="11" t="str">
        <f>IF(C480="*","*",IF(C480&gt;0,#REF!/C480*100,"-"))</f>
        <v>-</v>
      </c>
      <c r="I480" s="209" t="e">
        <f>IF(C480="*","*",C480-#REF!)</f>
        <v>#REF!</v>
      </c>
      <c r="J480" s="208">
        <f>IF(C480="*","*",[4]Weeks!V141-[4]Weeks!V181)</f>
        <v>0</v>
      </c>
      <c r="K480" s="208">
        <f>IF(C480="*","*",[4]Weeks!V101-[4]Weeks!V141)</f>
        <v>0</v>
      </c>
      <c r="L480" s="208">
        <f>IF(C480="*","*",[4]Weeks!V61-[4]Weeks!V101)</f>
        <v>0</v>
      </c>
      <c r="M480" s="208">
        <f>IF(C480="*","*",[4]Weeks!V21-[4]Weeks!V61)</f>
        <v>0</v>
      </c>
      <c r="N480" s="11" t="str">
        <f t="shared" si="100"/>
        <v>-</v>
      </c>
      <c r="O480" s="208">
        <f t="shared" si="101"/>
        <v>0</v>
      </c>
      <c r="P480" s="41">
        <f>IF(ISTEXT(C480),$P$38,IF(ISNUMBER([4]CLOSURES!V22),TEXT([4]CLOSURES!V22,"ddmmm"),IF(C480&lt;=0,0,IF(I480&lt;0,0,IF(AND(C480&gt;0,O480&lt;=0),"&gt;99",IF(I480/O480&gt;100,"&gt;99",MAX(0,I480/O480-2)))))))</f>
        <v>0</v>
      </c>
      <c r="R480" s="153"/>
    </row>
    <row r="481" spans="1:254" s="158" customFormat="1" ht="13" hidden="1" x14ac:dyDescent="0.3">
      <c r="B481" s="40" t="s">
        <v>81</v>
      </c>
      <c r="C481" s="42">
        <f>[4]quotas!V65</f>
        <v>0</v>
      </c>
      <c r="D481" s="208">
        <f>[4]quotas!V65-[4]quotas!V105</f>
        <v>0</v>
      </c>
      <c r="E481" s="208"/>
      <c r="F481" s="64">
        <f>[4]quotas!Y65</f>
        <v>0</v>
      </c>
      <c r="G481" s="208" t="e">
        <f>IF(#REF!="*","*",[4]Cumulative!X75)</f>
        <v>#REF!</v>
      </c>
      <c r="H481" s="11" t="str">
        <f>IF(C481="*","*",IF(C481&gt;0,#REF!/C481*100,"-"))</f>
        <v>-</v>
      </c>
      <c r="I481" s="209" t="e">
        <f>IF(C481="*","*",C481-#REF!)</f>
        <v>#REF!</v>
      </c>
      <c r="J481" s="208">
        <f>IF(C481="*","*",[4]Weeks!V142-[4]Weeks!V182)</f>
        <v>0</v>
      </c>
      <c r="K481" s="208">
        <f>IF(C481="*","*",[4]Weeks!V102-[4]Weeks!V142)</f>
        <v>0</v>
      </c>
      <c r="L481" s="208">
        <f>IF(C481="*","*",[4]Weeks!V62-[4]Weeks!V102)</f>
        <v>0</v>
      </c>
      <c r="M481" s="208">
        <f>IF(C481="*","*",[4]Weeks!V22-[4]Weeks!V62)</f>
        <v>0</v>
      </c>
      <c r="N481" s="11" t="str">
        <f t="shared" si="100"/>
        <v>-</v>
      </c>
      <c r="O481" s="208">
        <f t="shared" si="101"/>
        <v>0</v>
      </c>
      <c r="P481" s="41">
        <f>IF(ISTEXT(C481),$P$38,IF(ISNUMBER([4]CLOSURES!V23),TEXT([4]CLOSURES!V23,"ddmmm"),IF(C481&lt;=0,0,IF(I481&lt;0,0,IF(AND(C481&gt;0,O481&lt;=0),"&gt;99",IF(I481/O481&gt;100,"&gt;99",MAX(0,I481/O481-2)))))))</f>
        <v>0</v>
      </c>
      <c r="R481" s="153"/>
    </row>
    <row r="482" spans="1:254" s="158" customFormat="1" ht="13" hidden="1" x14ac:dyDescent="0.3">
      <c r="B482" s="40" t="s">
        <v>103</v>
      </c>
      <c r="C482" s="42">
        <f>[4]quotas!V66</f>
        <v>0</v>
      </c>
      <c r="D482" s="208">
        <f>[4]quotas!V66-[4]quotas!V106</f>
        <v>0</v>
      </c>
      <c r="E482" s="208"/>
      <c r="F482" s="64">
        <f>[4]quotas!Y66</f>
        <v>0</v>
      </c>
      <c r="G482" s="208" t="e">
        <f>IF(#REF!="*","*",[4]Cumulative!X76)</f>
        <v>#REF!</v>
      </c>
      <c r="H482" s="11" t="str">
        <f>IF(C482="*","*",IF(C482&gt;0,#REF!/C482*100,"-"))</f>
        <v>-</v>
      </c>
      <c r="I482" s="209" t="e">
        <f>IF(C482="*","*",C482-#REF!)</f>
        <v>#REF!</v>
      </c>
      <c r="J482" s="208">
        <f>IF(C482="*","*",[4]Weeks!V143-[4]Weeks!V183)</f>
        <v>0</v>
      </c>
      <c r="K482" s="208">
        <f>IF(C482="*","*",[4]Weeks!V103-[4]Weeks!V143)</f>
        <v>0</v>
      </c>
      <c r="L482" s="208">
        <f>IF(C482="*","*",[4]Weeks!V63-[4]Weeks!V103)</f>
        <v>0</v>
      </c>
      <c r="M482" s="208">
        <f>IF(C482="*","*",[4]Weeks!V23-[4]Weeks!V63)</f>
        <v>0</v>
      </c>
      <c r="N482" s="11" t="str">
        <f t="shared" si="100"/>
        <v>-</v>
      </c>
      <c r="O482" s="208">
        <f t="shared" si="101"/>
        <v>0</v>
      </c>
      <c r="P482" s="41">
        <f>IF(ISTEXT(C482),$P$38,IF(ISNUMBER([4]CLOSURES!V24),TEXT([4]CLOSURES!V24,"ddmmm"),IF(C482&lt;=0,0,IF(I482&lt;0,0,IF(AND(C482&gt;0,O482&lt;=0),"&gt;99",IF(I482/O482&gt;100,"&gt;99",MAX(0,I482/O482-2)))))))</f>
        <v>0</v>
      </c>
      <c r="R482" s="153"/>
    </row>
    <row r="483" spans="1:254" s="158" customFormat="1" ht="13" hidden="1" x14ac:dyDescent="0.3">
      <c r="B483" s="40" t="s">
        <v>104</v>
      </c>
      <c r="C483" s="42">
        <f>[4]quotas!V67</f>
        <v>0</v>
      </c>
      <c r="D483" s="208">
        <f>[4]quotas!V67-[4]quotas!V107</f>
        <v>0</v>
      </c>
      <c r="E483" s="208"/>
      <c r="F483" s="64">
        <f>[4]quotas!Y67</f>
        <v>0</v>
      </c>
      <c r="G483" s="208" t="e">
        <f>IF(#REF!="*","*",[4]Cumulative!X77)</f>
        <v>#REF!</v>
      </c>
      <c r="H483" s="11" t="str">
        <f>IF(C483="*","*",IF(C483&gt;0,#REF!/C483*100,"-"))</f>
        <v>-</v>
      </c>
      <c r="I483" s="209" t="e">
        <f>IF(C483="*","*",C483-#REF!)</f>
        <v>#REF!</v>
      </c>
      <c r="J483" s="208">
        <f>IF(C483="*","*",[4]Weeks!V144-[4]Weeks!V184)</f>
        <v>0</v>
      </c>
      <c r="K483" s="208">
        <f>IF(C483="*","*",[4]Weeks!V104-[4]Weeks!V144)</f>
        <v>0</v>
      </c>
      <c r="L483" s="208">
        <f>IF(C483="*","*",[4]Weeks!V64-[4]Weeks!V104)</f>
        <v>0</v>
      </c>
      <c r="M483" s="208">
        <f>IF(C483="*","*",[4]Weeks!V24-[4]Weeks!V64)</f>
        <v>0</v>
      </c>
      <c r="N483" s="11" t="str">
        <f t="shared" si="100"/>
        <v>-</v>
      </c>
      <c r="O483" s="208">
        <f t="shared" si="101"/>
        <v>0</v>
      </c>
      <c r="P483" s="41">
        <f>IF(ISTEXT(C483),$P$38,IF(ISNUMBER([4]CLOSURES!V25),TEXT([4]CLOSURES!V25,"ddmmm"),IF(C483&lt;=0,0,IF(I483&lt;0,0,IF(AND(C483&gt;0,O483&lt;=0),"&gt;99",IF(I483/O483&gt;100,"&gt;99",MAX(0,I483/O483-2)))))))</f>
        <v>0</v>
      </c>
      <c r="R483" s="153"/>
    </row>
    <row r="484" spans="1:254" s="158" customFormat="1" ht="13" hidden="1" x14ac:dyDescent="0.3">
      <c r="B484" s="40" t="s">
        <v>70</v>
      </c>
      <c r="C484" s="42">
        <f>[4]quotas!V68</f>
        <v>0</v>
      </c>
      <c r="D484" s="208">
        <f>[4]quotas!V68-[4]quotas!V108</f>
        <v>0</v>
      </c>
      <c r="E484" s="208"/>
      <c r="F484" s="64">
        <f>[4]quotas!Y68</f>
        <v>0</v>
      </c>
      <c r="G484" s="208" t="e">
        <f>IF(#REF!="*","*",[4]Cumulative!X64)</f>
        <v>#REF!</v>
      </c>
      <c r="H484" s="11" t="str">
        <f>IF(C484="*","*",IF(C484&gt;0,#REF!/C484*100,"-"))</f>
        <v>-</v>
      </c>
      <c r="I484" s="209" t="e">
        <f>IF(C484="*","*",C484-#REF!)</f>
        <v>#REF!</v>
      </c>
      <c r="J484" s="208">
        <f>IF(C484="*","*",[4]Weeks!V145-[4]Weeks!V185)</f>
        <v>0</v>
      </c>
      <c r="K484" s="208">
        <f>IF(C484="*","*",[4]Weeks!V105-[4]Weeks!V145)</f>
        <v>0</v>
      </c>
      <c r="L484" s="208">
        <f>IF(C484="*","*",[4]Weeks!V65-[4]Weeks!V105)</f>
        <v>0</v>
      </c>
      <c r="M484" s="208">
        <f>IF(C484="*","*",[4]Weeks!V25-[4]Weeks!V65)</f>
        <v>0</v>
      </c>
      <c r="N484" s="11" t="str">
        <f t="shared" si="100"/>
        <v>-</v>
      </c>
      <c r="O484" s="208">
        <f t="shared" si="101"/>
        <v>0</v>
      </c>
      <c r="P484" s="41">
        <f>IF(ISTEXT(C484),$P$38,IF(ISNUMBER([4]CLOSURES!V12),TEXT([4]CLOSURES!V12,"ddmmm"),IF(C484&lt;=0,0,IF(I484&lt;0,0,IF(AND(C484&gt;0,O484&lt;=0),"&gt;99",IF(I484/O484&gt;100,"&gt;99",MAX(0,I484/O484-2)))))))</f>
        <v>0</v>
      </c>
      <c r="R484" s="153"/>
    </row>
    <row r="485" spans="1:254" s="158" customFormat="1" ht="13" hidden="1" x14ac:dyDescent="0.3">
      <c r="B485" s="40" t="s">
        <v>105</v>
      </c>
      <c r="C485" s="42">
        <f>[4]quotas!V56</f>
        <v>0</v>
      </c>
      <c r="D485" s="208">
        <f>[4]quotas!V56-[4]quotas!V96</f>
        <v>0</v>
      </c>
      <c r="E485" s="208"/>
      <c r="F485" s="64">
        <f>[4]quotas!Y56</f>
        <v>0</v>
      </c>
      <c r="G485" s="208" t="e">
        <f>IF(#REF!="*","*",SUM([4]Cumulative!X66:X66))</f>
        <v>#REF!</v>
      </c>
      <c r="H485" s="11" t="str">
        <f>IF(C485="*","*",IF(C485&gt;0,#REF!/C485*100,"-"))</f>
        <v>-</v>
      </c>
      <c r="I485" s="209" t="e">
        <f>IF(C485="*","*",C485-#REF!)</f>
        <v>#REF!</v>
      </c>
      <c r="J485" s="208">
        <f>IF(C485="*","*",[4]Weeks!V146-[4]Weeks!V186)</f>
        <v>0</v>
      </c>
      <c r="K485" s="208">
        <f>IF(C485="*","*",[4]Weeks!V106-[4]Weeks!V146)</f>
        <v>0</v>
      </c>
      <c r="L485" s="208">
        <f>IF(C485="*","*",[4]Weeks!V66-[4]Weeks!V106)</f>
        <v>0</v>
      </c>
      <c r="M485" s="208">
        <f>IF(C485="*","*",[4]Weeks!V13-[4]Weeks!V66)</f>
        <v>0</v>
      </c>
      <c r="N485" s="11" t="str">
        <f t="shared" si="100"/>
        <v>-</v>
      </c>
      <c r="O485" s="208">
        <f t="shared" si="101"/>
        <v>0</v>
      </c>
      <c r="P485" s="41">
        <f>IF(ISTEXT(C485),$P$38,IF(ISNUMBER([4]CLOSURES!V14),TEXT([4]CLOSURES!V14,"ddmmm"),IF(C485&lt;=0,0,IF(I485&lt;0,0,IF(AND(C485&gt;0,O485&lt;=0),"&gt;99",IF(I485/O485&gt;100,"&gt;99",MAX(0,I485/O485-2)))))))</f>
        <v>0</v>
      </c>
      <c r="R485" s="153"/>
    </row>
    <row r="486" spans="1:254" ht="13" hidden="1" x14ac:dyDescent="0.3">
      <c r="A486" s="158"/>
      <c r="B486" s="52" t="s">
        <v>87</v>
      </c>
      <c r="C486" s="42">
        <f>[4]quotas!V73</f>
        <v>0</v>
      </c>
      <c r="D486" s="208">
        <f>[4]quotas!V73-[4]quotas!V113</f>
        <v>0</v>
      </c>
      <c r="E486" s="208"/>
      <c r="F486" s="64">
        <f>[4]quotas!Y73</f>
        <v>0</v>
      </c>
      <c r="G486" s="208" t="e">
        <f>IF(#REF!="*","*",([4]Cumulative!X58+[4]Cumulative!X61)+SUM([4]Cumulative!X64:X69)+SUM([4]Cumulative!X76:X77)+[4]Cumulative!X80)</f>
        <v>#REF!</v>
      </c>
      <c r="H486" s="11" t="str">
        <f>IF(C486="*","*",IF(C486&gt;0,#REF!/C486*100,"-"))</f>
        <v>-</v>
      </c>
      <c r="I486" s="209" t="e">
        <f>IF(C486="*","*",C486-#REF!)</f>
        <v>#REF!</v>
      </c>
      <c r="J486" s="208">
        <f>IF(C486="*","*",[4]Weeks!V147-[4]Weeks!V187)</f>
        <v>0</v>
      </c>
      <c r="K486" s="208">
        <f>IF(C486="*","*",[4]Weeks!V107-[4]Weeks!V147)</f>
        <v>0</v>
      </c>
      <c r="L486" s="208">
        <f>IF(C486="*","*",[4]Weeks!V67-[4]Weeks!V107)</f>
        <v>0</v>
      </c>
      <c r="M486" s="208">
        <f>IF(C486="*","*",[4]Weeks!V27-[4]Weeks!V67)</f>
        <v>0</v>
      </c>
      <c r="N486" s="11" t="str">
        <f t="shared" si="100"/>
        <v>-</v>
      </c>
      <c r="O486" s="208">
        <f t="shared" si="101"/>
        <v>0</v>
      </c>
      <c r="P486" s="41">
        <f>IF(ISTEXT(C486),$P$38,IF(ISNUMBER([4]CLOSURES!V33),TEXT([4]CLOSURES!V33,"ddmmm"),IF(C486&lt;=0,0,IF(I486&lt;0,0,IF(AND(C486&gt;0,O486&lt;=0),"&gt;99",IF(I486/O486&gt;100,"&gt;99",MAX(0,I486/O486-2)))))))</f>
        <v>0</v>
      </c>
      <c r="Q486" s="158"/>
    </row>
    <row r="487" spans="1:254" ht="13" hidden="1" x14ac:dyDescent="0.3">
      <c r="A487" s="158"/>
      <c r="B487" s="44" t="s">
        <v>88</v>
      </c>
      <c r="C487" s="42">
        <f>[4]quotas!V74</f>
        <v>0</v>
      </c>
      <c r="D487" s="208">
        <f>[4]quotas!V74-[4]quotas!V114</f>
        <v>0</v>
      </c>
      <c r="E487" s="208"/>
      <c r="F487" s="64">
        <f>[4]quotas!Y74</f>
        <v>0</v>
      </c>
      <c r="G487" s="208" t="e">
        <f>IF(#REF!="*","*",[4]Cumulative!X84)</f>
        <v>#REF!</v>
      </c>
      <c r="H487" s="11" t="str">
        <f>IF(C487="*","*",IF(C487&gt;0,#REF!/C487*100,"-"))</f>
        <v>-</v>
      </c>
      <c r="I487" s="209" t="e">
        <f>IF(C487="*","*",C487-#REF!)</f>
        <v>#REF!</v>
      </c>
      <c r="J487" s="208">
        <f>IF(C487="*","*",[4]Weeks!V135-[4]Weeks!V175)</f>
        <v>0</v>
      </c>
      <c r="K487" s="208">
        <f>IF(C487="*","*",[4]Weeks!V95-[4]Weeks!V135)</f>
        <v>0</v>
      </c>
      <c r="L487" s="208">
        <f>IF(C487="*","*",[4]Weeks!V55-[4]Weeks!V95)</f>
        <v>0</v>
      </c>
      <c r="M487" s="208">
        <f>IF(C487="*","*",[4]Weeks!V28-[4]Weeks!V55)</f>
        <v>0</v>
      </c>
      <c r="N487" s="11" t="str">
        <f t="shared" si="100"/>
        <v>-</v>
      </c>
      <c r="O487" s="208">
        <f t="shared" si="101"/>
        <v>0</v>
      </c>
      <c r="P487" s="41">
        <f>IF(ISTEXT(C487),$P$38,IF(ISNUMBER([4]CLOSURES!V35),TEXT([4]CLOSURES!V35,"ddmmm"),IF(C487&lt;=0,0,IF(I487&lt;0,0,IF(AND(C487&gt;0,O487&lt;=0),"&gt;99",IF(I487/O487&gt;100,"&gt;99",MAX(0,I487/O487-2)))))))</f>
        <v>0</v>
      </c>
      <c r="Q487" s="158"/>
    </row>
    <row r="488" spans="1:254" ht="13" hidden="1" x14ac:dyDescent="0.3">
      <c r="A488" s="158"/>
      <c r="B488" s="44" t="s">
        <v>89</v>
      </c>
      <c r="C488" s="42">
        <f>[4]quotas!V78</f>
        <v>0</v>
      </c>
      <c r="D488" s="208">
        <f>[4]quotas!V78-[4]quotas!V118</f>
        <v>0</v>
      </c>
      <c r="E488" s="208"/>
      <c r="F488" s="64">
        <f>[4]quotas!Y78</f>
        <v>0</v>
      </c>
      <c r="G488" s="208" t="e">
        <f>IF(#REF!="*","*",[4]Cumulative!X85)</f>
        <v>#REF!</v>
      </c>
      <c r="H488" s="11" t="str">
        <f>IF(C488="*","*",IF(C488&gt;0,#REF!/C488*100,"-"))</f>
        <v>-</v>
      </c>
      <c r="I488" s="209" t="e">
        <f>IF(C488="*","*",C488-#REF!)</f>
        <v>#REF!</v>
      </c>
      <c r="J488" s="208">
        <f>IF(C488="*","*",[4]Weeks!V152-[4]Weeks!V192)</f>
        <v>0</v>
      </c>
      <c r="K488" s="208">
        <f>IF(C488="*","*",[4]Weeks!V112-[4]Weeks!V152)</f>
        <v>0</v>
      </c>
      <c r="L488" s="208">
        <f>IF(C488="*","*",[4]Weeks!V72-[4]Weeks!V112)</f>
        <v>0</v>
      </c>
      <c r="M488" s="208">
        <f>IF(C488="*","*",[4]Weeks!V32-[4]Weeks!V72)</f>
        <v>0</v>
      </c>
      <c r="N488" s="11" t="str">
        <f t="shared" si="100"/>
        <v>-</v>
      </c>
      <c r="O488" s="208">
        <f t="shared" si="101"/>
        <v>0</v>
      </c>
      <c r="P488" s="41">
        <f>IF(ISTEXT(C488),$P$38,IF(ISNUMBER([4]CLOSURES!V39),TEXT([4]CLOSURES!V39,"ddmmm"),IF(C488&lt;=0,0,IF(I488&lt;0,0,IF(AND(C488&gt;0,O488&lt;=0),"&gt;99",IF(I488/O488&gt;100,"&gt;99",MAX(0,I488/O488-2)))))))</f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f>[4]PELAGIC!P24</f>
        <v>0</v>
      </c>
      <c r="D490" s="47">
        <f>[4]quotas!V80-[4]quotas!V120</f>
        <v>0</v>
      </c>
      <c r="E490" s="47"/>
      <c r="F490" s="65" t="e">
        <f>[4]PELAGIC!S24</f>
        <v>#DIV/0!</v>
      </c>
      <c r="G490" s="47" t="e">
        <f>SUM(G466:G489)</f>
        <v>#REF!</v>
      </c>
      <c r="H490" s="53" t="str">
        <f>IF(C490="*","*",IF(C490&gt;0,#REF!/C490*100,"-"))</f>
        <v>-</v>
      </c>
      <c r="I490" s="46" t="e">
        <f>C490-#REF!</f>
        <v>#REF!</v>
      </c>
      <c r="J490" s="47">
        <f>SUM(J466:J489)</f>
        <v>0</v>
      </c>
      <c r="K490" s="47">
        <f>SUM(K466:K489)</f>
        <v>0</v>
      </c>
      <c r="L490" s="47">
        <f>SUM(L466:L489)</f>
        <v>0</v>
      </c>
      <c r="M490" s="47" t="e">
        <f>SUM(M466:M489)</f>
        <v>#VALUE!</v>
      </c>
      <c r="N490" s="53" t="str">
        <f>IF(C490="*","*",IF(C490&gt;0,M490/C490*100,"-"))</f>
        <v>-</v>
      </c>
      <c r="O490" s="47" t="e">
        <f>IF(C490="*","*",SUM(J490:M490)/4)</f>
        <v>#VALUE!</v>
      </c>
      <c r="P490" s="49">
        <f>IF(ISTEXT(C490),$P$38,IF(ISNUMBER([4]CLOSURES!#REF!),TEXT([4]CLOSURES!#REF!,"ddmmm"),IF(C490&lt;=0,0,IF(I490&lt;0,0,IF(AND(C490&gt;0,O490&lt;=0),"&gt;99",IF(I490/O490&gt;100,"&gt;99",MAX(0,I490/O490-2)))))))</f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f>$J7</f>
        <v>44895</v>
      </c>
      <c r="K496" s="33">
        <f>$K7</f>
        <v>44902</v>
      </c>
      <c r="L496" s="33">
        <f>$L7</f>
        <v>44909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f>[4]quotas!P47</f>
        <v>0</v>
      </c>
      <c r="D500" s="208">
        <f>[4]quotas!P47-[4]quotas!P87</f>
        <v>0</v>
      </c>
      <c r="E500" s="208"/>
      <c r="F500" s="64">
        <f>[4]quotas!S47</f>
        <v>0</v>
      </c>
      <c r="G500" s="208" t="e">
        <f>IF(#REF!="*","*",[4]Cumulative!R57)</f>
        <v>#REF!</v>
      </c>
      <c r="H500" s="11" t="str">
        <f>IF(C500="*","*",IF(C500&gt;0,#REF!/C500*100,"-"))</f>
        <v>-</v>
      </c>
      <c r="I500" s="209" t="e">
        <f>IF(C500="*","*",C500-#REF!)</f>
        <v>#REF!</v>
      </c>
      <c r="J500" s="208">
        <f>IF(C500="*","*",[4]Weeks!P126-[4]Weeks!P166)</f>
        <v>0</v>
      </c>
      <c r="K500" s="208">
        <f>IF(C500="*","*",[4]Weeks!P86-[4]Weeks!P126)</f>
        <v>0</v>
      </c>
      <c r="L500" s="208">
        <f>IF(C500="*","*",[4]Weeks!P46-[4]Weeks!P86)</f>
        <v>0</v>
      </c>
      <c r="M500" s="208" t="e">
        <f>IF(C500="*","*",[4]Weeks!P4-[4]Weeks!P46)</f>
        <v>#VALUE!</v>
      </c>
      <c r="N500" s="11" t="str">
        <f t="shared" ref="N500:N522" si="102">IF(C500="*","*",IF(C500&gt;0,M500/C500*100,"-"))</f>
        <v>-</v>
      </c>
      <c r="O500" s="208" t="e">
        <f t="shared" ref="O500:O522" si="103">IF(C500="*","*",SUM(J500:M500)/4)</f>
        <v>#VALUE!</v>
      </c>
      <c r="P500" s="41">
        <f>IF(ISTEXT(C500),$P$38,IF(ISNUMBER([4]CLOSURES!P5),TEXT([4]CLOSURES!P5,"ddmmm"),IF(C500&lt;=0,0,IF(I500&lt;0,0,IF(AND(C500&gt;0,O500&lt;=0),"&gt;99",IF(I500/O500&gt;100,"&gt;99",MAX(0,I500/O500-2)))))))</f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f>[4]quotas!P48</f>
        <v>0</v>
      </c>
      <c r="D501" s="208">
        <f>[4]quotas!P48-[4]quotas!P88</f>
        <v>0</v>
      </c>
      <c r="E501" s="208"/>
      <c r="F501" s="64">
        <f>[4]quotas!S48</f>
        <v>0</v>
      </c>
      <c r="G501" s="208" t="e">
        <f>IF(#REF!="*","*",[4]Cumulative!R58)</f>
        <v>#REF!</v>
      </c>
      <c r="H501" s="11" t="str">
        <f>IF(C501="*","*",IF(C501&gt;0,#REF!/C501*100,"-"))</f>
        <v>-</v>
      </c>
      <c r="I501" s="209" t="e">
        <f>IF(C501="*","*",C501-#REF!)</f>
        <v>#REF!</v>
      </c>
      <c r="J501" s="208">
        <f>IF(C501="*","*",[4]Weeks!P127-[4]Weeks!P167)</f>
        <v>0</v>
      </c>
      <c r="K501" s="208">
        <f>IF(C501="*","*",[4]Weeks!P87-[4]Weeks!P127)</f>
        <v>0</v>
      </c>
      <c r="L501" s="208">
        <f>IF(C501="*","*",[4]Weeks!P47-[4]Weeks!P87)</f>
        <v>0</v>
      </c>
      <c r="M501" s="208">
        <f>IF(C501="*","*",[4]Weeks!P5-[4]Weeks!P47)</f>
        <v>0</v>
      </c>
      <c r="N501" s="11" t="str">
        <f t="shared" si="102"/>
        <v>-</v>
      </c>
      <c r="O501" s="208">
        <f t="shared" si="103"/>
        <v>0</v>
      </c>
      <c r="P501" s="41">
        <f>IF(ISTEXT(C501),$P$38,IF(ISNUMBER([4]CLOSURES!P6),TEXT([4]CLOSURES!P6,"ddmmm"),IF(C501&lt;=0,0,IF(I501&lt;0,0,IF(AND(C501&gt;0,O501&lt;=0),"&gt;99",IF(I501/O501&gt;100,"&gt;99",MAX(0,I501/O501-2)))))))</f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f>[4]quotas!P49</f>
        <v>0</v>
      </c>
      <c r="D502" s="208">
        <f>[4]quotas!P49-[4]quotas!P89</f>
        <v>0</v>
      </c>
      <c r="E502" s="208"/>
      <c r="F502" s="64">
        <f>[4]quotas!S49</f>
        <v>0</v>
      </c>
      <c r="G502" s="208" t="e">
        <f>IF(#REF!="*","*",[4]Cumulative!R59)</f>
        <v>#REF!</v>
      </c>
      <c r="H502" s="11" t="str">
        <f>IF(C502="*","*",IF(C502&gt;0,#REF!/C502*100,"-"))</f>
        <v>-</v>
      </c>
      <c r="I502" s="209" t="e">
        <f>IF(C502="*","*",C502-#REF!)</f>
        <v>#REF!</v>
      </c>
      <c r="J502" s="208">
        <f>IF(C502="*","*",[4]Weeks!P128-[4]Weeks!P168)</f>
        <v>0</v>
      </c>
      <c r="K502" s="208">
        <f>IF(C502="*","*",[4]Weeks!P88-[4]Weeks!P128)</f>
        <v>0</v>
      </c>
      <c r="L502" s="208">
        <f>IF(C502="*","*",[4]Weeks!P48-[4]Weeks!P88)</f>
        <v>0</v>
      </c>
      <c r="M502" s="208">
        <f>IF(C502="*","*",[4]Weeks!P6-[4]Weeks!P48)</f>
        <v>0</v>
      </c>
      <c r="N502" s="11" t="str">
        <f t="shared" si="102"/>
        <v>-</v>
      </c>
      <c r="O502" s="208">
        <f t="shared" si="103"/>
        <v>0</v>
      </c>
      <c r="P502" s="41">
        <f>IF(ISTEXT(C502),$P$38,IF(ISNUMBER([4]CLOSURES!P7),TEXT([4]CLOSURES!P7,"ddmmm"),IF(C502&lt;=0,0,IF(I502&lt;0,0,IF(AND(C502&gt;0,O502&lt;=0),"&gt;99",IF(I502/O502&gt;100,"&gt;99",MAX(0,I502/O502-2)))))))</f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f>[4]quotas!P50</f>
        <v>0</v>
      </c>
      <c r="D503" s="208">
        <f>[4]quotas!P50-[4]quotas!P90</f>
        <v>0</v>
      </c>
      <c r="E503" s="208"/>
      <c r="F503" s="64">
        <f>[4]quotas!S50</f>
        <v>0</v>
      </c>
      <c r="G503" s="208" t="e">
        <f>IF(#REF!="*","*",[4]Cumulative!R60)</f>
        <v>#REF!</v>
      </c>
      <c r="H503" s="11" t="str">
        <f>IF(C503="*","*",IF(C503&gt;0,#REF!/C503*100,"-"))</f>
        <v>-</v>
      </c>
      <c r="I503" s="209" t="e">
        <f>IF(C503="*","*",C503-#REF!)</f>
        <v>#REF!</v>
      </c>
      <c r="J503" s="208">
        <f>IF(C503="*","*",[4]Weeks!P129-[4]Weeks!P169)</f>
        <v>0</v>
      </c>
      <c r="K503" s="208">
        <f>IF(C503="*","*",[4]Weeks!P89-[4]Weeks!P129)</f>
        <v>0</v>
      </c>
      <c r="L503" s="208">
        <f>IF(C503="*","*",[4]Weeks!P49-[4]Weeks!P89)</f>
        <v>0</v>
      </c>
      <c r="M503" s="208">
        <f>IF(C503="*","*",[4]Weeks!P7-[4]Weeks!P49)</f>
        <v>0</v>
      </c>
      <c r="N503" s="11" t="str">
        <f t="shared" si="102"/>
        <v>-</v>
      </c>
      <c r="O503" s="208">
        <f t="shared" si="103"/>
        <v>0</v>
      </c>
      <c r="P503" s="41">
        <f>IF(ISTEXT(C503),$P$38,IF(ISNUMBER([4]CLOSURES!P8),TEXT([4]CLOSURES!P8,"ddmmm"),IF(C503&lt;=0,0,IF(I503&lt;0,0,IF(AND(C503&gt;0,O503&lt;=0),"&gt;99",IF(I503/O503&gt;100,"&gt;99",MAX(0,I503/O503-2)))))))</f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f>[4]quotas!P51</f>
        <v>0</v>
      </c>
      <c r="D504" s="208">
        <f>[4]quotas!P51-[4]quotas!P91</f>
        <v>0</v>
      </c>
      <c r="E504" s="208"/>
      <c r="F504" s="64">
        <f>[4]quotas!S51</f>
        <v>0</v>
      </c>
      <c r="G504" s="208" t="e">
        <f>IF(#REF!="*","*",[4]Cumulative!R61)</f>
        <v>#REF!</v>
      </c>
      <c r="H504" s="11" t="str">
        <f>IF(C504="*","*",IF(C504&gt;0,#REF!/C504*100,"-"))</f>
        <v>-</v>
      </c>
      <c r="I504" s="209" t="e">
        <f>IF(C504="*","*",C504-#REF!)</f>
        <v>#REF!</v>
      </c>
      <c r="J504" s="208">
        <f>IF(C504="*","*",[4]Weeks!P130-[4]Weeks!P170)</f>
        <v>0</v>
      </c>
      <c r="K504" s="208">
        <f>IF(C504="*","*",[4]Weeks!P90-[4]Weeks!P130)</f>
        <v>0</v>
      </c>
      <c r="L504" s="208">
        <f>IF(C504="*","*",[4]Weeks!P50-[4]Weeks!P90)</f>
        <v>0</v>
      </c>
      <c r="M504" s="208">
        <f>IF(C504="*","*",[4]Weeks!P8-[4]Weeks!P50)</f>
        <v>0</v>
      </c>
      <c r="N504" s="11" t="str">
        <f t="shared" si="102"/>
        <v>-</v>
      </c>
      <c r="O504" s="208">
        <f t="shared" si="103"/>
        <v>0</v>
      </c>
      <c r="P504" s="41">
        <f>IF(ISTEXT(C504),$P$38,IF(ISNUMBER([4]CLOSURES!P9),TEXT([4]CLOSURES!P9,"ddmmm"),IF(C504&lt;=0,0,IF(I504&lt;0,0,IF(AND(C504&gt;0,O504&lt;=0),"&gt;99",IF(I504/O504&gt;100,"&gt;99",MAX(0,I504/O504-2)))))))</f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f>[4]quotas!P52</f>
        <v>0</v>
      </c>
      <c r="D505" s="208">
        <f>[4]quotas!P52-[4]quotas!P92</f>
        <v>0</v>
      </c>
      <c r="E505" s="208"/>
      <c r="F505" s="64">
        <f>[4]quotas!S52</f>
        <v>0</v>
      </c>
      <c r="G505" s="208" t="e">
        <f>IF(#REF!="*","*",[4]Cumulative!R62)</f>
        <v>#REF!</v>
      </c>
      <c r="H505" s="11" t="str">
        <f>IF(C505="*","*",IF(C505&gt;0,#REF!/C505*100,"-"))</f>
        <v>-</v>
      </c>
      <c r="I505" s="209" t="e">
        <f>IF(C505="*","*",C505-#REF!)</f>
        <v>#REF!</v>
      </c>
      <c r="J505" s="208">
        <f>IF(C505="*","*",[4]Weeks!P131-[4]Weeks!P171)</f>
        <v>0</v>
      </c>
      <c r="K505" s="208">
        <f>IF(C505="*","*",[4]Weeks!P91-[4]Weeks!P131)</f>
        <v>0</v>
      </c>
      <c r="L505" s="208">
        <f>IF(C505="*","*",[4]Weeks!P51-[4]Weeks!P91)</f>
        <v>0</v>
      </c>
      <c r="M505" s="208">
        <f>IF(C505="*","*",[4]Weeks!P9-[4]Weeks!P51)</f>
        <v>0</v>
      </c>
      <c r="N505" s="11" t="str">
        <f t="shared" si="102"/>
        <v>-</v>
      </c>
      <c r="O505" s="208">
        <f t="shared" si="103"/>
        <v>0</v>
      </c>
      <c r="P505" s="41">
        <f>IF(ISTEXT(C505),$P$38,IF(ISNUMBER([4]CLOSURES!P10),TEXT([4]CLOSURES!P10,"ddmmm"),IF(C505&lt;=0,0,IF(I505&lt;0,0,IF(AND(C505&gt;0,O505&lt;=0),"&gt;99",IF(I505/O505&gt;100,"&gt;99",MAX(0,I505/O505-2)))))))</f>
        <v>0</v>
      </c>
      <c r="R505" s="153"/>
    </row>
    <row r="506" spans="2:18" s="158" customFormat="1" ht="13" hidden="1" x14ac:dyDescent="0.3">
      <c r="B506" s="40" t="s">
        <v>69</v>
      </c>
      <c r="C506" s="42">
        <f>[4]quotas!P53</f>
        <v>0</v>
      </c>
      <c r="D506" s="208">
        <f>[4]quotas!P53-[4]quotas!P93</f>
        <v>0</v>
      </c>
      <c r="E506" s="208"/>
      <c r="F506" s="64">
        <f>[4]quotas!S53</f>
        <v>0</v>
      </c>
      <c r="G506" s="208" t="e">
        <f>IF(#REF!="*","*",[4]Cumulative!R63)</f>
        <v>#REF!</v>
      </c>
      <c r="H506" s="11" t="str">
        <f>IF(C506="*","*",IF(C506&gt;0,#REF!/C506*100,"-"))</f>
        <v>-</v>
      </c>
      <c r="I506" s="209" t="e">
        <f>IF(C506="*","*",C506-#REF!)</f>
        <v>#REF!</v>
      </c>
      <c r="J506" s="208">
        <f>IF(C506="*","*",[4]Weeks!P132-[4]Weeks!P172)</f>
        <v>0</v>
      </c>
      <c r="K506" s="208">
        <f>IF(C506="*","*",[4]Weeks!P92-[4]Weeks!P132)</f>
        <v>0</v>
      </c>
      <c r="L506" s="208">
        <f>IF(C506="*","*",[4]Weeks!P52-[4]Weeks!P92)</f>
        <v>0</v>
      </c>
      <c r="M506" s="208">
        <f>IF(C506="*","*",[4]Weeks!P10-[4]Weeks!P52)</f>
        <v>0</v>
      </c>
      <c r="N506" s="11" t="str">
        <f t="shared" si="102"/>
        <v>-</v>
      </c>
      <c r="O506" s="208">
        <f t="shared" si="103"/>
        <v>0</v>
      </c>
      <c r="P506" s="41">
        <f>IF(ISTEXT(C506),$P$38,IF(ISNUMBER([4]CLOSURES!P11),TEXT([4]CLOSURES!P11,"ddmmm"),IF(C506&lt;=0,0,IF(I506&lt;0,0,IF(AND(C506&gt;0,O506&lt;=0),"&gt;99",IF(I506/O506&gt;100,"&gt;99",MAX(0,I506/O506-2)))))))</f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f>[4]quotas!P57</f>
        <v>0</v>
      </c>
      <c r="D507" s="208">
        <f>[4]quotas!P57-[4]quotas!P97</f>
        <v>0</v>
      </c>
      <c r="E507" s="208"/>
      <c r="F507" s="64">
        <f>[4]quotas!S57</f>
        <v>0</v>
      </c>
      <c r="G507" s="208" t="e">
        <f>IF(#REF!="*","*",[4]Cumulative!R67)</f>
        <v>#REF!</v>
      </c>
      <c r="H507" s="11" t="str">
        <f>IF(C507="*","*",IF(C507&gt;0,#REF!/C507*100,"-"))</f>
        <v>-</v>
      </c>
      <c r="I507" s="209" t="e">
        <f>IF(C507="*","*",C507-#REF!)</f>
        <v>#REF!</v>
      </c>
      <c r="J507" s="208">
        <f>IF(C507="*","*",[4]Weeks!P136-[4]Weeks!P176)</f>
        <v>0</v>
      </c>
      <c r="K507" s="208">
        <f>IF(C507="*","*",[4]Weeks!P96-[4]Weeks!P136)</f>
        <v>0</v>
      </c>
      <c r="L507" s="208">
        <f>IF(C507="*","*",[4]Weeks!P56-[4]Weeks!P96)</f>
        <v>0</v>
      </c>
      <c r="M507" s="208">
        <f>IF(C507="*","*",[4]Weeks!P14-[4]Weeks!P56)</f>
        <v>0</v>
      </c>
      <c r="N507" s="11" t="str">
        <f t="shared" si="102"/>
        <v>-</v>
      </c>
      <c r="O507" s="208">
        <f t="shared" si="103"/>
        <v>0</v>
      </c>
      <c r="P507" s="41">
        <f>IF(ISTEXT(C507),$P$38,IF(ISNUMBER([4]CLOSURES!P15),TEXT([4]CLOSURES!P15,"ddmmm"),IF(C507&lt;=0,0,IF(I507&lt;0,0,IF(AND(C507&gt;0,O507&lt;=0),"&gt;99",IF(I507/O507&gt;100,"&gt;99",MAX(0,I507/O507-2)))))))</f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f>[4]quotas!P58</f>
        <v>0</v>
      </c>
      <c r="D508" s="208">
        <f>[4]quotas!P58-[4]quotas!P98</f>
        <v>0</v>
      </c>
      <c r="E508" s="208"/>
      <c r="F508" s="64">
        <f>[4]quotas!S58</f>
        <v>0</v>
      </c>
      <c r="G508" s="208" t="e">
        <f>IF(#REF!="*","*",[4]Cumulative!R68)</f>
        <v>#REF!</v>
      </c>
      <c r="H508" s="11" t="str">
        <f>IF(C508="*","*",IF(C508&gt;0,#REF!/C508*100,"-"))</f>
        <v>-</v>
      </c>
      <c r="I508" s="209" t="e">
        <f>IF(C508="*","*",C508-#REF!)</f>
        <v>#REF!</v>
      </c>
      <c r="J508" s="208">
        <f>IF(C508="*","*",[4]Weeks!P133-[4]Weeks!P173)</f>
        <v>0</v>
      </c>
      <c r="K508" s="208">
        <f>IF(C508="*","*",[4]Weeks!P93-[4]Weeks!P133)</f>
        <v>0</v>
      </c>
      <c r="L508" s="208">
        <f>IF(C508="*","*",[4]Weeks!P53-[4]Weeks!P93)</f>
        <v>0</v>
      </c>
      <c r="M508" s="208">
        <f>IF(C508="*","*",[4]Weeks!P15-[4]Weeks!P53)</f>
        <v>0</v>
      </c>
      <c r="N508" s="11" t="str">
        <f t="shared" si="102"/>
        <v>-</v>
      </c>
      <c r="O508" s="208">
        <f t="shared" si="103"/>
        <v>0</v>
      </c>
      <c r="P508" s="41">
        <f>IF(ISTEXT(C508),$P$38,IF(ISNUMBER([4]CLOSURES!P16),TEXT([4]CLOSURES!P16,"ddmmm"),IF(C508&lt;=0,0,IF(I508&lt;0,0,IF(AND(C508&gt;0,O508&lt;=0),"&gt;99",IF(I508/O508&gt;100,"&gt;99",MAX(0,I508/O508-2)))))))</f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f>[4]quotas!P59</f>
        <v>0</v>
      </c>
      <c r="D509" s="208">
        <f>[4]quotas!P59-[4]quotas!P99</f>
        <v>0</v>
      </c>
      <c r="E509" s="208"/>
      <c r="F509" s="64">
        <f>[4]quotas!S59</f>
        <v>0</v>
      </c>
      <c r="G509" s="208" t="e">
        <f>IF(#REF!="*","*",[4]Cumulative!R69)</f>
        <v>#REF!</v>
      </c>
      <c r="H509" s="11" t="str">
        <f>IF(C509="*","*",IF(C509&gt;0,#REF!/C509*100,"-"))</f>
        <v>-</v>
      </c>
      <c r="I509" s="209" t="e">
        <f>IF(C509="*","*",C509-#REF!)</f>
        <v>#REF!</v>
      </c>
      <c r="J509" s="208">
        <f>IF(C509="*","*",[4]Weeks!P134-[4]Weeks!P174)</f>
        <v>0</v>
      </c>
      <c r="K509" s="208">
        <f>IF(C509="*","*",[4]Weeks!P94-[4]Weeks!P134)</f>
        <v>0</v>
      </c>
      <c r="L509" s="208">
        <f>IF(C509="*","*",[4]Weeks!P54-[4]Weeks!P94)</f>
        <v>0</v>
      </c>
      <c r="M509" s="208">
        <f>IF(C509="*","*",[4]Weeks!P16-[4]Weeks!P54)</f>
        <v>0</v>
      </c>
      <c r="N509" s="11" t="str">
        <f t="shared" si="102"/>
        <v>-</v>
      </c>
      <c r="O509" s="208">
        <f t="shared" si="103"/>
        <v>0</v>
      </c>
      <c r="P509" s="41">
        <f>IF(ISTEXT(C509),$P$38,IF(ISNUMBER([4]CLOSURES!P17),TEXT([4]CLOSURES!P17,"ddmmm"),IF(C509&lt;=0,0,IF(I509&lt;0,0,IF(AND(C509&gt;0,O509&lt;=0),"&gt;99",IF(I509/O509&gt;100,"&gt;99",MAX(0,I509/O509-2)))))))</f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f>[4]quotas!P60</f>
        <v>0</v>
      </c>
      <c r="D510" s="208">
        <f>[4]quotas!P60-[4]quotas!P100</f>
        <v>0</v>
      </c>
      <c r="E510" s="208"/>
      <c r="F510" s="64">
        <f>[4]quotas!S60</f>
        <v>0</v>
      </c>
      <c r="G510" s="208" t="e">
        <f>IF(#REF!="*","*",[4]Cumulative!R70)</f>
        <v>#REF!</v>
      </c>
      <c r="H510" s="11" t="str">
        <f>IF(C510="*","*",IF(C510&gt;0,#REF!/C510*100,"-"))</f>
        <v>-</v>
      </c>
      <c r="I510" s="209" t="e">
        <f>IF(C510="*","*",C510-#REF!)</f>
        <v>#REF!</v>
      </c>
      <c r="J510" s="208">
        <f>IF(C510="*","*",[4]Weeks!P137-[4]Weeks!P177)</f>
        <v>0</v>
      </c>
      <c r="K510" s="208">
        <f>IF(C510="*","*",[4]Weeks!P97-[4]Weeks!P137)</f>
        <v>0</v>
      </c>
      <c r="L510" s="208">
        <f>IF(C510="*","*",[4]Weeks!P57-[4]Weeks!P97)</f>
        <v>0</v>
      </c>
      <c r="M510" s="208">
        <f>IF(C510="*","*",[4]Weeks!P17-[4]Weeks!P57)</f>
        <v>0</v>
      </c>
      <c r="N510" s="11" t="str">
        <f t="shared" si="102"/>
        <v>-</v>
      </c>
      <c r="O510" s="208">
        <f t="shared" si="103"/>
        <v>0</v>
      </c>
      <c r="P510" s="41">
        <f>IF(ISTEXT(C510),$P$38,IF(ISNUMBER([4]CLOSURES!P18),TEXT([4]CLOSURES!P18,"ddmmm"),IF(C510&lt;=0,0,IF(I510&lt;0,0,IF(AND(C510&gt;0,O510&lt;=0),"&gt;99",IF(I510/O510&gt;100,"&gt;99",MAX(0,I510/O510-2)))))))</f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f>[4]quotas!P61</f>
        <v>0</v>
      </c>
      <c r="D511" s="208">
        <f>[4]quotas!P61-[4]quotas!P101</f>
        <v>0</v>
      </c>
      <c r="E511" s="208"/>
      <c r="F511" s="64">
        <f>[4]quotas!S61</f>
        <v>0</v>
      </c>
      <c r="G511" s="208" t="e">
        <f>IF(#REF!="*","*",[4]Cumulative!R71)</f>
        <v>#REF!</v>
      </c>
      <c r="H511" s="11" t="str">
        <f>IF(C511="*","*",IF(C511&gt;0,#REF!/C511*100,"-"))</f>
        <v>-</v>
      </c>
      <c r="I511" s="209" t="e">
        <f>IF(C511="*","*",C511-#REF!)</f>
        <v>#REF!</v>
      </c>
      <c r="J511" s="208">
        <f>IF(C511="*","*",[4]Weeks!P138-[4]Weeks!P178)</f>
        <v>0</v>
      </c>
      <c r="K511" s="208">
        <f>IF(C511="*","*",[4]Weeks!P98-[4]Weeks!P138)</f>
        <v>0</v>
      </c>
      <c r="L511" s="208">
        <f>IF(C511="*","*",[4]Weeks!P58-[4]Weeks!P98)</f>
        <v>0</v>
      </c>
      <c r="M511" s="208">
        <f>IF(C511="*","*",[4]Weeks!P18-[4]Weeks!P58)</f>
        <v>0</v>
      </c>
      <c r="N511" s="11" t="str">
        <f t="shared" si="102"/>
        <v>-</v>
      </c>
      <c r="O511" s="208">
        <f t="shared" si="103"/>
        <v>0</v>
      </c>
      <c r="P511" s="41">
        <f>IF(ISTEXT(C511),$P$38,IF(ISNUMBER([4]CLOSURES!P19),TEXT([4]CLOSURES!P19,"ddmmm"),IF(C511&lt;=0,0,IF(I511&lt;0,0,IF(AND(C511&gt;0,O511&lt;=0),"&gt;99",IF(I511/O511&gt;100,"&gt;99",MAX(0,I511/O511-2)))))))</f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f>[4]quotas!P62</f>
        <v>0</v>
      </c>
      <c r="D512" s="208">
        <f>[4]quotas!P62-[4]quotas!P102</f>
        <v>0</v>
      </c>
      <c r="E512" s="208"/>
      <c r="F512" s="64">
        <f>[4]quotas!S62</f>
        <v>0</v>
      </c>
      <c r="G512" s="208" t="e">
        <f>IF(#REF!="*","*",[4]Cumulative!R72)</f>
        <v>#REF!</v>
      </c>
      <c r="H512" s="11" t="str">
        <f>IF(C512="*","*",IF(C512&gt;0,#REF!/C512*100,"-"))</f>
        <v>-</v>
      </c>
      <c r="I512" s="209" t="e">
        <f>IF(C512="*","*",C512-#REF!)</f>
        <v>#REF!</v>
      </c>
      <c r="J512" s="208">
        <f>IF(C512="*","*",[4]Weeks!P139-[4]Weeks!P179)</f>
        <v>0</v>
      </c>
      <c r="K512" s="208">
        <f>IF(C512="*","*",[4]Weeks!P99-[4]Weeks!P139)</f>
        <v>0</v>
      </c>
      <c r="L512" s="208">
        <f>IF(C512="*","*",[4]Weeks!P59-[4]Weeks!P99)</f>
        <v>0</v>
      </c>
      <c r="M512" s="208">
        <f>IF(C512="*","*",[4]Weeks!P19-[4]Weeks!P59)</f>
        <v>0</v>
      </c>
      <c r="N512" s="11" t="str">
        <f t="shared" si="102"/>
        <v>-</v>
      </c>
      <c r="O512" s="208">
        <f t="shared" si="103"/>
        <v>0</v>
      </c>
      <c r="P512" s="41">
        <f>IF(ISTEXT(C512),$P$38,IF(ISNUMBER([4]CLOSURES!P20),TEXT([4]CLOSURES!P20,"ddmmm"),IF(C512&lt;=0,0,IF(I512&lt;0,0,IF(AND(C512&gt;0,O512&lt;=0),"&gt;99",IF(I512/O512&gt;100,"&gt;99",MAX(0,I512/O512-2)))))))</f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f>[4]quotas!P63</f>
        <v>0</v>
      </c>
      <c r="D513" s="208">
        <f>[4]quotas!P63-[4]quotas!P103</f>
        <v>0</v>
      </c>
      <c r="E513" s="208"/>
      <c r="F513" s="64">
        <f>[4]quotas!S63</f>
        <v>0</v>
      </c>
      <c r="G513" s="208" t="e">
        <f>IF(#REF!="*","*",[4]Cumulative!R73)</f>
        <v>#REF!</v>
      </c>
      <c r="H513" s="11" t="str">
        <f>IF(C513="*","*",IF(C513&gt;0,#REF!/C513*100,"-"))</f>
        <v>-</v>
      </c>
      <c r="I513" s="209" t="e">
        <f>IF(C513="*","*",C513-#REF!)</f>
        <v>#REF!</v>
      </c>
      <c r="J513" s="208">
        <f>IF(C513="*","*",[4]Weeks!P140-[4]Weeks!P180)</f>
        <v>0</v>
      </c>
      <c r="K513" s="208">
        <f>IF(C513="*","*",[4]Weeks!P100-[4]Weeks!P140)</f>
        <v>0</v>
      </c>
      <c r="L513" s="208">
        <f>IF(C513="*","*",[4]Weeks!P60-[4]Weeks!P100)</f>
        <v>0</v>
      </c>
      <c r="M513" s="208">
        <f>IF(C513="*","*",[4]Weeks!P20-[4]Weeks!P60)</f>
        <v>0</v>
      </c>
      <c r="N513" s="11" t="str">
        <f t="shared" si="102"/>
        <v>-</v>
      </c>
      <c r="O513" s="208">
        <f t="shared" si="103"/>
        <v>0</v>
      </c>
      <c r="P513" s="41">
        <f>IF(ISTEXT(C513),$P$38,IF(ISNUMBER([4]CLOSURES!P21),TEXT([4]CLOSURES!P21,"ddmmm"),IF(C513&lt;=0,0,IF(I513&lt;0,0,IF(AND(C513&gt;0,O513&lt;=0),"&gt;99",IF(I513/O513&gt;100,"&gt;99",MAX(0,I513/O513-2)))))))</f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f>[4]quotas!P64</f>
        <v>0</v>
      </c>
      <c r="D514" s="208">
        <f>[4]quotas!P64-[4]quotas!P104</f>
        <v>0</v>
      </c>
      <c r="E514" s="208"/>
      <c r="F514" s="64">
        <f>[4]quotas!S64</f>
        <v>0</v>
      </c>
      <c r="G514" s="208" t="e">
        <f>IF(#REF!="*","*",[4]Cumulative!R74)</f>
        <v>#REF!</v>
      </c>
      <c r="H514" s="11" t="str">
        <f>IF(C514="*","*",IF(C514&gt;0,#REF!/C514*100,"-"))</f>
        <v>-</v>
      </c>
      <c r="I514" s="209" t="e">
        <f>IF(C514="*","*",C514-#REF!)</f>
        <v>#REF!</v>
      </c>
      <c r="J514" s="208">
        <f>IF(C514="*","*",[4]Weeks!P141-[4]Weeks!P181)</f>
        <v>0</v>
      </c>
      <c r="K514" s="208">
        <f>IF(C514="*","*",[4]Weeks!P101-[4]Weeks!P141)</f>
        <v>0</v>
      </c>
      <c r="L514" s="208">
        <f>IF(C514="*","*",[4]Weeks!P61-[4]Weeks!P101)</f>
        <v>0</v>
      </c>
      <c r="M514" s="208">
        <f>IF(C514="*","*",[4]Weeks!P21-[4]Weeks!P61)</f>
        <v>0</v>
      </c>
      <c r="N514" s="11" t="str">
        <f t="shared" si="102"/>
        <v>-</v>
      </c>
      <c r="O514" s="208">
        <f t="shared" si="103"/>
        <v>0</v>
      </c>
      <c r="P514" s="41">
        <f>IF(ISTEXT(C514),$P$38,IF(ISNUMBER([4]CLOSURES!P22),TEXT([4]CLOSURES!P22,"ddmmm"),IF(C514&lt;=0,0,IF(I514&lt;0,0,IF(AND(C514&gt;0,O514&lt;=0),"&gt;99",IF(I514/O514&gt;100,"&gt;99",MAX(0,I514/O514-2)))))))</f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f>[4]quotas!P65</f>
        <v>0</v>
      </c>
      <c r="D515" s="208">
        <f>[4]quotas!P65-[4]quotas!P105</f>
        <v>0</v>
      </c>
      <c r="E515" s="208"/>
      <c r="F515" s="64">
        <f>[4]quotas!S65</f>
        <v>0</v>
      </c>
      <c r="G515" s="208" t="e">
        <f>IF(#REF!="*","*",[4]Cumulative!R75)</f>
        <v>#REF!</v>
      </c>
      <c r="H515" s="11" t="str">
        <f>IF(C515="*","*",IF(C515&gt;0,#REF!/C515*100,"-"))</f>
        <v>-</v>
      </c>
      <c r="I515" s="209" t="e">
        <f>IF(C515="*","*",C515-#REF!)</f>
        <v>#REF!</v>
      </c>
      <c r="J515" s="208">
        <f>IF(C515="*","*",[4]Weeks!P142-[4]Weeks!P182)</f>
        <v>0</v>
      </c>
      <c r="K515" s="208">
        <f>IF(C515="*","*",[4]Weeks!P102-[4]Weeks!P142)</f>
        <v>0</v>
      </c>
      <c r="L515" s="208">
        <f>IF(C515="*","*",[4]Weeks!P62-[4]Weeks!P102)</f>
        <v>0</v>
      </c>
      <c r="M515" s="208">
        <f>IF(C515="*","*",[4]Weeks!P22-[4]Weeks!P62)</f>
        <v>0</v>
      </c>
      <c r="N515" s="11" t="str">
        <f t="shared" si="102"/>
        <v>-</v>
      </c>
      <c r="O515" s="208">
        <f t="shared" si="103"/>
        <v>0</v>
      </c>
      <c r="P515" s="41">
        <f>IF(ISTEXT(C515),$P$38,IF(ISNUMBER([4]CLOSURES!P23),TEXT([4]CLOSURES!P23,"ddmmm"),IF(C515&lt;=0,0,IF(I515&lt;0,0,IF(AND(C515&gt;0,O515&lt;=0),"&gt;99",IF(I515/O515&gt;100,"&gt;99",MAX(0,I515/O515-2)))))))</f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f>[4]quotas!P66</f>
        <v>0</v>
      </c>
      <c r="D516" s="208">
        <f>[4]quotas!P66-[4]quotas!P106</f>
        <v>0</v>
      </c>
      <c r="E516" s="208"/>
      <c r="F516" s="64">
        <f>[4]quotas!S66</f>
        <v>0</v>
      </c>
      <c r="G516" s="208" t="e">
        <f>IF(#REF!="*","*",[4]Cumulative!R76)</f>
        <v>#REF!</v>
      </c>
      <c r="H516" s="11" t="str">
        <f>IF(C516="*","*",IF(C516&gt;0,#REF!/C516*100,"-"))</f>
        <v>-</v>
      </c>
      <c r="I516" s="209" t="e">
        <f>IF(C516="*","*",C516-#REF!)</f>
        <v>#REF!</v>
      </c>
      <c r="J516" s="208">
        <f>IF(C516="*","*",[4]Weeks!P143-[4]Weeks!P183)</f>
        <v>0</v>
      </c>
      <c r="K516" s="208">
        <f>IF(C516="*","*",[4]Weeks!P103-[4]Weeks!P143)</f>
        <v>0</v>
      </c>
      <c r="L516" s="208">
        <f>IF(C516="*","*",[4]Weeks!P63-[4]Weeks!P103)</f>
        <v>0</v>
      </c>
      <c r="M516" s="208">
        <f>IF(C516="*","*",[4]Weeks!P23-[4]Weeks!P63)</f>
        <v>0</v>
      </c>
      <c r="N516" s="11" t="str">
        <f t="shared" si="102"/>
        <v>-</v>
      </c>
      <c r="O516" s="208">
        <f t="shared" si="103"/>
        <v>0</v>
      </c>
      <c r="P516" s="41">
        <f>IF(ISTEXT(C516),$P$38,IF(ISNUMBER([4]CLOSURES!P24),TEXT([4]CLOSURES!P24,"ddmmm"),IF(C516&lt;=0,0,IF(I516&lt;0,0,IF(AND(C516&gt;0,O516&lt;=0),"&gt;99",IF(I516/O516&gt;100,"&gt;99",MAX(0,I516/O516-2)))))))</f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f>[4]quotas!P67</f>
        <v>0</v>
      </c>
      <c r="D517" s="208">
        <f>[4]quotas!P67-[4]quotas!P107</f>
        <v>0</v>
      </c>
      <c r="E517" s="208"/>
      <c r="F517" s="64">
        <f>[4]quotas!S67</f>
        <v>0</v>
      </c>
      <c r="G517" s="208" t="e">
        <f>IF(#REF!="*","*",[4]Cumulative!R77)</f>
        <v>#REF!</v>
      </c>
      <c r="H517" s="11" t="str">
        <f>IF(C517="*","*",IF(C517&gt;0,#REF!/C517*100,"-"))</f>
        <v>-</v>
      </c>
      <c r="I517" s="209" t="e">
        <f>IF(C517="*","*",C517-#REF!)</f>
        <v>#REF!</v>
      </c>
      <c r="J517" s="208">
        <f>IF(C517="*","*",[4]Weeks!P144-[4]Weeks!P184)</f>
        <v>0</v>
      </c>
      <c r="K517" s="208">
        <f>IF(C517="*","*",[4]Weeks!P104-[4]Weeks!P144)</f>
        <v>0</v>
      </c>
      <c r="L517" s="208">
        <f>IF(C517="*","*",[4]Weeks!P64-[4]Weeks!P104)</f>
        <v>0</v>
      </c>
      <c r="M517" s="208">
        <f>IF(C517="*","*",[4]Weeks!P24-[4]Weeks!P64)</f>
        <v>0</v>
      </c>
      <c r="N517" s="11" t="str">
        <f t="shared" si="102"/>
        <v>-</v>
      </c>
      <c r="O517" s="208">
        <f t="shared" si="103"/>
        <v>0</v>
      </c>
      <c r="P517" s="41">
        <f>IF(ISTEXT(C517),$P$38,IF(ISNUMBER([4]CLOSURES!P25),TEXT([4]CLOSURES!P25,"ddmmm"),IF(C517&lt;=0,0,IF(I517&lt;0,0,IF(AND(C517&gt;0,O517&lt;=0),"&gt;99",IF(I517/O517&gt;100,"&gt;99",MAX(0,I517/O517-2)))))))</f>
        <v>0</v>
      </c>
      <c r="R517" s="153"/>
    </row>
    <row r="518" spans="2:254" s="158" customFormat="1" ht="13" hidden="1" x14ac:dyDescent="0.3">
      <c r="B518" s="40" t="s">
        <v>70</v>
      </c>
      <c r="C518" s="42">
        <f>[4]quotas!P68</f>
        <v>0</v>
      </c>
      <c r="D518" s="208">
        <f>[4]quotas!P68-[4]quotas!P108</f>
        <v>0</v>
      </c>
      <c r="E518" s="208"/>
      <c r="F518" s="64">
        <f>[4]quotas!S68</f>
        <v>0</v>
      </c>
      <c r="G518" s="208" t="e">
        <f>IF(#REF!="*","*",[4]Cumulative!R64)</f>
        <v>#REF!</v>
      </c>
      <c r="H518" s="11" t="str">
        <f>IF(C518="*","*",IF(C518&gt;0,#REF!/C518*100,"-"))</f>
        <v>-</v>
      </c>
      <c r="I518" s="209" t="e">
        <f>IF(C518="*","*",C518-#REF!)</f>
        <v>#REF!</v>
      </c>
      <c r="J518" s="208">
        <f>IF(C518="*","*",[4]Weeks!P145-[4]Weeks!P185)</f>
        <v>0</v>
      </c>
      <c r="K518" s="208">
        <f>IF(C518="*","*",[4]Weeks!P105-[4]Weeks!P145)</f>
        <v>0</v>
      </c>
      <c r="L518" s="208">
        <f>IF(C518="*","*",[4]Weeks!P65-[4]Weeks!P105)</f>
        <v>0</v>
      </c>
      <c r="M518" s="208">
        <f>IF(C518="*","*",[4]Weeks!P25-[4]Weeks!P65)</f>
        <v>0</v>
      </c>
      <c r="N518" s="11" t="str">
        <f t="shared" si="102"/>
        <v>-</v>
      </c>
      <c r="O518" s="208">
        <f t="shared" si="103"/>
        <v>0</v>
      </c>
      <c r="P518" s="41">
        <f>IF(ISTEXT(C518),$P$38,IF(ISNUMBER([4]CLOSURES!P12),TEXT([4]CLOSURES!P12,"ddmmm"),IF(C518&lt;=0,0,IF(I518&lt;0,0,IF(AND(C518&gt;0,O518&lt;=0),"&gt;99",IF(I518/O518&gt;100,"&gt;99",MAX(0,I518/O518-2)))))))</f>
        <v>0</v>
      </c>
      <c r="R518" s="153"/>
    </row>
    <row r="519" spans="2:254" s="158" customFormat="1" ht="13" hidden="1" x14ac:dyDescent="0.3">
      <c r="B519" s="40" t="s">
        <v>105</v>
      </c>
      <c r="C519" s="42">
        <f>[4]quotas!P56</f>
        <v>0</v>
      </c>
      <c r="D519" s="208">
        <f>[4]quotas!P56-[4]quotas!P96</f>
        <v>0</v>
      </c>
      <c r="E519" s="208"/>
      <c r="F519" s="64">
        <f>[4]quotas!S56</f>
        <v>0</v>
      </c>
      <c r="G519" s="208" t="e">
        <f>IF(#REF!="*","*",SUM([4]Cumulative!R66:R66))</f>
        <v>#REF!</v>
      </c>
      <c r="H519" s="11" t="str">
        <f>IF(C519="*","*",IF(C519&gt;0,#REF!/C519*100,"-"))</f>
        <v>-</v>
      </c>
      <c r="I519" s="209" t="e">
        <f>IF(C519="*","*",C519-#REF!)</f>
        <v>#REF!</v>
      </c>
      <c r="J519" s="208">
        <f>IF(C519="*","*",[4]Weeks!P146-[4]Weeks!P186)</f>
        <v>0</v>
      </c>
      <c r="K519" s="208">
        <f>IF(C519="*","*",[4]Weeks!P106-[4]Weeks!P146)</f>
        <v>0</v>
      </c>
      <c r="L519" s="208">
        <f>IF(C519="*","*",[4]Weeks!P66-[4]Weeks!P106)</f>
        <v>0</v>
      </c>
      <c r="M519" s="208">
        <f>IF(C519="*","*",[4]Weeks!P13-[4]Weeks!P66)</f>
        <v>0</v>
      </c>
      <c r="N519" s="11" t="str">
        <f t="shared" si="102"/>
        <v>-</v>
      </c>
      <c r="O519" s="208">
        <f t="shared" si="103"/>
        <v>0</v>
      </c>
      <c r="P519" s="41">
        <f>IF(ISTEXT(C519),$P$38,IF(ISNUMBER([4]CLOSURES!P14),TEXT([4]CLOSURES!P14,"ddmmm"),IF(C519&lt;=0,0,IF(I519&lt;0,0,IF(AND(C519&gt;0,O519&lt;=0),"&gt;99",IF(I519/O519&gt;100,"&gt;99",MAX(0,I519/O519-2)))))))</f>
        <v>0</v>
      </c>
      <c r="R519" s="153"/>
    </row>
    <row r="520" spans="2:254" s="158" customFormat="1" ht="13" hidden="1" x14ac:dyDescent="0.3">
      <c r="B520" s="52" t="s">
        <v>87</v>
      </c>
      <c r="C520" s="42">
        <f>[4]quotas!P73</f>
        <v>0</v>
      </c>
      <c r="D520" s="208">
        <f>[4]quotas!P73-[4]quotas!P113</f>
        <v>0</v>
      </c>
      <c r="E520" s="208"/>
      <c r="F520" s="64">
        <f>[4]quotas!S73</f>
        <v>0</v>
      </c>
      <c r="G520" s="208" t="e">
        <f>IF(#REF!="*","*",([4]Cumulative!R58+[4]Cumulative!R61)+SUM([4]Cumulative!R64:R69)+SUM([4]Cumulative!R76:R77)+[4]Cumulative!R80)</f>
        <v>#REF!</v>
      </c>
      <c r="H520" s="11" t="str">
        <f>IF(C520="*","*",IF(C520&gt;0,#REF!/C520*100,"-"))</f>
        <v>-</v>
      </c>
      <c r="I520" s="209" t="e">
        <f>IF(C520="*","*",C520-#REF!)</f>
        <v>#REF!</v>
      </c>
      <c r="J520" s="208">
        <f>IF(C520="*","*",[4]Weeks!P147-[4]Weeks!P187)</f>
        <v>0</v>
      </c>
      <c r="K520" s="208">
        <f>IF(C520="*","*",[4]Weeks!P107-[4]Weeks!P147)</f>
        <v>0</v>
      </c>
      <c r="L520" s="208">
        <f>IF(C520="*","*",[4]Weeks!P67-[4]Weeks!P107)</f>
        <v>0</v>
      </c>
      <c r="M520" s="208">
        <f>IF(C520="*","*",[4]Weeks!P27-[4]Weeks!P67)</f>
        <v>0</v>
      </c>
      <c r="N520" s="11" t="str">
        <f t="shared" si="102"/>
        <v>-</v>
      </c>
      <c r="O520" s="208">
        <f t="shared" si="103"/>
        <v>0</v>
      </c>
      <c r="P520" s="41">
        <f>IF(ISTEXT(C520),$P$38,IF(ISNUMBER([4]CLOSURES!P33),TEXT([4]CLOSURES!P33,"ddmmm"),IF(C520&lt;=0,0,IF(I520&lt;0,0,IF(AND(C520&gt;0,O520&lt;=0),"&gt;99",IF(I520/O520&gt;100,"&gt;99",MAX(0,I520/O520-2)))))))</f>
        <v>0</v>
      </c>
      <c r="R520" s="153"/>
    </row>
    <row r="521" spans="2:254" s="158" customFormat="1" ht="13" hidden="1" x14ac:dyDescent="0.3">
      <c r="B521" s="44" t="s">
        <v>88</v>
      </c>
      <c r="C521" s="42">
        <f>[4]quotas!P74</f>
        <v>0</v>
      </c>
      <c r="D521" s="208">
        <f>[4]quotas!P74-[4]quotas!P114</f>
        <v>0</v>
      </c>
      <c r="E521" s="208"/>
      <c r="F521" s="64">
        <f>[4]quotas!S74</f>
        <v>0</v>
      </c>
      <c r="G521" s="208" t="e">
        <f>IF(#REF!="*","*",[4]Cumulative!R84)</f>
        <v>#REF!</v>
      </c>
      <c r="H521" s="11" t="str">
        <f>IF(C521="*","*",IF(C521&gt;0,#REF!/C521*100,"-"))</f>
        <v>-</v>
      </c>
      <c r="I521" s="209" t="e">
        <f>IF(C521="*","*",C521-#REF!)</f>
        <v>#REF!</v>
      </c>
      <c r="J521" s="208">
        <f>IF(C521="*","*",[4]Weeks!P135-[4]Weeks!P175)</f>
        <v>0</v>
      </c>
      <c r="K521" s="208">
        <f>IF(C521="*","*",[4]Weeks!P95-[4]Weeks!P135)</f>
        <v>0</v>
      </c>
      <c r="L521" s="208">
        <f>IF(C521="*","*",[4]Weeks!P55-[4]Weeks!P95)</f>
        <v>0</v>
      </c>
      <c r="M521" s="208">
        <f>IF(C521="*","*",[4]Weeks!P28-[4]Weeks!P55)</f>
        <v>0</v>
      </c>
      <c r="N521" s="11" t="str">
        <f t="shared" si="102"/>
        <v>-</v>
      </c>
      <c r="O521" s="208">
        <f t="shared" si="103"/>
        <v>0</v>
      </c>
      <c r="P521" s="41">
        <f>IF(ISTEXT(C521),$P$38,IF(ISNUMBER([4]CLOSURES!P35),TEXT([4]CLOSURES!P35,"ddmmm"),IF(C521&lt;=0,0,IF(I521&lt;0,0,IF(AND(C521&gt;0,O521&lt;=0),"&gt;99",IF(I521/O521&gt;100,"&gt;99",MAX(0,I521/O521-2)))))))</f>
        <v>0</v>
      </c>
      <c r="R521" s="153"/>
    </row>
    <row r="522" spans="2:254" s="158" customFormat="1" ht="13" hidden="1" x14ac:dyDescent="0.3">
      <c r="B522" s="44" t="s">
        <v>89</v>
      </c>
      <c r="C522" s="42">
        <f>[4]quotas!P78</f>
        <v>0</v>
      </c>
      <c r="D522" s="208">
        <f>[4]quotas!P78-[4]quotas!P118</f>
        <v>0</v>
      </c>
      <c r="E522" s="208"/>
      <c r="F522" s="64">
        <f>[4]quotas!S78</f>
        <v>0</v>
      </c>
      <c r="G522" s="208" t="e">
        <f>IF(#REF!="*","*",[4]Cumulative!R85)</f>
        <v>#REF!</v>
      </c>
      <c r="H522" s="11" t="str">
        <f>IF(C522="*","*",IF(C522&gt;0,#REF!/C522*100,"-"))</f>
        <v>-</v>
      </c>
      <c r="I522" s="209" t="e">
        <f>IF(C522="*","*",C522-#REF!)</f>
        <v>#REF!</v>
      </c>
      <c r="J522" s="208">
        <f>IF(C522="*","*",[4]Weeks!P152-[4]Weeks!P192)</f>
        <v>0</v>
      </c>
      <c r="K522" s="208">
        <f>IF(C522="*","*",[4]Weeks!P112-[4]Weeks!P152)</f>
        <v>0</v>
      </c>
      <c r="L522" s="208">
        <f>IF(C522="*","*",[4]Weeks!P72-[4]Weeks!P112)</f>
        <v>0</v>
      </c>
      <c r="M522" s="208">
        <f>IF(C522="*","*",[4]Weeks!P32-[4]Weeks!P72)</f>
        <v>0</v>
      </c>
      <c r="N522" s="11" t="str">
        <f t="shared" si="102"/>
        <v>-</v>
      </c>
      <c r="O522" s="208">
        <f t="shared" si="103"/>
        <v>0</v>
      </c>
      <c r="P522" s="41">
        <f>IF(ISTEXT(C522),$P$38,IF(ISNUMBER([4]CLOSURES!P39),TEXT([4]CLOSURES!P39,"ddmmm"),IF(C522&lt;=0,0,IF(I522&lt;0,0,IF(AND(C522&gt;0,O522&lt;=0),"&gt;99",IF(I522/O522&gt;100,"&gt;99",MAX(0,I522/O522-2)))))))</f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f>[4]PELAGIC!P18</f>
        <v>0</v>
      </c>
      <c r="D524" s="47">
        <f>[4]quotas!P80-[4]quotas!P120</f>
        <v>0</v>
      </c>
      <c r="E524" s="47"/>
      <c r="F524" s="65" t="e">
        <f>[4]PELAGIC!S18</f>
        <v>#DIV/0!</v>
      </c>
      <c r="G524" s="47" t="e">
        <f>SUM(G500:G523)</f>
        <v>#REF!</v>
      </c>
      <c r="H524" s="53" t="str">
        <f>IF(C524="*","*",IF(C524&gt;0,#REF!/C524*100,"-"))</f>
        <v>-</v>
      </c>
      <c r="I524" s="46" t="e">
        <f>C524-#REF!</f>
        <v>#REF!</v>
      </c>
      <c r="J524" s="47">
        <f>SUM(J500:J523)</f>
        <v>0</v>
      </c>
      <c r="K524" s="47">
        <f>SUM(K500:K523)</f>
        <v>0</v>
      </c>
      <c r="L524" s="47">
        <f>SUM(L500:L523)</f>
        <v>0</v>
      </c>
      <c r="M524" s="47" t="e">
        <f>SUM(M500:M523)</f>
        <v>#VALUE!</v>
      </c>
      <c r="N524" s="53" t="str">
        <f>IF(C524="*","*",IF(C524&gt;0,M524/C524*100,"-"))</f>
        <v>-</v>
      </c>
      <c r="O524" s="47" t="e">
        <f>IF(C524="*","*",SUM(J524:M524)/4)</f>
        <v>#VALUE!</v>
      </c>
      <c r="P524" s="49">
        <f>IF(ISTEXT(C524),$P$38,IF(ISNUMBER([4]CLOSURES!#REF!),TEXT([4]CLOSURES!#REF!,"ddmmm"),IF(C524&lt;=0,0,IF(I524&lt;0,0,IF(AND(C524&gt;0,O524&lt;=0),"&gt;99",IF(I524/O524&gt;100,"&gt;99",MAX(0,I524/O524-2)))))))</f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f>$J7</f>
        <v>44895</v>
      </c>
      <c r="K530" s="33">
        <f>$K7</f>
        <v>44902</v>
      </c>
      <c r="L530" s="33">
        <f>$L7</f>
        <v>44909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f>'[5]Maj Pel Combined'!$V$23</f>
        <v>0</v>
      </c>
      <c r="D533" s="200">
        <f>F533-VLOOKUP(B533,[4]quotas!$B$85:$W$120,22,FALSE)</f>
        <v>0</v>
      </c>
      <c r="E533" s="200">
        <f t="shared" ref="E533:E558" si="104">F533-C533</f>
        <v>0</v>
      </c>
      <c r="F533" s="201">
        <f>VLOOKUP(B533,[4]quotas!$B$46:$W$84,22,FALSE)</f>
        <v>0</v>
      </c>
      <c r="G533" s="202">
        <f>VLOOKUP(B533,[4]Cumulative!$A$56:$X$91,24,FALSE)</f>
        <v>0</v>
      </c>
      <c r="H533" s="151">
        <f>IF(AND(F533=0,G533&gt;0),"n/a",IF(F533=0,0,100*G533/F533))</f>
        <v>0</v>
      </c>
      <c r="I533" s="201">
        <f>IF(F533="*","*",F533-G533)</f>
        <v>0</v>
      </c>
      <c r="J533" s="202">
        <f>VLOOKUP(B533,[4]Weeks!$A$125:$X$161,24,FALSE)-VLOOKUP(B533,[4]Weeks!$A$165:$X$200,24,FALSE)</f>
        <v>0</v>
      </c>
      <c r="K533" s="202">
        <f>VLOOKUP(B533,[4]Weeks!$A$85:$X$121,24,FALSE)-VLOOKUP(B533,[4]Weeks!$A$125:$X$161,24,FALSE)</f>
        <v>0</v>
      </c>
      <c r="L533" s="202">
        <f>VLOOKUP(B533,[4]Weeks!$A$44:$X$81,24,FALSE)-VLOOKUP(B533,[4]Weeks!$A$85:$X$121,24,FALSE)</f>
        <v>0</v>
      </c>
      <c r="M533" s="202">
        <f>VLOOKUP(B533,[4]Weeks!$A$3:$X$39,24,FALSE)-VLOOKUP(B533,[4]Weeks!$A$44:$X$81,24,FALSE)</f>
        <v>0</v>
      </c>
      <c r="N533" s="11" t="str">
        <f t="shared" ref="N533:N542" si="105">IF(C533="*","*",IF(C533&gt;0,M533/C533*100,"-"))</f>
        <v>-</v>
      </c>
      <c r="O533" s="202">
        <f t="shared" ref="O533:O542" si="106">IF(C533="*","*",SUM(J533:M533)/4)</f>
        <v>0</v>
      </c>
      <c r="P533" s="41">
        <f>IF(ISNUMBER(VLOOKUP(B533,[4]CLOSURES!B:BI,22,FALSE)),TEXT(VLOOKUP(B533,[4]CLOSURES!B:BI,22,FALSE),"ddmmm"),IF(F533&lt;=0,0,IF(I533&lt;=0,0,IF(AND(F533&gt;0,O533&lt;=0),"&gt;52",IF(I533/O533&gt;52,"&gt;52", MAX(0,I533/O533-2))))))</f>
        <v>0</v>
      </c>
      <c r="Q533" s="158"/>
    </row>
    <row r="534" spans="2:17" s="2" customFormat="1" ht="10.75" customHeight="1" x14ac:dyDescent="0.25">
      <c r="B534" s="40" t="s">
        <v>63</v>
      </c>
      <c r="C534" s="130">
        <f>'[5]Maj Pel Combined'!$V$16</f>
        <v>0</v>
      </c>
      <c r="D534" s="200">
        <f>F534-VLOOKUP(B534,[4]quotas!$B$85:$W$120,22,FALSE)</f>
        <v>0</v>
      </c>
      <c r="E534" s="200">
        <f t="shared" si="104"/>
        <v>0</v>
      </c>
      <c r="F534" s="201">
        <f>VLOOKUP(B534,[4]quotas!$B$46:$W$84,22,FALSE)</f>
        <v>0</v>
      </c>
      <c r="G534" s="202">
        <f>VLOOKUP(B534,[4]Cumulative!$A$56:$X$91,24,FALSE)</f>
        <v>0</v>
      </c>
      <c r="H534" s="151">
        <f t="shared" ref="H534:H565" si="107">IF(AND(F534=0,G534&gt;0),"n/a",IF(F534=0,0,100*G534/F534))</f>
        <v>0</v>
      </c>
      <c r="I534" s="201">
        <f t="shared" ref="I534:I565" si="108">IF(F534="*","*",F534-G534)</f>
        <v>0</v>
      </c>
      <c r="J534" s="202">
        <f>VLOOKUP(B534,[4]Weeks!$A$125:$X$161,24,FALSE)-VLOOKUP(B534,[4]Weeks!$A$165:$X$200,24,FALSE)</f>
        <v>0</v>
      </c>
      <c r="K534" s="202">
        <f>VLOOKUP(B534,[4]Weeks!$A$85:$X$121,24,FALSE)-VLOOKUP(B534,[4]Weeks!$A$125:$X$161,24,FALSE)</f>
        <v>0</v>
      </c>
      <c r="L534" s="202">
        <f>VLOOKUP(B534,[4]Weeks!$A$44:$X$81,24,FALSE)-VLOOKUP(B534,[4]Weeks!$A$85:$X$121,24,FALSE)</f>
        <v>0</v>
      </c>
      <c r="M534" s="202">
        <f>VLOOKUP(B534,[4]Weeks!$A$3:$X$39,24,FALSE)-VLOOKUP(B534,[4]Weeks!$A$44:$X$81,24,FALSE)</f>
        <v>0</v>
      </c>
      <c r="N534" s="11" t="str">
        <f t="shared" si="105"/>
        <v>-</v>
      </c>
      <c r="O534" s="202">
        <f t="shared" si="106"/>
        <v>0</v>
      </c>
      <c r="P534" s="41">
        <f>IF(ISNUMBER(VLOOKUP(B534,[4]CLOSURES!B:BI,22,FALSE)),TEXT(VLOOKUP(B534,[4]CLOSURES!B:BI,22,FALSE),"ddmmm"),IF(F534&lt;=0,0,IF(I534&lt;=0,0,IF(AND(F534&gt;0,O534&lt;=0),"&gt;52",IF(I534/O534&gt;52,"&gt;52", MAX(0,I534/O534-2))))))</f>
        <v>0</v>
      </c>
      <c r="Q534" s="158"/>
    </row>
    <row r="535" spans="2:17" s="2" customFormat="1" ht="10.75" customHeight="1" x14ac:dyDescent="0.25">
      <c r="B535" s="40" t="s">
        <v>65</v>
      </c>
      <c r="C535" s="130">
        <f>'[5]Maj Pel Combined'!$V$20</f>
        <v>0</v>
      </c>
      <c r="D535" s="200">
        <f>F535-VLOOKUP(B535,[4]quotas!$B$85:$W$120,22,FALSE)</f>
        <v>0</v>
      </c>
      <c r="E535" s="200">
        <f t="shared" si="104"/>
        <v>0</v>
      </c>
      <c r="F535" s="201">
        <f>VLOOKUP(B535,[4]quotas!$B$46:$W$84,22,FALSE)</f>
        <v>0</v>
      </c>
      <c r="G535" s="202">
        <f>VLOOKUP(B535,[4]Cumulative!$A$56:$X$91,24,FALSE)</f>
        <v>0</v>
      </c>
      <c r="H535" s="151">
        <f t="shared" si="107"/>
        <v>0</v>
      </c>
      <c r="I535" s="201">
        <f t="shared" si="108"/>
        <v>0</v>
      </c>
      <c r="J535" s="202">
        <f>VLOOKUP(B535,[4]Weeks!$A$125:$X$161,24,FALSE)-VLOOKUP(B535,[4]Weeks!$A$165:$X$200,24,FALSE)</f>
        <v>0</v>
      </c>
      <c r="K535" s="202">
        <f>VLOOKUP(B535,[4]Weeks!$A$85:$X$121,24,FALSE)-VLOOKUP(B535,[4]Weeks!$A$125:$X$161,24,FALSE)</f>
        <v>0</v>
      </c>
      <c r="L535" s="202">
        <f>VLOOKUP(B535,[4]Weeks!$A$44:$X$81,24,FALSE)-VLOOKUP(B535,[4]Weeks!$A$85:$X$121,24,FALSE)</f>
        <v>0</v>
      </c>
      <c r="M535" s="202">
        <f>VLOOKUP(B535,[4]Weeks!$A$3:$X$39,24,FALSE)-VLOOKUP(B535,[4]Weeks!$A$44:$X$81,24,FALSE)</f>
        <v>0</v>
      </c>
      <c r="N535" s="11" t="str">
        <f t="shared" si="105"/>
        <v>-</v>
      </c>
      <c r="O535" s="202">
        <f t="shared" si="106"/>
        <v>0</v>
      </c>
      <c r="P535" s="41">
        <f>IF(ISNUMBER(VLOOKUP(B535,[4]CLOSURES!B:BI,22,FALSE)),TEXT(VLOOKUP(B535,[4]CLOSURES!B:BI,22,FALSE),"ddmmm"),IF(F535&lt;=0,0,IF(I535&lt;=0,0,IF(AND(F535&gt;0,O535&lt;=0),"&gt;52",IF(I535/O535&gt;52,"&gt;52", MAX(0,I535/O535-2))))))</f>
        <v>0</v>
      </c>
      <c r="Q535" s="158"/>
    </row>
    <row r="536" spans="2:17" s="2" customFormat="1" ht="10.75" customHeight="1" x14ac:dyDescent="0.25">
      <c r="B536" s="40" t="s">
        <v>66</v>
      </c>
      <c r="C536" s="130">
        <f>'[5]Maj Pel Combined'!$V$24</f>
        <v>0</v>
      </c>
      <c r="D536" s="200">
        <f>F536-VLOOKUP(B536,[4]quotas!$B$85:$W$120,22,FALSE)</f>
        <v>0</v>
      </c>
      <c r="E536" s="200">
        <f t="shared" si="104"/>
        <v>0</v>
      </c>
      <c r="F536" s="201">
        <f>VLOOKUP(B536,[4]quotas!$B$46:$W$84,22,FALSE)</f>
        <v>0</v>
      </c>
      <c r="G536" s="202">
        <f>VLOOKUP(B536,[4]Cumulative!$A$56:$X$91,24,FALSE)</f>
        <v>0</v>
      </c>
      <c r="H536" s="151">
        <f t="shared" si="107"/>
        <v>0</v>
      </c>
      <c r="I536" s="201">
        <f t="shared" si="108"/>
        <v>0</v>
      </c>
      <c r="J536" s="202">
        <f>VLOOKUP(B536,[4]Weeks!$A$125:$X$161,24,FALSE)-VLOOKUP(B536,[4]Weeks!$A$165:$X$200,24,FALSE)</f>
        <v>0</v>
      </c>
      <c r="K536" s="202">
        <f>VLOOKUP(B536,[4]Weeks!$A$85:$X$121,24,FALSE)-VLOOKUP(B536,[4]Weeks!$A$125:$X$161,24,FALSE)</f>
        <v>0</v>
      </c>
      <c r="L536" s="202">
        <f>VLOOKUP(B536,[4]Weeks!$A$44:$X$81,24,FALSE)-VLOOKUP(B536,[4]Weeks!$A$85:$X$121,24,FALSE)</f>
        <v>0</v>
      </c>
      <c r="M536" s="202">
        <f>VLOOKUP(B536,[4]Weeks!$A$3:$X$39,24,FALSE)-VLOOKUP(B536,[4]Weeks!$A$44:$X$81,24,FALSE)</f>
        <v>0</v>
      </c>
      <c r="N536" s="11" t="str">
        <f t="shared" si="105"/>
        <v>-</v>
      </c>
      <c r="O536" s="202">
        <f t="shared" si="106"/>
        <v>0</v>
      </c>
      <c r="P536" s="41">
        <f>IF(ISNUMBER(VLOOKUP(B536,[4]CLOSURES!B:BI,22,FALSE)),TEXT(VLOOKUP(B536,[4]CLOSURES!B:BI,22,FALSE),"ddmmm"),IF(F536&lt;=0,0,IF(I536&lt;=0,0,IF(AND(F536&gt;0,O536&lt;=0),"&gt;52",IF(I536/O536&gt;52,"&gt;52", MAX(0,I536/O536-2))))))</f>
        <v>0</v>
      </c>
      <c r="Q536" s="158"/>
    </row>
    <row r="537" spans="2:17" s="2" customFormat="1" ht="10.75" customHeight="1" x14ac:dyDescent="0.25">
      <c r="B537" s="40" t="s">
        <v>67</v>
      </c>
      <c r="C537" s="130">
        <f>'[5]Maj Pel Combined'!$V$17</f>
        <v>0</v>
      </c>
      <c r="D537" s="200">
        <f>F537-VLOOKUP(B537,[4]quotas!$B$85:$W$120,22,FALSE)</f>
        <v>0</v>
      </c>
      <c r="E537" s="200">
        <f>F537-C537</f>
        <v>0</v>
      </c>
      <c r="F537" s="201">
        <f>VLOOKUP(B537,[4]quotas!$B$46:$W$84,22,FALSE)</f>
        <v>0</v>
      </c>
      <c r="G537" s="202">
        <f>VLOOKUP(B537,[4]Cumulative!$A$56:$X$91,24,FALSE)</f>
        <v>0</v>
      </c>
      <c r="H537" s="151">
        <f>IF(AND(F537=0,G537&gt;0),"n/a",IF(F537=0,0,100*G537/F537))</f>
        <v>0</v>
      </c>
      <c r="I537" s="201">
        <f>IF(F537="*","*",F537-G537)</f>
        <v>0</v>
      </c>
      <c r="J537" s="202">
        <f>VLOOKUP(B537,[4]Weeks!$A$125:$X$161,24,FALSE)-VLOOKUP(B537,[4]Weeks!$A$165:$X$200,24,FALSE)</f>
        <v>0</v>
      </c>
      <c r="K537" s="202">
        <f>VLOOKUP(B537,[4]Weeks!$A$85:$X$121,24,FALSE)-VLOOKUP(B537,[4]Weeks!$A$125:$X$161,24,FALSE)</f>
        <v>0</v>
      </c>
      <c r="L537" s="202">
        <f>VLOOKUP(B537,[4]Weeks!$A$44:$X$81,24,FALSE)-VLOOKUP(B537,[4]Weeks!$A$85:$X$121,24,FALSE)</f>
        <v>0</v>
      </c>
      <c r="M537" s="202">
        <f>VLOOKUP(B537,[4]Weeks!$A$3:$X$39,24,FALSE)-VLOOKUP(B537,[4]Weeks!$A$44:$X$81,24,FALSE)</f>
        <v>0</v>
      </c>
      <c r="N537" s="11" t="str">
        <f>IF(C537="*","*",IF(C537&gt;0,M537/C537*100,"-"))</f>
        <v>-</v>
      </c>
      <c r="O537" s="202">
        <f t="shared" si="106"/>
        <v>0</v>
      </c>
      <c r="P537" s="41">
        <f>IF(ISNUMBER(VLOOKUP(B537,[4]CLOSURES!B:BI,22,FALSE)),TEXT(VLOOKUP(B537,[4]CLOSURES!B:BI,22,FALSE),"ddmmm"),IF(F537&lt;=0,0,IF(I537&lt;=0,0,IF(AND(F537&gt;0,O537&lt;=0),"&gt;52",IF(I537/O537&gt;52,"&gt;52", MAX(0,I537/O537-2))))))</f>
        <v>0</v>
      </c>
      <c r="Q537" s="158"/>
    </row>
    <row r="538" spans="2:17" s="2" customFormat="1" ht="10.75" customHeight="1" x14ac:dyDescent="0.25">
      <c r="B538" s="40" t="s">
        <v>68</v>
      </c>
      <c r="C538" s="130">
        <f>'[5]Maj Pel Combined'!$V$25</f>
        <v>0</v>
      </c>
      <c r="D538" s="200">
        <f>F538-VLOOKUP(B538,[4]quotas!$B$85:$W$120,22,FALSE)</f>
        <v>0</v>
      </c>
      <c r="E538" s="200">
        <f t="shared" si="104"/>
        <v>0</v>
      </c>
      <c r="F538" s="201">
        <f>VLOOKUP(B538,[4]quotas!$B$46:$W$84,22,FALSE)</f>
        <v>0</v>
      </c>
      <c r="G538" s="202">
        <f>VLOOKUP(B538,[4]Cumulative!$A$56:$X$91,24,FALSE)</f>
        <v>0</v>
      </c>
      <c r="H538" s="151">
        <f t="shared" si="107"/>
        <v>0</v>
      </c>
      <c r="I538" s="201">
        <f t="shared" si="108"/>
        <v>0</v>
      </c>
      <c r="J538" s="202">
        <f>VLOOKUP(B538,[4]Weeks!$A$125:$X$161,24,FALSE)-VLOOKUP(B538,[4]Weeks!$A$165:$X$200,24,FALSE)</f>
        <v>0</v>
      </c>
      <c r="K538" s="202">
        <f>VLOOKUP(B538,[4]Weeks!$A$85:$X$121,24,FALSE)-VLOOKUP(B538,[4]Weeks!$A$125:$X$161,24,FALSE)</f>
        <v>0</v>
      </c>
      <c r="L538" s="202">
        <f>VLOOKUP(B538,[4]Weeks!$A$44:$X$81,24,FALSE)-VLOOKUP(B538,[4]Weeks!$A$85:$X$121,24,FALSE)</f>
        <v>0</v>
      </c>
      <c r="M538" s="202">
        <f>VLOOKUP(B538,[4]Weeks!$A$3:$X$39,24,FALSE)-VLOOKUP(B538,[4]Weeks!$A$44:$X$81,24,FALSE)</f>
        <v>0</v>
      </c>
      <c r="N538" s="11" t="str">
        <f t="shared" si="105"/>
        <v>-</v>
      </c>
      <c r="O538" s="202">
        <f t="shared" si="106"/>
        <v>0</v>
      </c>
      <c r="P538" s="41">
        <f>IF(ISNUMBER(VLOOKUP(B538,[4]CLOSURES!B:BI,22,FALSE)),TEXT(VLOOKUP(B538,[4]CLOSURES!B:BI,22,FALSE),"ddmmm"),IF(F538&lt;=0,0,IF(I538&lt;=0,0,IF(AND(F538&gt;0,O538&lt;=0),"&gt;52",IF(I538/O538&gt;52,"&gt;52", MAX(0,I538/O538-2))))))</f>
        <v>0</v>
      </c>
      <c r="Q538" s="158"/>
    </row>
    <row r="539" spans="2:17" s="2" customFormat="1" ht="11.25" customHeight="1" x14ac:dyDescent="0.25">
      <c r="B539" s="40" t="s">
        <v>69</v>
      </c>
      <c r="C539" s="130">
        <f>'[5]Maj Pel Combined'!$V$22</f>
        <v>0</v>
      </c>
      <c r="D539" s="200">
        <f>F539-VLOOKUP(B539,[4]quotas!$B$85:$W$120,22,FALSE)</f>
        <v>0</v>
      </c>
      <c r="E539" s="200">
        <f t="shared" si="104"/>
        <v>0</v>
      </c>
      <c r="F539" s="201">
        <f>VLOOKUP(B539,[4]quotas!$B$46:$W$84,22,FALSE)</f>
        <v>0</v>
      </c>
      <c r="G539" s="202">
        <f>VLOOKUP(B539,[4]Cumulative!$A$56:$X$91,24,FALSE)</f>
        <v>0</v>
      </c>
      <c r="H539" s="151">
        <f t="shared" si="107"/>
        <v>0</v>
      </c>
      <c r="I539" s="201">
        <f t="shared" si="108"/>
        <v>0</v>
      </c>
      <c r="J539" s="202">
        <f>VLOOKUP(B539,[4]Weeks!$A$125:$X$161,24,FALSE)-VLOOKUP(B539,[4]Weeks!$A$165:$X$200,24,FALSE)</f>
        <v>0</v>
      </c>
      <c r="K539" s="202">
        <f>VLOOKUP(B539,[4]Weeks!$A$85:$X$121,24,FALSE)-VLOOKUP(B539,[4]Weeks!$A$125:$X$161,24,FALSE)</f>
        <v>0</v>
      </c>
      <c r="L539" s="202">
        <f>VLOOKUP(B539,[4]Weeks!$A$44:$X$81,24,FALSE)-VLOOKUP(B539,[4]Weeks!$A$85:$X$121,24,FALSE)</f>
        <v>0</v>
      </c>
      <c r="M539" s="202">
        <f>VLOOKUP(B539,[4]Weeks!$A$3:$X$39,24,FALSE)-VLOOKUP(B539,[4]Weeks!$A$44:$X$81,24,FALSE)</f>
        <v>0</v>
      </c>
      <c r="N539" s="11" t="str">
        <f t="shared" si="105"/>
        <v>-</v>
      </c>
      <c r="O539" s="202">
        <f t="shared" si="106"/>
        <v>0</v>
      </c>
      <c r="P539" s="41">
        <f>IF(ISNUMBER(VLOOKUP(B539,[4]CLOSURES!B:BI,22,FALSE)),TEXT(VLOOKUP(B539,[4]CLOSURES!B:BI,22,FALSE),"ddmmm"),IF(F539&lt;=0,0,IF(I539&lt;=0,0,IF(AND(F539&gt;0,O539&lt;=0),"&gt;52",IF(I539/O539&gt;52,"&gt;52", MAX(0,I539/O539-2))))))</f>
        <v>0</v>
      </c>
      <c r="Q539" s="158"/>
    </row>
    <row r="540" spans="2:17" s="2" customFormat="1" ht="11.25" customHeight="1" x14ac:dyDescent="0.25">
      <c r="B540" s="40" t="s">
        <v>70</v>
      </c>
      <c r="C540" s="130">
        <f>'[5]Maj Pel Combined'!$V$21</f>
        <v>0</v>
      </c>
      <c r="D540" s="200">
        <f>F540-VLOOKUP(B540,[4]quotas!$B$85:$W$120,22,FALSE)</f>
        <v>0</v>
      </c>
      <c r="E540" s="200">
        <f t="shared" si="104"/>
        <v>0</v>
      </c>
      <c r="F540" s="201">
        <f>VLOOKUP(B540,[4]quotas!$B$46:$W$84,22,FALSE)</f>
        <v>0</v>
      </c>
      <c r="G540" s="202">
        <f>VLOOKUP(B540,[4]Cumulative!$A$56:$X$91,24,FALSE)</f>
        <v>0</v>
      </c>
      <c r="H540" s="151">
        <f t="shared" si="107"/>
        <v>0</v>
      </c>
      <c r="I540" s="201">
        <f t="shared" si="108"/>
        <v>0</v>
      </c>
      <c r="J540" s="202">
        <f>VLOOKUP(B540,[4]Weeks!$A$125:$X$161,24,FALSE)-VLOOKUP(B540,[4]Weeks!$A$165:$X$200,24,FALSE)</f>
        <v>0</v>
      </c>
      <c r="K540" s="202">
        <f>VLOOKUP(B540,[4]Weeks!$A$85:$X$121,24,FALSE)-VLOOKUP(B540,[4]Weeks!$A$125:$X$161,24,FALSE)</f>
        <v>0</v>
      </c>
      <c r="L540" s="202">
        <f>VLOOKUP(B540,[4]Weeks!$A$44:$X$81,24,FALSE)-VLOOKUP(B540,[4]Weeks!$A$85:$X$121,24,FALSE)</f>
        <v>0</v>
      </c>
      <c r="M540" s="202">
        <f>VLOOKUP(B540,[4]Weeks!$A$3:$X$39,24,FALSE)-VLOOKUP(B540,[4]Weeks!$A$44:$X$81,24,FALSE)</f>
        <v>0</v>
      </c>
      <c r="N540" s="11" t="str">
        <f t="shared" si="105"/>
        <v>-</v>
      </c>
      <c r="O540" s="202">
        <f t="shared" si="106"/>
        <v>0</v>
      </c>
      <c r="P540" s="41">
        <f>IF(ISNUMBER(VLOOKUP(B540,[4]CLOSURES!B:BI,22,FALSE)),TEXT(VLOOKUP(B540,[4]CLOSURES!B:BI,22,FALSE),"ddmmm"),IF(F540&lt;=0,0,IF(I540&lt;=0,0,IF(AND(F540&gt;0,O540&lt;=0),"&gt;52",IF(I540/O540&gt;52,"&gt;52", MAX(0,I540/O540-2))))))</f>
        <v>0</v>
      </c>
      <c r="Q540" s="158"/>
    </row>
    <row r="541" spans="2:17" s="2" customFormat="1" ht="11.25" customHeight="1" x14ac:dyDescent="0.25">
      <c r="B541" s="40" t="s">
        <v>71</v>
      </c>
      <c r="C541" s="130">
        <f>'[5]Maj Pel Combined'!$V$18</f>
        <v>0</v>
      </c>
      <c r="D541" s="200">
        <f>F541-VLOOKUP(B541,[4]quotas!$B$85:$W$120,22,FALSE)</f>
        <v>0</v>
      </c>
      <c r="E541" s="200">
        <f t="shared" si="104"/>
        <v>0</v>
      </c>
      <c r="F541" s="201">
        <f>VLOOKUP(B541,[4]quotas!$B$46:$W$84,22,FALSE)</f>
        <v>0</v>
      </c>
      <c r="G541" s="202">
        <f>VLOOKUP(B541,[4]Cumulative!$A$56:$X$91,24,FALSE)</f>
        <v>0</v>
      </c>
      <c r="H541" s="151">
        <f t="shared" si="107"/>
        <v>0</v>
      </c>
      <c r="I541" s="201">
        <f t="shared" si="108"/>
        <v>0</v>
      </c>
      <c r="J541" s="202">
        <f>VLOOKUP(B541,[4]Weeks!$A$125:$X$161,24,FALSE)-VLOOKUP(B541,[4]Weeks!$A$165:$X$200,24,FALSE)</f>
        <v>0</v>
      </c>
      <c r="K541" s="202">
        <f>VLOOKUP(B541,[4]Weeks!$A$85:$X$121,24,FALSE)-VLOOKUP(B541,[4]Weeks!$A$125:$X$161,24,FALSE)</f>
        <v>0</v>
      </c>
      <c r="L541" s="202">
        <f>VLOOKUP(B541,[4]Weeks!$A$44:$X$81,24,FALSE)-VLOOKUP(B541,[4]Weeks!$A$85:$X$121,24,FALSE)</f>
        <v>0</v>
      </c>
      <c r="M541" s="202">
        <f>VLOOKUP(B541,[4]Weeks!$A$3:$X$39,24,FALSE)-VLOOKUP(B541,[4]Weeks!$A$44:$X$81,24,FALSE)</f>
        <v>0</v>
      </c>
      <c r="N541" s="11" t="str">
        <f t="shared" si="105"/>
        <v>-</v>
      </c>
      <c r="O541" s="202">
        <f t="shared" si="106"/>
        <v>0</v>
      </c>
      <c r="P541" s="41">
        <f>IF(ISNUMBER(VLOOKUP(B541,[4]CLOSURES!B:BI,22,FALSE)),TEXT(VLOOKUP(B541,[4]CLOSURES!B:BI,22,FALSE),"ddmmm"),IF(F541&lt;=0,0,IF(I541&lt;=0,0,IF(AND(F541&gt;0,O541&lt;=0),"&gt;52",IF(I541/O541&gt;52,"&gt;52", MAX(0,I541/O541-2))))))</f>
        <v>0</v>
      </c>
      <c r="Q541" s="158"/>
    </row>
    <row r="542" spans="2:17" s="2" customFormat="1" ht="11.25" customHeight="1" x14ac:dyDescent="0.25">
      <c r="B542" s="40" t="s">
        <v>72</v>
      </c>
      <c r="C542" s="130">
        <f>'[5]Maj Pel Combined'!$V$19</f>
        <v>0</v>
      </c>
      <c r="D542" s="200">
        <f>F542-VLOOKUP(B542,[4]quotas!$B$85:$W$120,22,FALSE)</f>
        <v>0</v>
      </c>
      <c r="E542" s="200">
        <f t="shared" si="104"/>
        <v>0</v>
      </c>
      <c r="F542" s="201">
        <f>VLOOKUP(B542,[4]quotas!$B$46:$W$84,22,FALSE)</f>
        <v>0</v>
      </c>
      <c r="G542" s="202">
        <f>VLOOKUP(B542,[4]Cumulative!$A$56:$X$91,24,FALSE)</f>
        <v>0</v>
      </c>
      <c r="H542" s="151">
        <f t="shared" si="107"/>
        <v>0</v>
      </c>
      <c r="I542" s="201">
        <f t="shared" si="108"/>
        <v>0</v>
      </c>
      <c r="J542" s="202">
        <f>VLOOKUP(B542,[4]Weeks!$A$125:$X$161,24,FALSE)-VLOOKUP(B542,[4]Weeks!$A$165:$X$200,24,FALSE)</f>
        <v>0</v>
      </c>
      <c r="K542" s="202">
        <f>VLOOKUP(B542,[4]Weeks!$A$85:$X$121,24,FALSE)-VLOOKUP(B542,[4]Weeks!$A$125:$X$161,24,FALSE)</f>
        <v>0</v>
      </c>
      <c r="L542" s="202">
        <f>VLOOKUP(B542,[4]Weeks!$A$44:$X$81,24,FALSE)-VLOOKUP(B542,[4]Weeks!$A$85:$X$121,24,FALSE)</f>
        <v>0</v>
      </c>
      <c r="M542" s="202">
        <f>VLOOKUP(B542,[4]Weeks!$A$3:$X$39,24,FALSE)-VLOOKUP(B542,[4]Weeks!$A$44:$X$81,24,FALSE)</f>
        <v>0</v>
      </c>
      <c r="N542" s="11" t="str">
        <f t="shared" si="105"/>
        <v>-</v>
      </c>
      <c r="O542" s="202">
        <f t="shared" si="106"/>
        <v>0</v>
      </c>
      <c r="P542" s="41">
        <f>IF(ISNUMBER(VLOOKUP(B542,[4]CLOSURES!B:BI,22,FALSE)),TEXT(VLOOKUP(B542,[4]CLOSURES!B:BI,22,FALSE),"ddmmm"),IF(F542&lt;=0,0,IF(I542&lt;=0,0,IF(AND(F542&gt;0,O542&lt;=0),"&gt;52",IF(I542/O542&gt;52,"&gt;52", MAX(0,I542/O542-2))))))</f>
        <v>0</v>
      </c>
      <c r="Q542" s="158"/>
    </row>
    <row r="543" spans="2:17" s="2" customFormat="1" ht="11.25" customHeight="1" x14ac:dyDescent="0.25">
      <c r="B543" s="43" t="s">
        <v>73</v>
      </c>
      <c r="C543" s="130">
        <f>SUM(C533:C542)</f>
        <v>0</v>
      </c>
      <c r="D543" s="200">
        <f>SUM(D533:D542)</f>
        <v>0</v>
      </c>
      <c r="E543" s="200">
        <f t="shared" si="104"/>
        <v>0</v>
      </c>
      <c r="F543" s="201">
        <f>SUM(F533:F542)</f>
        <v>0</v>
      </c>
      <c r="G543" s="202">
        <f>SUM(G533:G542)</f>
        <v>0</v>
      </c>
      <c r="H543" s="151">
        <f t="shared" si="107"/>
        <v>0</v>
      </c>
      <c r="I543" s="201">
        <f t="shared" si="108"/>
        <v>0</v>
      </c>
      <c r="J543" s="202">
        <f t="shared" ref="J543:O543" si="109">SUM(J533:J542)</f>
        <v>0</v>
      </c>
      <c r="K543" s="202">
        <f t="shared" si="109"/>
        <v>0</v>
      </c>
      <c r="L543" s="202">
        <f t="shared" si="109"/>
        <v>0</v>
      </c>
      <c r="M543" s="202">
        <f t="shared" si="109"/>
        <v>0</v>
      </c>
      <c r="N543" s="11">
        <f t="shared" si="109"/>
        <v>0</v>
      </c>
      <c r="O543" s="202">
        <f t="shared" si="109"/>
        <v>0</v>
      </c>
      <c r="P543" s="41">
        <f>IF(ISNUMBER(VLOOKUP(B543,[4]CLOSURES!B:BI,22,FALSE)),TEXT(VLOOKUP(B543,[4]CLOSURES!B:BI,22,FALSE),"ddmmm"),IF(F543&lt;=0,0,IF(I543&lt;=0,0,IF(AND(F543&gt;0,O543&lt;=0),"&gt;52",IF(I543/O543&gt;52,"&gt;52", MAX(0,I543/O543-2))))))</f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f>'[5]Maj Pel Combined'!$V$5</f>
        <v>0</v>
      </c>
      <c r="D545" s="200">
        <f>F545-VLOOKUP(B545,[4]quotas!$B$85:$W$120,22,FALSE)</f>
        <v>0</v>
      </c>
      <c r="E545" s="200">
        <f t="shared" si="104"/>
        <v>0</v>
      </c>
      <c r="F545" s="201">
        <f>VLOOKUP(B545,[4]quotas!$B$46:$W$84,22,FALSE)</f>
        <v>0</v>
      </c>
      <c r="G545" s="202">
        <f>VLOOKUP(B545,[4]Cumulative!$A$56:$X$91,24,FALSE)</f>
        <v>0</v>
      </c>
      <c r="H545" s="151">
        <f t="shared" si="107"/>
        <v>0</v>
      </c>
      <c r="I545" s="201">
        <f t="shared" si="108"/>
        <v>0</v>
      </c>
      <c r="J545" s="202">
        <f>VLOOKUP(B545,[4]Weeks!$A$125:$X$161,24,FALSE)-VLOOKUP(B545,[4]Weeks!$A$165:$X$200,24,FALSE)</f>
        <v>0</v>
      </c>
      <c r="K545" s="202">
        <f>VLOOKUP(B545,[4]Weeks!$A$85:$X$121,24,FALSE)-VLOOKUP(B545,[4]Weeks!$A$125:$X$161,24,FALSE)</f>
        <v>0</v>
      </c>
      <c r="L545" s="202">
        <f>VLOOKUP(B545,[4]Weeks!$A$44:$X$81,24,FALSE)-VLOOKUP(B545,[4]Weeks!$A$85:$X$121,24,FALSE)</f>
        <v>0</v>
      </c>
      <c r="M545" s="202">
        <f>VLOOKUP(B545,[4]Weeks!$A$3:$X$39,24,FALSE)-VLOOKUP(B545,[4]Weeks!$A$44:$X$81,24,FALSE)</f>
        <v>0</v>
      </c>
      <c r="N545" s="11" t="str">
        <f t="shared" ref="N545:N553" si="110">IF(C545="*","*",IF(C545&gt;0,M545/C545*100,"-"))</f>
        <v>-</v>
      </c>
      <c r="O545" s="202">
        <f t="shared" ref="O545:O556" si="111">IF(C545="*","*",SUM(J545:M545)/4)</f>
        <v>0</v>
      </c>
      <c r="P545" s="41">
        <f>IF(ISNUMBER(VLOOKUP(B545,[4]CLOSURES!B:BI,22,FALSE)),TEXT(VLOOKUP(B545,[4]CLOSURES!B:BI,22,FALSE),"ddmmm"),IF(F545&lt;=0,0,IF(I545&lt;=0,0,IF(AND(F545&gt;0,O545&lt;=0),"&gt;52",IF(I545/O545&gt;52,"&gt;52", MAX(0,I545/O545-2))))))</f>
        <v>0</v>
      </c>
      <c r="Q545" s="158"/>
    </row>
    <row r="546" spans="2:17" s="2" customFormat="1" ht="11.25" customHeight="1" x14ac:dyDescent="0.25">
      <c r="B546" s="40" t="s">
        <v>75</v>
      </c>
      <c r="C546" s="130">
        <f>'[5]Maj Pel Combined'!$V$7</f>
        <v>0</v>
      </c>
      <c r="D546" s="200">
        <f>F546-VLOOKUP(B546,[4]quotas!$B$85:$W$120,22,FALSE)</f>
        <v>0</v>
      </c>
      <c r="E546" s="200">
        <f>F546-C546</f>
        <v>0</v>
      </c>
      <c r="F546" s="201">
        <f>VLOOKUP(B546,[4]quotas!$B$46:$W$84,22,FALSE)</f>
        <v>0</v>
      </c>
      <c r="G546" s="202">
        <f>VLOOKUP(B546,[4]Cumulative!$A$56:$X$91,24,FALSE)</f>
        <v>0</v>
      </c>
      <c r="H546" s="151">
        <f>IF(AND(F546=0,G546&gt;0),"n/a",IF(F546=0,0,100*G546/F546))</f>
        <v>0</v>
      </c>
      <c r="I546" s="201">
        <f>IF(F546="*","*",F546-G546)</f>
        <v>0</v>
      </c>
      <c r="J546" s="202">
        <f>VLOOKUP(B546,[4]Weeks!$A$125:$X$161,24,FALSE)-VLOOKUP(B546,[4]Weeks!$A$165:$X$200,24,FALSE)</f>
        <v>0</v>
      </c>
      <c r="K546" s="202">
        <f>VLOOKUP(B546,[4]Weeks!$A$85:$X$121,24,FALSE)-VLOOKUP(B546,[4]Weeks!$A$125:$X$161,24,FALSE)</f>
        <v>0</v>
      </c>
      <c r="L546" s="202">
        <f>VLOOKUP(B546,[4]Weeks!$A$44:$X$81,24,FALSE)-VLOOKUP(B546,[4]Weeks!$A$85:$X$121,24,FALSE)</f>
        <v>0</v>
      </c>
      <c r="M546" s="202">
        <f>VLOOKUP(B546,[4]Weeks!$A$3:$X$39,24,FALSE)-VLOOKUP(B546,[4]Weeks!$A$44:$X$81,24,FALSE)</f>
        <v>0</v>
      </c>
      <c r="N546" s="11" t="str">
        <f>IF(C546="*","*",IF(C546&gt;0,M546/C546*100,"-"))</f>
        <v>-</v>
      </c>
      <c r="O546" s="202">
        <f>IF(C546="*","*",SUM(J546:M546)/4)</f>
        <v>0</v>
      </c>
      <c r="P546" s="41">
        <f>IF(ISNUMBER(VLOOKUP(B546,[4]CLOSURES!B:BI,22,FALSE)),TEXT(VLOOKUP(B546,[4]CLOSURES!B:BI,22,FALSE),"ddmmm"),IF(F546&lt;=0,0,IF(I546&lt;=0,0,IF(AND(F546&gt;0,O546&lt;=0),"&gt;52",IF(I546/O546&gt;52,"&gt;52", MAX(0,I546/O546-2))))))</f>
        <v>0</v>
      </c>
      <c r="Q546" s="158"/>
    </row>
    <row r="547" spans="2:17" s="2" customFormat="1" ht="10.75" customHeight="1" x14ac:dyDescent="0.25">
      <c r="B547" s="40" t="s">
        <v>152</v>
      </c>
      <c r="C547" s="130">
        <f>'[5]Maj Pel Combined'!$V$8</f>
        <v>0</v>
      </c>
      <c r="D547" s="200">
        <f>F547-VLOOKUP(B547,[4]quotas!$B$85:$W$120,22,FALSE)</f>
        <v>0</v>
      </c>
      <c r="E547" s="200">
        <f>F547-C547</f>
        <v>0</v>
      </c>
      <c r="F547" s="201">
        <f>VLOOKUP(B547,[4]quotas!$B$46:$W$84,22,FALSE)</f>
        <v>0</v>
      </c>
      <c r="G547" s="202">
        <f>VLOOKUP(B547,[4]Cumulative!$A$56:$X$91,24,FALSE)</f>
        <v>0</v>
      </c>
      <c r="H547" s="151">
        <f>IF(AND(F547=0,G547&gt;0),"n/a",IF(F547=0,0,100*G547/F547))</f>
        <v>0</v>
      </c>
      <c r="I547" s="201">
        <f>IF(F547="*","*",F547-G547)</f>
        <v>0</v>
      </c>
      <c r="J547" s="202">
        <f>VLOOKUP(B547,[4]Weeks!$A$125:$X$161,24,FALSE)-VLOOKUP(B547,[4]Weeks!$A$165:$X$200,24,FALSE)</f>
        <v>0</v>
      </c>
      <c r="K547" s="202">
        <f>VLOOKUP(B547,[4]Weeks!$A$85:$X$121,24,FALSE)-VLOOKUP(B547,[4]Weeks!$A$125:$X$161,24,FALSE)</f>
        <v>0</v>
      </c>
      <c r="L547" s="202">
        <f>VLOOKUP(B547,[4]Weeks!$A$44:$X$81,24,FALSE)-VLOOKUP(B547,[4]Weeks!$A$85:$X$121,24,FALSE)</f>
        <v>0</v>
      </c>
      <c r="M547" s="202">
        <f>VLOOKUP(B547,[4]Weeks!$A$3:$X$39,24,FALSE)-VLOOKUP(B547,[4]Weeks!$A$44:$X$81,24,FALSE)</f>
        <v>0</v>
      </c>
      <c r="N547" s="11" t="str">
        <f>IF(C547="*","*",IF(C547&gt;0,M547/C547*100,"-"))</f>
        <v>-</v>
      </c>
      <c r="O547" s="202">
        <f>IF(C547="*","*",SUM(J547:M547)/4)</f>
        <v>0</v>
      </c>
      <c r="P547" s="41">
        <f>IF(ISNUMBER(VLOOKUP(B547,[4]CLOSURES!B:BI,22,FALSE)),TEXT(VLOOKUP(B547,[4]CLOSURES!B:BI,22,FALSE),"ddmmm"),IF(F547&lt;=0,0,IF(I547&lt;=0,0,IF(AND(F547&gt;0,O547&lt;=0),"&gt;52",IF(I547/O547&gt;52,"&gt;52", MAX(0,I547/O547-2))))))</f>
        <v>0</v>
      </c>
      <c r="Q547" s="158"/>
    </row>
    <row r="548" spans="2:17" s="2" customFormat="1" ht="10.75" customHeight="1" x14ac:dyDescent="0.25">
      <c r="B548" s="40" t="s">
        <v>76</v>
      </c>
      <c r="C548" s="130">
        <f>'[5]Maj Pel Combined'!$V$9</f>
        <v>0</v>
      </c>
      <c r="D548" s="200">
        <f>F548-VLOOKUP(B548,[4]quotas!$B$85:$W$120,22,FALSE)</f>
        <v>0</v>
      </c>
      <c r="E548" s="200">
        <f t="shared" si="104"/>
        <v>0</v>
      </c>
      <c r="F548" s="201">
        <f>VLOOKUP(B548,[4]quotas!$B$46:$W$84,22,FALSE)</f>
        <v>0</v>
      </c>
      <c r="G548" s="202">
        <f>VLOOKUP(B548,[4]Cumulative!$A$56:$X$91,24,FALSE)</f>
        <v>0</v>
      </c>
      <c r="H548" s="151">
        <f t="shared" si="107"/>
        <v>0</v>
      </c>
      <c r="I548" s="201">
        <f t="shared" si="108"/>
        <v>0</v>
      </c>
      <c r="J548" s="202">
        <f>VLOOKUP(B548,[4]Weeks!$A$125:$X$161,24,FALSE)-VLOOKUP(B548,[4]Weeks!$A$165:$X$200,24,FALSE)</f>
        <v>0</v>
      </c>
      <c r="K548" s="202">
        <f>VLOOKUP(B548,[4]Weeks!$A$85:$X$121,24,FALSE)-VLOOKUP(B548,[4]Weeks!$A$125:$X$161,24,FALSE)</f>
        <v>0</v>
      </c>
      <c r="L548" s="202">
        <f>VLOOKUP(B548,[4]Weeks!$A$44:$X$81,24,FALSE)-VLOOKUP(B548,[4]Weeks!$A$85:$X$121,24,FALSE)</f>
        <v>0</v>
      </c>
      <c r="M548" s="202">
        <f>VLOOKUP(B548,[4]Weeks!$A$3:$X$39,24,FALSE)-VLOOKUP(B548,[4]Weeks!$A$44:$X$81,24,FALSE)</f>
        <v>0</v>
      </c>
      <c r="N548" s="11" t="str">
        <f t="shared" si="110"/>
        <v>-</v>
      </c>
      <c r="O548" s="202">
        <f t="shared" si="111"/>
        <v>0</v>
      </c>
      <c r="P548" s="41">
        <f>IF(ISNUMBER(VLOOKUP(B548,[4]CLOSURES!B:BI,22,FALSE)),TEXT(VLOOKUP(B548,[4]CLOSURES!B:BI,22,FALSE),"ddmmm"),IF(F548&lt;=0,0,IF(I548&lt;=0,0,IF(AND(F548&gt;0,O548&lt;=0),"&gt;52",IF(I548/O548&gt;52,"&gt;52", MAX(0,I548/O548-2))))))</f>
        <v>0</v>
      </c>
      <c r="Q548" s="158"/>
    </row>
    <row r="549" spans="2:17" s="2" customFormat="1" ht="10.75" customHeight="1" x14ac:dyDescent="0.25">
      <c r="B549" s="40" t="s">
        <v>77</v>
      </c>
      <c r="C549" s="130">
        <f>'[5]Maj Pel Combined'!$V$27</f>
        <v>0</v>
      </c>
      <c r="D549" s="200">
        <f>F549-VLOOKUP(B549,[4]quotas!$B$85:$W$120,22,FALSE)</f>
        <v>0</v>
      </c>
      <c r="E549" s="200">
        <f t="shared" si="104"/>
        <v>0</v>
      </c>
      <c r="F549" s="201">
        <f>VLOOKUP(B549,[4]quotas!$B$46:$W$84,22,FALSE)</f>
        <v>0</v>
      </c>
      <c r="G549" s="202">
        <f>VLOOKUP(B549,[4]Cumulative!$A$56:$X$91,24,FALSE)</f>
        <v>0</v>
      </c>
      <c r="H549" s="151">
        <f t="shared" si="107"/>
        <v>0</v>
      </c>
      <c r="I549" s="201">
        <f t="shared" si="108"/>
        <v>0</v>
      </c>
      <c r="J549" s="202">
        <f>VLOOKUP(B549,[4]Weeks!$A$125:$X$161,24,FALSE)-VLOOKUP(B549,[4]Weeks!$A$165:$X$200,24,FALSE)</f>
        <v>0</v>
      </c>
      <c r="K549" s="202">
        <f>VLOOKUP(B549,[4]Weeks!$A$85:$X$121,24,FALSE)-VLOOKUP(B549,[4]Weeks!$A$125:$X$161,24,FALSE)</f>
        <v>0</v>
      </c>
      <c r="L549" s="202">
        <f>VLOOKUP(B549,[4]Weeks!$A$44:$X$81,24,FALSE)-VLOOKUP(B549,[4]Weeks!$A$85:$X$121,24,FALSE)</f>
        <v>0</v>
      </c>
      <c r="M549" s="202">
        <f>VLOOKUP(B549,[4]Weeks!$A$3:$X$39,24,FALSE)-VLOOKUP(B549,[4]Weeks!$A$44:$X$81,24,FALSE)</f>
        <v>0</v>
      </c>
      <c r="N549" s="11" t="str">
        <f t="shared" si="110"/>
        <v>-</v>
      </c>
      <c r="O549" s="202">
        <f t="shared" si="111"/>
        <v>0</v>
      </c>
      <c r="P549" s="41">
        <f>IF(ISNUMBER(VLOOKUP(B549,[4]CLOSURES!B:BI,22,FALSE)),TEXT(VLOOKUP(B549,[4]CLOSURES!B:BI,22,FALSE),"ddmmm"),IF(F549&lt;=0,0,IF(I549&lt;=0,0,IF(AND(F549&gt;0,O549&lt;=0),"&gt;52",IF(I549/O549&gt;52,"&gt;52", MAX(0,I549/O549-2))))))</f>
        <v>0</v>
      </c>
      <c r="Q549" s="158"/>
    </row>
    <row r="550" spans="2:17" s="2" customFormat="1" ht="10.75" customHeight="1" x14ac:dyDescent="0.25">
      <c r="B550" s="40" t="s">
        <v>78</v>
      </c>
      <c r="C550" s="130">
        <f>'[5]Maj Pel Combined'!$V$26</f>
        <v>0</v>
      </c>
      <c r="D550" s="200">
        <f>F550-VLOOKUP(B550,[4]quotas!$B$85:$W$120,22,FALSE)</f>
        <v>0</v>
      </c>
      <c r="E550" s="200">
        <f t="shared" si="104"/>
        <v>0</v>
      </c>
      <c r="F550" s="201">
        <f>VLOOKUP(B550,[4]quotas!$B$46:$W$84,22,FALSE)</f>
        <v>0</v>
      </c>
      <c r="G550" s="202">
        <f>VLOOKUP(B550,[4]Cumulative!$A$56:$X$91,24,FALSE)</f>
        <v>0</v>
      </c>
      <c r="H550" s="151">
        <f t="shared" si="107"/>
        <v>0</v>
      </c>
      <c r="I550" s="201">
        <f t="shared" si="108"/>
        <v>0</v>
      </c>
      <c r="J550" s="202">
        <f>VLOOKUP(B550,[4]Weeks!$A$125:$X$161,24,FALSE)-VLOOKUP(B550,[4]Weeks!$A$165:$X$200,24,FALSE)</f>
        <v>0</v>
      </c>
      <c r="K550" s="202">
        <f>VLOOKUP(B550,[4]Weeks!$A$85:$X$121,24,FALSE)-VLOOKUP(B550,[4]Weeks!$A$125:$X$161,24,FALSE)</f>
        <v>0</v>
      </c>
      <c r="L550" s="202">
        <f>VLOOKUP(B550,[4]Weeks!$A$44:$X$81,24,FALSE)-VLOOKUP(B550,[4]Weeks!$A$85:$X$121,24,FALSE)</f>
        <v>0</v>
      </c>
      <c r="M550" s="202">
        <f>VLOOKUP(B550,[4]Weeks!$A$3:$X$39,24,FALSE)-VLOOKUP(B550,[4]Weeks!$A$44:$X$81,24,FALSE)</f>
        <v>0</v>
      </c>
      <c r="N550" s="11" t="str">
        <f t="shared" si="110"/>
        <v>-</v>
      </c>
      <c r="O550" s="202">
        <f t="shared" si="111"/>
        <v>0</v>
      </c>
      <c r="P550" s="41">
        <f>IF(ISNUMBER(VLOOKUP(B550,[4]CLOSURES!B:BI,22,FALSE)),TEXT(VLOOKUP(B550,[4]CLOSURES!B:BI,22,FALSE),"ddmmm"),IF(F550&lt;=0,0,IF(I550&lt;=0,0,IF(AND(F550&gt;0,O550&lt;=0),"&gt;52",IF(I550/O550&gt;52,"&gt;52", MAX(0,I550/O550-2))))))</f>
        <v>0</v>
      </c>
      <c r="Q550" s="158"/>
    </row>
    <row r="551" spans="2:17" s="2" customFormat="1" ht="10.75" customHeight="1" x14ac:dyDescent="0.25">
      <c r="B551" s="40" t="s">
        <v>79</v>
      </c>
      <c r="C551" s="130">
        <f>'[5]Maj Pel Combined'!$V$6</f>
        <v>0</v>
      </c>
      <c r="D551" s="200">
        <f>F551-VLOOKUP(B551,[4]quotas!$B$85:$W$120,22,FALSE)</f>
        <v>0</v>
      </c>
      <c r="E551" s="200">
        <f t="shared" si="104"/>
        <v>0</v>
      </c>
      <c r="F551" s="201">
        <f>VLOOKUP(B551,[4]quotas!$B$46:$W$84,22,FALSE)</f>
        <v>0</v>
      </c>
      <c r="G551" s="202">
        <f>VLOOKUP(B551,[4]Cumulative!$A$56:$X$91,24,FALSE)</f>
        <v>0</v>
      </c>
      <c r="H551" s="151">
        <f t="shared" si="107"/>
        <v>0</v>
      </c>
      <c r="I551" s="201">
        <f t="shared" si="108"/>
        <v>0</v>
      </c>
      <c r="J551" s="202">
        <f>VLOOKUP(B551,[4]Weeks!$A$125:$X$161,24,FALSE)-VLOOKUP(B551,[4]Weeks!$A$165:$X$200,24,FALSE)</f>
        <v>0</v>
      </c>
      <c r="K551" s="202">
        <f>VLOOKUP(B551,[4]Weeks!$A$85:$X$121,24,FALSE)-VLOOKUP(B551,[4]Weeks!$A$125:$X$161,24,FALSE)</f>
        <v>0</v>
      </c>
      <c r="L551" s="202">
        <f>VLOOKUP(B551,[4]Weeks!$A$44:$X$81,24,FALSE)-VLOOKUP(B551,[4]Weeks!$A$85:$X$121,24,FALSE)</f>
        <v>0</v>
      </c>
      <c r="M551" s="202">
        <f>VLOOKUP(B551,[4]Weeks!$A$3:$X$39,24,FALSE)-VLOOKUP(B551,[4]Weeks!$A$44:$X$81,24,FALSE)</f>
        <v>0</v>
      </c>
      <c r="N551" s="11" t="str">
        <f t="shared" si="110"/>
        <v>-</v>
      </c>
      <c r="O551" s="202">
        <f t="shared" si="111"/>
        <v>0</v>
      </c>
      <c r="P551" s="41">
        <f>IF(ISNUMBER(VLOOKUP(B551,[4]CLOSURES!B:BI,22,FALSE)),TEXT(VLOOKUP(B551,[4]CLOSURES!B:BI,22,FALSE),"ddmmm"),IF(F551&lt;=0,0,IF(I551&lt;=0,0,IF(AND(F551&gt;0,O551&lt;=0),"&gt;52",IF(I551/O551&gt;52,"&gt;52", MAX(0,I551/O551-2))))))</f>
        <v>0</v>
      </c>
      <c r="Q551" s="158"/>
    </row>
    <row r="552" spans="2:17" s="2" customFormat="1" ht="10.75" customHeight="1" x14ac:dyDescent="0.25">
      <c r="B552" s="40" t="s">
        <v>80</v>
      </c>
      <c r="C552" s="130">
        <f>'[5]Maj Pel Combined'!$V$14</f>
        <v>0</v>
      </c>
      <c r="D552" s="200">
        <f>F552-VLOOKUP(B552,[4]quotas!$B$85:$W$120,22,FALSE)</f>
        <v>0</v>
      </c>
      <c r="E552" s="200">
        <f t="shared" si="104"/>
        <v>0</v>
      </c>
      <c r="F552" s="201">
        <f>VLOOKUP(B552,[4]quotas!$B$46:$W$84,22,FALSE)</f>
        <v>0</v>
      </c>
      <c r="G552" s="202">
        <f>VLOOKUP(B552,[4]Cumulative!$A$56:$X$91,24,FALSE)</f>
        <v>0</v>
      </c>
      <c r="H552" s="151">
        <f t="shared" si="107"/>
        <v>0</v>
      </c>
      <c r="I552" s="201">
        <f t="shared" si="108"/>
        <v>0</v>
      </c>
      <c r="J552" s="202">
        <f>VLOOKUP(B552,[4]Weeks!$A$125:$X$161,24,FALSE)-VLOOKUP(B552,[4]Weeks!$A$165:$X$200,24,FALSE)</f>
        <v>0</v>
      </c>
      <c r="K552" s="202">
        <f>VLOOKUP(B552,[4]Weeks!$A$85:$X$121,24,FALSE)-VLOOKUP(B552,[4]Weeks!$A$125:$X$161,24,FALSE)</f>
        <v>0</v>
      </c>
      <c r="L552" s="202">
        <f>VLOOKUP(B552,[4]Weeks!$A$44:$X$81,24,FALSE)-VLOOKUP(B552,[4]Weeks!$A$85:$X$121,24,FALSE)</f>
        <v>0</v>
      </c>
      <c r="M552" s="202">
        <f>VLOOKUP(B552,[4]Weeks!$A$3:$X$39,24,FALSE)-VLOOKUP(B552,[4]Weeks!$A$44:$X$81,24,FALSE)</f>
        <v>0</v>
      </c>
      <c r="N552" s="11" t="str">
        <f t="shared" si="110"/>
        <v>-</v>
      </c>
      <c r="O552" s="202">
        <f t="shared" si="111"/>
        <v>0</v>
      </c>
      <c r="P552" s="41">
        <f>IF(ISNUMBER(VLOOKUP(B552,[4]CLOSURES!B:BI,22,FALSE)),TEXT(VLOOKUP(B552,[4]CLOSURES!B:BI,22,FALSE),"ddmmm"),IF(F552&lt;=0,0,IF(I552&lt;=0,0,IF(AND(F552&gt;0,O552&lt;=0),"&gt;52",IF(I552/O552&gt;52,"&gt;52", MAX(0,I552/O552-2))))))</f>
        <v>0</v>
      </c>
      <c r="Q552" s="158"/>
    </row>
    <row r="553" spans="2:17" s="2" customFormat="1" ht="10.75" customHeight="1" x14ac:dyDescent="0.25">
      <c r="B553" s="40" t="s">
        <v>81</v>
      </c>
      <c r="C553" s="130">
        <f>'[5]Maj Pel Combined'!$V$13</f>
        <v>0</v>
      </c>
      <c r="D553" s="200">
        <f>F553-VLOOKUP(B553,[4]quotas!$B$85:$W$120,22,FALSE)</f>
        <v>0</v>
      </c>
      <c r="E553" s="200">
        <f t="shared" si="104"/>
        <v>0</v>
      </c>
      <c r="F553" s="201">
        <f>VLOOKUP(B553,[4]quotas!$B$46:$W$84,22,FALSE)</f>
        <v>0</v>
      </c>
      <c r="G553" s="202">
        <f>VLOOKUP(B553,[4]Cumulative!$A$56:$X$91,24,FALSE)</f>
        <v>0</v>
      </c>
      <c r="H553" s="151">
        <f t="shared" si="107"/>
        <v>0</v>
      </c>
      <c r="I553" s="201">
        <f t="shared" si="108"/>
        <v>0</v>
      </c>
      <c r="J553" s="202">
        <f>VLOOKUP(B553,[4]Weeks!$A$125:$X$161,24,FALSE)-VLOOKUP(B553,[4]Weeks!$A$165:$X$200,24,FALSE)</f>
        <v>0</v>
      </c>
      <c r="K553" s="202">
        <f>VLOOKUP(B553,[4]Weeks!$A$85:$X$121,24,FALSE)-VLOOKUP(B553,[4]Weeks!$A$125:$X$161,24,FALSE)</f>
        <v>0</v>
      </c>
      <c r="L553" s="202">
        <f>VLOOKUP(B553,[4]Weeks!$A$44:$X$81,24,FALSE)-VLOOKUP(B553,[4]Weeks!$A$85:$X$121,24,FALSE)</f>
        <v>0</v>
      </c>
      <c r="M553" s="202">
        <f>VLOOKUP(B553,[4]Weeks!$A$3:$X$39,24,FALSE)-VLOOKUP(B553,[4]Weeks!$A$44:$X$81,24,FALSE)</f>
        <v>0</v>
      </c>
      <c r="N553" s="11" t="str">
        <f t="shared" si="110"/>
        <v>-</v>
      </c>
      <c r="O553" s="202">
        <f t="shared" si="111"/>
        <v>0</v>
      </c>
      <c r="P553" s="41">
        <f>IF(ISNUMBER(VLOOKUP(B553,[4]CLOSURES!B:BI,22,FALSE)),TEXT(VLOOKUP(B553,[4]CLOSURES!B:BI,22,FALSE),"ddmmm"),IF(F553&lt;=0,0,IF(I553&lt;=0,0,IF(AND(F553&gt;0,O553&lt;=0),"&gt;52",IF(I553/O553&gt;52,"&gt;52", MAX(0,I553/O553-2))))))</f>
        <v>0</v>
      </c>
      <c r="Q553" s="158"/>
    </row>
    <row r="554" spans="2:17" s="2" customFormat="1" ht="10.75" customHeight="1" x14ac:dyDescent="0.25">
      <c r="B554" s="152" t="s">
        <v>82</v>
      </c>
      <c r="C554" s="130">
        <f>'[5]Maj Pel Combined'!$V$11</f>
        <v>0</v>
      </c>
      <c r="D554" s="200">
        <f>F554-VLOOKUP(B554,[4]quotas!$B$85:$W$120,22,FALSE)</f>
        <v>0</v>
      </c>
      <c r="E554" s="200">
        <f>F554-C554</f>
        <v>0</v>
      </c>
      <c r="F554" s="201">
        <f>VLOOKUP(B554,[4]quotas!$B$46:$W$84,22,FALSE)</f>
        <v>0</v>
      </c>
      <c r="G554" s="202">
        <f>VLOOKUP(B554,[4]Cumulative!$A$56:$X$91,24,FALSE)</f>
        <v>0</v>
      </c>
      <c r="H554" s="151">
        <f>IF(AND(F554=0,G554&gt;0),"n/a",IF(F554=0,0,100*G554/F554))</f>
        <v>0</v>
      </c>
      <c r="I554" s="201">
        <f>IF(F554="*","*",F554-G554)</f>
        <v>0</v>
      </c>
      <c r="J554" s="202">
        <f>VLOOKUP(B554,[4]Weeks!$A$125:$X$161,24,FALSE)-VLOOKUP(B554,[4]Weeks!$A$165:$X$200,24,FALSE)</f>
        <v>0</v>
      </c>
      <c r="K554" s="202">
        <f>VLOOKUP(B554,[4]Weeks!$A$85:$X$121,24,FALSE)-VLOOKUP(B554,[4]Weeks!$A$125:$X$161,24,FALSE)</f>
        <v>0</v>
      </c>
      <c r="L554" s="202">
        <f>VLOOKUP(B554,[4]Weeks!$A$44:$X$81,24,FALSE)-VLOOKUP(B554,[4]Weeks!$A$85:$X$121,24,FALSE)</f>
        <v>0</v>
      </c>
      <c r="M554" s="202">
        <f>VLOOKUP(B554,[4]Weeks!$A$3:$X$39,24,FALSE)-VLOOKUP(B554,[4]Weeks!$A$44:$X$81,24,FALSE)</f>
        <v>0</v>
      </c>
      <c r="N554" s="11" t="str">
        <f>IF(C554="*","*",IF(C554&gt;0,M554/C554*100,"-"))</f>
        <v>-</v>
      </c>
      <c r="O554" s="202">
        <f t="shared" si="111"/>
        <v>0</v>
      </c>
      <c r="P554" s="41">
        <f>IF(ISNUMBER(VLOOKUP(B554,[4]CLOSURES!B:BI,22,FALSE)),TEXT(VLOOKUP(B554,[4]CLOSURES!B:BI,22,FALSE),"ddmmm"),IF(F554&lt;=0,0,IF(I554&lt;=0,0,IF(AND(F554&gt;0,O554&lt;=0),"&gt;52",IF(I554/O554&gt;52,"&gt;52", MAX(0,I554/O554-2))))))</f>
        <v>0</v>
      </c>
      <c r="Q554" s="158"/>
    </row>
    <row r="555" spans="2:17" s="2" customFormat="1" ht="10.75" customHeight="1" x14ac:dyDescent="0.25">
      <c r="B555" s="152" t="s">
        <v>83</v>
      </c>
      <c r="C555" s="130">
        <f>'[5]Maj Pel Combined'!$V$15</f>
        <v>0</v>
      </c>
      <c r="D555" s="200">
        <f>F555-VLOOKUP(B555,[4]quotas!$B$85:$W$120,22,FALSE)</f>
        <v>0</v>
      </c>
      <c r="E555" s="200">
        <f>F555-C555</f>
        <v>0</v>
      </c>
      <c r="F555" s="201">
        <f>VLOOKUP(B555,[4]quotas!$B$46:$W$84,22,FALSE)</f>
        <v>0</v>
      </c>
      <c r="G555" s="202">
        <f>VLOOKUP(B555,[4]Cumulative!$A$56:$X$91,24,FALSE)</f>
        <v>0</v>
      </c>
      <c r="H555" s="151">
        <f>IF(AND(F555=0,G555&gt;0),"n/a",IF(F555=0,0,100*G555/F555))</f>
        <v>0</v>
      </c>
      <c r="I555" s="201">
        <f>IF(F555="*","*",F555-G555)</f>
        <v>0</v>
      </c>
      <c r="J555" s="202">
        <f>VLOOKUP(B555,[4]Weeks!$A$125:$X$161,24,FALSE)-VLOOKUP(B555,[4]Weeks!$A$165:$X$200,24,FALSE)</f>
        <v>0</v>
      </c>
      <c r="K555" s="202">
        <f>VLOOKUP(B555,[4]Weeks!$A$85:$X$121,24,FALSE)-VLOOKUP(B555,[4]Weeks!$A$125:$X$161,24,FALSE)</f>
        <v>0</v>
      </c>
      <c r="L555" s="202">
        <f>VLOOKUP(B555,[4]Weeks!$A$44:$X$81,24,FALSE)-VLOOKUP(B555,[4]Weeks!$A$85:$X$121,24,FALSE)</f>
        <v>0</v>
      </c>
      <c r="M555" s="202">
        <f>VLOOKUP(B555,[4]Weeks!$A$3:$X$39,24,FALSE)-VLOOKUP(B555,[4]Weeks!$A$44:$X$81,24,FALSE)</f>
        <v>0</v>
      </c>
      <c r="N555" s="11" t="str">
        <f>IF(C555="*","*",IF(C555&gt;0,M555/C555*100,"-"))</f>
        <v>-</v>
      </c>
      <c r="O555" s="202">
        <f t="shared" si="111"/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f>'[5]Maj Pel Combined'!$V$10</f>
        <v>0</v>
      </c>
      <c r="D556" s="200">
        <f>F556-VLOOKUP(B556,[4]quotas!$B$85:$W$120,22,FALSE)</f>
        <v>0</v>
      </c>
      <c r="E556" s="200">
        <f t="shared" si="104"/>
        <v>0</v>
      </c>
      <c r="F556" s="201">
        <f>VLOOKUP(B556,[4]quotas!$B$46:$W$84,22,FALSE)</f>
        <v>0</v>
      </c>
      <c r="G556" s="202">
        <f>VLOOKUP(B556,[4]Cumulative!$A$56:$X$91,24,FALSE)</f>
        <v>0</v>
      </c>
      <c r="H556" s="151">
        <f t="shared" si="107"/>
        <v>0</v>
      </c>
      <c r="I556" s="201">
        <f>IF(F556="*","*",F556-G556)</f>
        <v>0</v>
      </c>
      <c r="J556" s="202">
        <f>VLOOKUP(B556,[4]Weeks!$A$125:$X$161,24,FALSE)-VLOOKUP(B556,[4]Weeks!$A$165:$X$200,24,FALSE)</f>
        <v>0</v>
      </c>
      <c r="K556" s="202">
        <f>VLOOKUP(B556,[4]Weeks!$A$85:$X$121,24,FALSE)-VLOOKUP(B556,[4]Weeks!$A$125:$X$161,24,FALSE)</f>
        <v>0</v>
      </c>
      <c r="L556" s="202">
        <f>VLOOKUP(B556,[4]Weeks!$A$44:$X$81,24,FALSE)-VLOOKUP(B556,[4]Weeks!$A$85:$X$121,24,FALSE)</f>
        <v>0</v>
      </c>
      <c r="M556" s="202">
        <f>VLOOKUP(B556,[4]Weeks!$A$3:$X$39,24,FALSE)-VLOOKUP(B556,[4]Weeks!$A$44:$X$81,24,FALSE)</f>
        <v>0</v>
      </c>
      <c r="N556" s="11" t="str">
        <f>IF(C556="*","*",IF(C556&gt;0,M556/C556*100,"-"))</f>
        <v>-</v>
      </c>
      <c r="O556" s="202">
        <f t="shared" si="111"/>
        <v>0</v>
      </c>
      <c r="P556" s="41">
        <f>IF(ISNUMBER(VLOOKUP(B556,[4]CLOSURES!B:BI,22,FALSE)),TEXT(VLOOKUP(B556,[4]CLOSURES!B:BI,22,FALSE),"ddmmm"),IF(F556&lt;=0,0,IF(I556&lt;=0,0,IF(AND(F556&gt;0,O556&lt;=0),"&gt;52",IF(I556/O556&gt;52,"&gt;52", MAX(0,I556/O556-2))))))</f>
        <v>0</v>
      </c>
      <c r="Q556" s="158"/>
    </row>
    <row r="557" spans="2:17" s="2" customFormat="1" ht="10.75" customHeight="1" x14ac:dyDescent="0.25">
      <c r="B557" s="40" t="s">
        <v>85</v>
      </c>
      <c r="C557" s="130">
        <f>'[5]Maj Pel Combined'!$V$12</f>
        <v>0</v>
      </c>
      <c r="D557" s="200">
        <f>F557-VLOOKUP(B557,[4]quotas!$B$85:$W$120,22,FALSE)</f>
        <v>0</v>
      </c>
      <c r="E557" s="200">
        <f>F557-C557</f>
        <v>0</v>
      </c>
      <c r="F557" s="201">
        <f>VLOOKUP(B557,[4]quotas!$B$46:$W$84,22,FALSE)</f>
        <v>0</v>
      </c>
      <c r="G557" s="202">
        <f>VLOOKUP(B557,[4]Cumulative!$A$56:$X$91,24,FALSE)</f>
        <v>0</v>
      </c>
      <c r="H557" s="151">
        <f t="shared" si="107"/>
        <v>0</v>
      </c>
      <c r="I557" s="201">
        <f>IF(F557="*","*",F557-G557)</f>
        <v>0</v>
      </c>
      <c r="J557" s="202">
        <f>VLOOKUP(B557,[4]Weeks!$A$125:$X$161,24,FALSE)-VLOOKUP(B557,[4]Weeks!$A$165:$X$200,24,FALSE)</f>
        <v>0</v>
      </c>
      <c r="K557" s="202">
        <f>VLOOKUP(B557,[4]Weeks!$A$85:$X$121,24,FALSE)-VLOOKUP(B557,[4]Weeks!$A$125:$X$161,24,FALSE)</f>
        <v>0</v>
      </c>
      <c r="L557" s="202">
        <f>VLOOKUP(B557,[4]Weeks!$A$44:$X$81,24,FALSE)-VLOOKUP(B557,[4]Weeks!$A$85:$X$121,24,FALSE)</f>
        <v>0</v>
      </c>
      <c r="M557" s="202">
        <f>VLOOKUP(B557,[4]Weeks!$A$3:$X$39,24,FALSE)-VLOOKUP(B557,[4]Weeks!$A$44:$X$81,24,FALSE)</f>
        <v>0</v>
      </c>
      <c r="N557" s="11" t="str">
        <f>IF(C557="*","*",IF(C557&gt;0,M557/C557*100,"-"))</f>
        <v>-</v>
      </c>
      <c r="O557" s="202">
        <f>IF(C557="*","*",SUM(J557:M557)/4)</f>
        <v>0</v>
      </c>
      <c r="P557" s="41">
        <f>IF(ISNUMBER(VLOOKUP(B557,[4]CLOSURES!B:BI,22,FALSE)),TEXT(VLOOKUP(B557,[4]CLOSURES!B:BI,22,FALSE),"ddmmm"),IF(F557&lt;=0,0,IF(I557&lt;=0,0,IF(AND(F557&gt;0,O557&lt;=0),"&gt;52",IF(I557/O557&gt;52,"&gt;52", MAX(0,I557/O557-2))))))</f>
        <v>0</v>
      </c>
      <c r="Q557" s="158"/>
    </row>
    <row r="558" spans="2:17" s="2" customFormat="1" ht="10.75" customHeight="1" x14ac:dyDescent="0.25">
      <c r="B558" s="162" t="s">
        <v>86</v>
      </c>
      <c r="C558" s="130">
        <f>SUM(C533:C542)+SUM(C545:C557)</f>
        <v>0</v>
      </c>
      <c r="D558" s="202">
        <f>SUM(D533:D542)+SUM(D545:D557)</f>
        <v>0</v>
      </c>
      <c r="E558" s="200">
        <f t="shared" si="104"/>
        <v>0</v>
      </c>
      <c r="F558" s="201">
        <f>SUM(F533:F542)+SUM(F545:F557)</f>
        <v>0</v>
      </c>
      <c r="G558" s="202">
        <f>SUM(G533:G542)+SUM(G545:G557)</f>
        <v>0</v>
      </c>
      <c r="H558" s="151">
        <f t="shared" si="107"/>
        <v>0</v>
      </c>
      <c r="I558" s="201">
        <f>IF(F558="*","*",F558-G558)</f>
        <v>0</v>
      </c>
      <c r="J558" s="202">
        <f>SUM(J533:J542)+SUM(J545:J557)</f>
        <v>0</v>
      </c>
      <c r="K558" s="202">
        <f>SUM(K533:K542)+SUM(K545:K557)</f>
        <v>0</v>
      </c>
      <c r="L558" s="202">
        <f>SUM(L533:L542)+SUM(L545:L557)</f>
        <v>0</v>
      </c>
      <c r="M558" s="202">
        <f>SUM(M533:M542)+SUM(M545:M557)</f>
        <v>0</v>
      </c>
      <c r="N558" s="11" t="str">
        <f>IF(C558="*","*",IF(C558&gt;0,M558/C558*100,"-"))</f>
        <v>-</v>
      </c>
      <c r="O558" s="202">
        <f>IF(C558="*","*",SUM(J558:M558)/4)</f>
        <v>0</v>
      </c>
      <c r="P558" s="41">
        <f>IF(ISNUMBER(VLOOKUP(B558,[4]CLOSURES!B:BI,22,FALSE)),TEXT(VLOOKUP(B558,[4]CLOSURES!B:BI,22,FALSE),"ddmmm"),IF(F558&lt;=0,0,IF(I558&lt;=0,0,IF(AND(F558&gt;0,O558&lt;=0),"&gt;52",IF(I558/O558&gt;52,"&gt;52", MAX(0,I558/O558-2))))))</f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f t="shared" si="107"/>
        <v>0</v>
      </c>
      <c r="I560" s="201">
        <f t="shared" si="108"/>
        <v>0</v>
      </c>
      <c r="J560" s="202"/>
      <c r="K560" s="202"/>
      <c r="L560" s="202"/>
      <c r="M560" s="202"/>
      <c r="N560" s="11" t="str">
        <f>IF(C560="*","*",IF(C560&gt;0,M560/C560*100,"-"))</f>
        <v>-</v>
      </c>
      <c r="O560" s="202">
        <f>IF(C560="*","*",SUM(J560:M560)/4)</f>
        <v>0</v>
      </c>
      <c r="P560" s="41">
        <f>IF(ISNUMBER(VLOOKUP(B560,[4]CLOSURES!B:BI,22,FALSE)),TEXT(VLOOKUP(B560,[4]CLOSURES!B:BI,22,FALSE),"ddmmm"),IF(F560&lt;=0,0,IF(I560&lt;=0,0,IF(AND(F560&gt;0,O560&lt;=0),"&gt;52",IF(I560/O560&gt;52,"&gt;52", MAX(0,I560/O560-2))))))</f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f>IF(C561="*","*",SUM(J561:M561)/4)</f>
        <v>0</v>
      </c>
      <c r="P561" s="41" t="str">
        <f>IF(ISNUMBER(VLOOKUP(B561,[4]CLOSURES!B:BI,22,FALSE)),TEXT(VLOOKUP(B561,[4]CLOSURES!B:BI,22,FALSE),"ddmmm"),IF(F561&lt;=0,0,IF(I561&lt;=0,0,IF(AND(F561&gt;0,O561&lt;=0),"&gt;52",IF(I561/O561&gt;52,"&gt;52", MAX(0,I561/O561-2))))))</f>
        <v>&gt;52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f t="shared" si="107"/>
        <v>0</v>
      </c>
      <c r="I562" s="201">
        <f t="shared" si="108"/>
        <v>0</v>
      </c>
      <c r="J562" s="202"/>
      <c r="K562" s="202"/>
      <c r="L562" s="202"/>
      <c r="M562" s="202"/>
      <c r="N562" s="11" t="str">
        <f>IF(C562="*","*",IF(C562&gt;0,M562/C562*100,"-"))</f>
        <v>-</v>
      </c>
      <c r="O562" s="202">
        <f>IF(C562="*","*",SUM(J562:M562)/4)</f>
        <v>0</v>
      </c>
      <c r="P562" s="41">
        <f>IF(ISNUMBER(VLOOKUP(B562,[4]CLOSURES!B:BI,22,FALSE)),TEXT(VLOOKUP(B562,[4]CLOSURES!B:BI,22,FALSE),"ddmmm"),IF(F562&lt;=0,0,IF(I562&lt;=0,0,IF(AND(F562&gt;0,O562&lt;=0),"&gt;52",IF(I562/O562&gt;52,"&gt;52", MAX(0,I562/O562-2))))))</f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f>C558+SUM(C560:C564)</f>
        <v>0</v>
      </c>
      <c r="D565" s="131">
        <f>D558+SUM(D560:D564)</f>
        <v>0</v>
      </c>
      <c r="E565" s="131">
        <f>E558+SUM(E560:E564)</f>
        <v>0</v>
      </c>
      <c r="F565" s="132">
        <f>[4]quotas!W79</f>
        <v>0</v>
      </c>
      <c r="G565" s="131">
        <f>G558+SUM(G560:G564)</f>
        <v>0</v>
      </c>
      <c r="H565" s="156">
        <f t="shared" si="107"/>
        <v>0</v>
      </c>
      <c r="I565" s="132">
        <f t="shared" si="108"/>
        <v>0</v>
      </c>
      <c r="J565" s="131">
        <f>VLOOKUP(B565,[4]Weeks!$A$125:$X$161,24,FALSE)-VLOOKUP(B565,[4]Weeks!$A$165:$X$200,24,FALSE)</f>
        <v>0</v>
      </c>
      <c r="K565" s="131">
        <f>VLOOKUP(B565,[4]Weeks!$A$85:$X$121,24,FALSE)-VLOOKUP(B565,[4]Weeks!$A$125:$X$161,24,FALSE)</f>
        <v>0</v>
      </c>
      <c r="L565" s="131">
        <f>VLOOKUP(B565,[4]Weeks!$A$44:$X$81,24,FALSE)-VLOOKUP(B565,[4]Weeks!$A$85:$X$121,24,FALSE)</f>
        <v>0</v>
      </c>
      <c r="M565" s="131">
        <f>M558+M560+M562</f>
        <v>0</v>
      </c>
      <c r="N565" s="53"/>
      <c r="O565" s="131"/>
      <c r="P565" s="49">
        <f>IF(ISNUMBER(VLOOKUP(B565,[4]CLOSURES!B:BI,22,FALSE)),TEXT(VLOOKUP(B565,[4]CLOSURES!B:BI,22,FALSE),"ddmmm"),IF(F565&lt;=0,0,IF(I565&lt;=0,0,IF(AND(F565&gt;0,O565&lt;=0),"&gt;52",IF(I565/O565&gt;52,"&gt;52", MAX(0,I565/O565-2))))))</f>
        <v>0</v>
      </c>
      <c r="Q565" s="158"/>
    </row>
    <row r="566" spans="1:20" ht="10.75" customHeight="1" x14ac:dyDescent="0.3">
      <c r="B566" s="163" t="str">
        <f>B83</f>
        <v>Number of Weeks to end of year is 2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f>$J7</f>
        <v>44895</v>
      </c>
      <c r="K572" s="33">
        <f>$K7</f>
        <v>44902</v>
      </c>
      <c r="L572" s="33">
        <f>$L7</f>
        <v>44909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f>'[5]Maj Pel Combined'!$L$23</f>
        <v>3321.6</v>
      </c>
      <c r="D575" s="200">
        <f>F575-VLOOKUP(B575,[4]quotas!$B$85:$W$120,8,FALSE)</f>
        <v>0</v>
      </c>
      <c r="E575" s="200">
        <f>F575-C575</f>
        <v>-724</v>
      </c>
      <c r="F575" s="201">
        <f>VLOOKUP(B575,[4]quotas!$B$46:$W$84,8,FALSE)</f>
        <v>2597.6</v>
      </c>
      <c r="G575" s="202">
        <f>VLOOKUP(B575,[4]Cumulative!$A$56:$X$91,9,FALSE)+VLOOKUP(B575,[4]Cumulative!$A$56:$X$91,10,FALSE)+ VLOOKUP(B575,[4]Cumulative!$A$56:$X$91,11,FALSE)+VLOOKUP(B575,[4]Cumulative!$A$56:$X$91,12,FALSE)</f>
        <v>2586.1699999999996</v>
      </c>
      <c r="H575" s="151">
        <f>IF(AND(F575=0,G575&gt;0),"n/a",IF(F575=0,0,100*G575/F575))</f>
        <v>99.559978441638421</v>
      </c>
      <c r="I575" s="201">
        <f>IF(F575="*","*",F575-G575)</f>
        <v>11.430000000000291</v>
      </c>
      <c r="J575" s="202">
        <f>VLOOKUP(B575,[4]Weeks!$A$125:$X$161,9,FALSE)-VLOOKUP(B575,[4]Weeks!$A$165:$X$200,9,FALSE)+VLOOKUP(B575,[4]Weeks!$A$125:$X$161,12,FALSE)-VLOOKUP(B575,[4]Weeks!$A$165:$X$200,12,FALSE)
+VLOOKUP(B575,[4]Weeks!$A$125:$X$161,10,FALSE)-VLOOKUP(B575,[4]Weeks!$A$165:$X$200,10,FALSE)
+VLOOKUP(B575,[4]Weeks!$A$125:$X$161,11,FALSE)-VLOOKUP(B575,[4]Weeks!$A$165:$X$200,11,FALSE)
+VLOOKUP(B575,[4]Weeks!$A$125:$X$161,12,FALSE)-VLOOKUP(B575,[4]Weeks!$A$165:$X$200,12,FALSE)</f>
        <v>0</v>
      </c>
      <c r="K575" s="202">
        <f>VLOOKUP(B575,[4]Weeks!$A$85:$X$121,9,FALSE)-VLOOKUP(B575,[4]Weeks!$A$125:$X$161,9,FALSE)+VLOOKUP(B575,[4]Weeks!$A$85:$X$121,12,FALSE)-VLOOKUP(B575,[4]Weeks!$A$125:$X$161,12,FALSE)
+VLOOKUP(B575,[4]Weeks!$A$85:$X$121,10,FALSE)-VLOOKUP(B575,[4]Weeks!$A$125:$X$161,10,FALSE)
+VLOOKUP(B575,[4]Weeks!$A$85:$X$121,11,FALSE)-VLOOKUP(B575,[4]Weeks!$A$125:$X$161,11,FALSE)
+VLOOKUP(B575,[4]Weeks!$A$85:$X$121,12,FALSE)-VLOOKUP(B575,[4]Weeks!$A$125:$X$161,12,FALSE)</f>
        <v>0</v>
      </c>
      <c r="L575" s="202">
        <f>VLOOKUP(B575,[4]Weeks!$A$44:$X$81,9,FALSE)-VLOOKUP(B575,[4]Weeks!$A$85:$X$121,9,FALSE)+VLOOKUP(B575,[4]Weeks!$A$44:$X$81,12,FALSE)-VLOOKUP(B575,[4]Weeks!$A$85:$X$121,12,FALSE)
+VLOOKUP(B575,[4]Weeks!$A$44:$X$81,10,FALSE)-VLOOKUP(B575,[4]Weeks!$A$85:$X$121,10,FALSE)
+VLOOKUP(B575,[4]Weeks!$A$44:$X$81,11,FALSE)-VLOOKUP(B575,[4]Weeks!$A$85:$X$121,11,FALSE)
+VLOOKUP(B575,[4]Weeks!$A$44:$X$81,12,FALSE)-VLOOKUP(B575,[4]Weeks!$A$85:$X$121,12,FALSE)</f>
        <v>0</v>
      </c>
      <c r="M575" s="202">
        <f>VLOOKUP(B575,[4]Weeks!$A$3:$X$39,9,FALSE)-VLOOKUP(B575,[4]Weeks!$A$44:$X$81,9,FALSE)+VLOOKUP(B575,[4]Weeks!$A$3:$X$39,12,FALSE)-VLOOKUP(B575,[4]Weeks!$A$44:$X$81,12,FALSE)
+VLOOKUP(B575,[4]Weeks!$A$3:$X$39,10,FALSE)-VLOOKUP(B575,[4]Weeks!$A$44:$X$81,10,FALSE)
+VLOOKUP(B575,[4]Weeks!$A$3:$X$39,11,FALSE)-VLOOKUP(B575,[4]Weeks!$A$44:$X$81,11,FALSE)
+VLOOKUP(B575,[4]Weeks!$A$3:$X$39,12,FALSE)-VLOOKUP(B575,[4]Weeks!$A$44:$X$81,12,FALSE)</f>
        <v>0</v>
      </c>
      <c r="N575" s="11">
        <f>IF(C575="*","*",IF(C575&gt;0,M575/C575*100,"-"))</f>
        <v>0</v>
      </c>
      <c r="O575" s="202">
        <f>IF(C575="*","*",SUM(J575:M575)/4)</f>
        <v>0</v>
      </c>
      <c r="P575" s="41" t="str">
        <f>IF(ISNUMBER(VLOOKUP(B575,[4]CLOSURES!B:BI,8,FALSE)),TEXT(VLOOKUP(B575,[4]CLOSURES!B:BI,8,FALSE),"ddmmm"),IF(F575&lt;=0,0,IF(I575&lt;=0,0,IF(AND(F575&gt;0,O575&lt;=0),"&gt;52",IF(I575/O575&gt;52,"&gt;52", MAX(0,I575/O575-2))))))</f>
        <v>&gt;52</v>
      </c>
      <c r="Q575" s="158"/>
    </row>
    <row r="576" spans="1:20" ht="10.75" customHeight="1" x14ac:dyDescent="0.3">
      <c r="A576" s="158"/>
      <c r="B576" s="40" t="s">
        <v>65</v>
      </c>
      <c r="C576" s="130">
        <f>'[5]Maj Pel Combined'!$L$20</f>
        <v>0</v>
      </c>
      <c r="D576" s="200">
        <f>F576-VLOOKUP(B576,[4]quotas!$B$85:$W$120,8,FALSE)</f>
        <v>0</v>
      </c>
      <c r="E576" s="200">
        <f>F576-C576</f>
        <v>0</v>
      </c>
      <c r="F576" s="201">
        <f>VLOOKUP(B576,[4]quotas!$B$46:$W$84,8,FALSE)</f>
        <v>0</v>
      </c>
      <c r="G576" s="202">
        <f>VLOOKUP(B576,[4]Cumulative!$A$56:$X$91,9,FALSE)+VLOOKUP(B576,[4]Cumulative!$A$56:$X$91,10,FALSE)+ VLOOKUP(B576,[4]Cumulative!$A$56:$X$91,11,FALSE)+VLOOKUP(B576,[4]Cumulative!$A$56:$X$91,12,FALSE)</f>
        <v>0</v>
      </c>
      <c r="H576" s="151">
        <f>IF(AND(F576=0,G576&gt;0),"n/a",IF(F576=0,0,100*G576/F576))</f>
        <v>0</v>
      </c>
      <c r="I576" s="201">
        <f>IF(F576="*","*",F576-G576)</f>
        <v>0</v>
      </c>
      <c r="J576" s="202">
        <f>VLOOKUP(B576,[4]Weeks!$A$125:$X$161,9,FALSE)-VLOOKUP(B576,[4]Weeks!$A$165:$X$200,9,FALSE)+VLOOKUP(B576,[4]Weeks!$A$125:$X$161,12,FALSE)-VLOOKUP(B576,[4]Weeks!$A$165:$X$200,12,FALSE)
+VLOOKUP(B576,[4]Weeks!$A$125:$X$161,10,FALSE)-VLOOKUP(B576,[4]Weeks!$A$165:$X$200,10,FALSE)
+VLOOKUP(B576,[4]Weeks!$A$125:$X$161,11,FALSE)-VLOOKUP(B576,[4]Weeks!$A$165:$X$200,11,FALSE)
+VLOOKUP(B576,[4]Weeks!$A$125:$X$161,12,FALSE)-VLOOKUP(B576,[4]Weeks!$A$165:$X$200,12,FALSE)</f>
        <v>0</v>
      </c>
      <c r="K576" s="202">
        <f>VLOOKUP(B576,[4]Weeks!$A$85:$X$121,9,FALSE)-VLOOKUP(B576,[4]Weeks!$A$125:$X$161,9,FALSE)+VLOOKUP(B576,[4]Weeks!$A$85:$X$121,12,FALSE)-VLOOKUP(B576,[4]Weeks!$A$125:$X$161,12,FALSE)
+VLOOKUP(B576,[4]Weeks!$A$85:$X$121,10,FALSE)-VLOOKUP(B576,[4]Weeks!$A$125:$X$161,10,FALSE)
+VLOOKUP(B576,[4]Weeks!$A$85:$X$121,11,FALSE)-VLOOKUP(B576,[4]Weeks!$A$125:$X$161,11,FALSE)
+VLOOKUP(B576,[4]Weeks!$A$85:$X$121,12,FALSE)-VLOOKUP(B576,[4]Weeks!$A$125:$X$161,12,FALSE)</f>
        <v>0</v>
      </c>
      <c r="L576" s="202">
        <f>VLOOKUP(B576,[4]Weeks!$A$44:$X$81,9,FALSE)-VLOOKUP(B576,[4]Weeks!$A$85:$X$121,9,FALSE)+VLOOKUP(B576,[4]Weeks!$A$44:$X$81,12,FALSE)-VLOOKUP(B576,[4]Weeks!$A$85:$X$121,12,FALSE)
+VLOOKUP(B576,[4]Weeks!$A$44:$X$81,10,FALSE)-VLOOKUP(B576,[4]Weeks!$A$85:$X$121,10,FALSE)
+VLOOKUP(B576,[4]Weeks!$A$44:$X$81,11,FALSE)-VLOOKUP(B576,[4]Weeks!$A$85:$X$121,11,FALSE)
+VLOOKUP(B576,[4]Weeks!$A$44:$X$81,12,FALSE)-VLOOKUP(B576,[4]Weeks!$A$85:$X$121,12,FALSE)</f>
        <v>0</v>
      </c>
      <c r="M576" s="202">
        <f>VLOOKUP(B576,[4]Weeks!$A$3:$X$39,9,FALSE)-VLOOKUP(B576,[4]Weeks!$A$44:$X$81,9,FALSE)+VLOOKUP(B576,[4]Weeks!$A$3:$X$39,12,FALSE)-VLOOKUP(B576,[4]Weeks!$A$44:$X$81,12,FALSE)
+VLOOKUP(B576,[4]Weeks!$A$3:$X$39,10,FALSE)-VLOOKUP(B576,[4]Weeks!$A$44:$X$81,10,FALSE)
+VLOOKUP(B576,[4]Weeks!$A$3:$X$39,11,FALSE)-VLOOKUP(B576,[4]Weeks!$A$44:$X$81,11,FALSE)
+VLOOKUP(B576,[4]Weeks!$A$3:$X$39,12,FALSE)-VLOOKUP(B576,[4]Weeks!$A$44:$X$81,12,FALSE)</f>
        <v>0</v>
      </c>
      <c r="N576" s="11" t="str">
        <f>IF(C576="*","*",IF(C576&gt;0,M576/C576*100,"-"))</f>
        <v>-</v>
      </c>
      <c r="O576" s="202">
        <f>IF(C576="*","*",SUM(J576:M576)/4)</f>
        <v>0</v>
      </c>
      <c r="P576" s="41">
        <f>IF(ISNUMBER(VLOOKUP(B576,[4]CLOSURES!B:BI,8,FALSE)),TEXT(VLOOKUP(B576,[4]CLOSURES!B:BI,8,FALSE),"ddmmm"),IF(F576&lt;=0,0,IF(I576&lt;=0,0,IF(AND(F576&gt;0,O576&lt;=0),"&gt;52",IF(I576/O576&gt;52,"&gt;52", MAX(0,I576/O576-2))))))</f>
        <v>0</v>
      </c>
      <c r="Q576" s="158"/>
    </row>
    <row r="577" spans="1:18" ht="10.75" customHeight="1" x14ac:dyDescent="0.3">
      <c r="A577" s="158"/>
      <c r="B577" s="40" t="s">
        <v>66</v>
      </c>
      <c r="C577" s="130">
        <f>'[5]Maj Pel Combined'!$L$24</f>
        <v>3999</v>
      </c>
      <c r="D577" s="200">
        <f>F577-VLOOKUP(B577,[4]quotas!$B$85:$W$120,8,FALSE)</f>
        <v>0</v>
      </c>
      <c r="E577" s="200">
        <f>F577-C577</f>
        <v>169</v>
      </c>
      <c r="F577" s="201">
        <f>VLOOKUP(B577,[4]quotas!$B$46:$W$84,8,FALSE)</f>
        <v>4168</v>
      </c>
      <c r="G577" s="202">
        <f>VLOOKUP(B577,[4]Cumulative!$A$56:$X$91,9,FALSE)+VLOOKUP(B577,[4]Cumulative!$A$56:$X$91,10,FALSE)+ VLOOKUP(B577,[4]Cumulative!$A$56:$X$91,11,FALSE)+VLOOKUP(B577,[4]Cumulative!$A$56:$X$91,12,FALSE)</f>
        <v>4167.63</v>
      </c>
      <c r="H577" s="151">
        <f>IF(AND(F577=0,G577&gt;0),"n/a",IF(F577=0,0,100*G577/F577))</f>
        <v>99.991122840690977</v>
      </c>
      <c r="I577" s="201">
        <f>IF(F577="*","*",F577-G577)</f>
        <v>0.36999999999989086</v>
      </c>
      <c r="J577" s="202">
        <f>VLOOKUP(B577,[4]Weeks!$A$125:$X$161,9,FALSE)-VLOOKUP(B577,[4]Weeks!$A$165:$X$200,9,FALSE)+VLOOKUP(B577,[4]Weeks!$A$125:$X$161,12,FALSE)-VLOOKUP(B577,[4]Weeks!$A$165:$X$200,12,FALSE)
+VLOOKUP(B577,[4]Weeks!$A$125:$X$161,10,FALSE)-VLOOKUP(B577,[4]Weeks!$A$165:$X$200,10,FALSE)
+VLOOKUP(B577,[4]Weeks!$A$125:$X$161,11,FALSE)-VLOOKUP(B577,[4]Weeks!$A$165:$X$200,11,FALSE)
+VLOOKUP(B577,[4]Weeks!$A$125:$X$161,12,FALSE)-VLOOKUP(B577,[4]Weeks!$A$165:$X$200,12,FALSE)</f>
        <v>0</v>
      </c>
      <c r="K577" s="202">
        <f>VLOOKUP(B577,[4]Weeks!$A$85:$X$121,9,FALSE)-VLOOKUP(B577,[4]Weeks!$A$125:$X$161,9,FALSE)+VLOOKUP(B577,[4]Weeks!$A$85:$X$121,12,FALSE)-VLOOKUP(B577,[4]Weeks!$A$125:$X$161,12,FALSE)
+VLOOKUP(B577,[4]Weeks!$A$85:$X$121,10,FALSE)-VLOOKUP(B577,[4]Weeks!$A$125:$X$161,10,FALSE)
+VLOOKUP(B577,[4]Weeks!$A$85:$X$121,11,FALSE)-VLOOKUP(B577,[4]Weeks!$A$125:$X$161,11,FALSE)
+VLOOKUP(B577,[4]Weeks!$A$85:$X$121,12,FALSE)-VLOOKUP(B577,[4]Weeks!$A$125:$X$161,12,FALSE)</f>
        <v>0</v>
      </c>
      <c r="L577" s="202">
        <f>VLOOKUP(B577,[4]Weeks!$A$44:$X$81,9,FALSE)-VLOOKUP(B577,[4]Weeks!$A$85:$X$121,9,FALSE)+VLOOKUP(B577,[4]Weeks!$A$44:$X$81,12,FALSE)-VLOOKUP(B577,[4]Weeks!$A$85:$X$121,12,FALSE)
+VLOOKUP(B577,[4]Weeks!$A$44:$X$81,10,FALSE)-VLOOKUP(B577,[4]Weeks!$A$85:$X$121,10,FALSE)
+VLOOKUP(B577,[4]Weeks!$A$44:$X$81,11,FALSE)-VLOOKUP(B577,[4]Weeks!$A$85:$X$121,11,FALSE)
+VLOOKUP(B577,[4]Weeks!$A$44:$X$81,12,FALSE)-VLOOKUP(B577,[4]Weeks!$A$85:$X$121,12,FALSE)</f>
        <v>0</v>
      </c>
      <c r="M577" s="202">
        <f>VLOOKUP(B577,[4]Weeks!$A$3:$X$39,9,FALSE)-VLOOKUP(B577,[4]Weeks!$A$44:$X$81,9,FALSE)+VLOOKUP(B577,[4]Weeks!$A$3:$X$39,12,FALSE)-VLOOKUP(B577,[4]Weeks!$A$44:$X$81,12,FALSE)
+VLOOKUP(B577,[4]Weeks!$A$3:$X$39,10,FALSE)-VLOOKUP(B577,[4]Weeks!$A$44:$X$81,10,FALSE)
+VLOOKUP(B577,[4]Weeks!$A$3:$X$39,11,FALSE)-VLOOKUP(B577,[4]Weeks!$A$44:$X$81,11,FALSE)
+VLOOKUP(B577,[4]Weeks!$A$3:$X$39,12,FALSE)-VLOOKUP(B577,[4]Weeks!$A$44:$X$81,12,FALSE)</f>
        <v>0</v>
      </c>
      <c r="N577" s="11">
        <f>IF(C577="*","*",IF(C577&gt;0,M577/C577*100,"-"))</f>
        <v>0</v>
      </c>
      <c r="O577" s="202">
        <f>IF(C577="*","*",SUM(J577:M577)/4)</f>
        <v>0</v>
      </c>
      <c r="P577" s="41" t="str">
        <f>IF(ISNUMBER(VLOOKUP(B577,[4]CLOSURES!B:BI,8,FALSE)),TEXT(VLOOKUP(B577,[4]CLOSURES!B:BI,8,FALSE),"ddmmm"),IF(F577&lt;=0,0,IF(I577&lt;=0,0,IF(AND(F577&gt;0,O577&lt;=0),"&gt;52",IF(I577/O577&gt;52,"&gt;52", MAX(0,I577/O577-2))))))</f>
        <v>&gt;52</v>
      </c>
      <c r="Q577" s="158"/>
    </row>
    <row r="578" spans="1:18" ht="10.75" customHeight="1" x14ac:dyDescent="0.3">
      <c r="A578" s="203"/>
      <c r="B578" s="40" t="s">
        <v>71</v>
      </c>
      <c r="C578" s="130">
        <f>'[5]Maj Pel Combined'!$L$18</f>
        <v>3424.2</v>
      </c>
      <c r="D578" s="200">
        <f>F578-VLOOKUP(B578,[4]quotas!$B$85:$W$120,8,FALSE)</f>
        <v>0</v>
      </c>
      <c r="E578" s="200">
        <f>F578-C578</f>
        <v>0</v>
      </c>
      <c r="F578" s="201">
        <f>VLOOKUP(B578,[4]quotas!$B$46:$W$84,8,FALSE)</f>
        <v>3424.2</v>
      </c>
      <c r="G578" s="202">
        <f>VLOOKUP(B578,[4]Cumulative!$A$56:$X$91,9,FALSE)+VLOOKUP(B578,[4]Cumulative!$A$56:$X$91,10,FALSE)+ VLOOKUP(B578,[4]Cumulative!$A$56:$X$91,11,FALSE)+VLOOKUP(B578,[4]Cumulative!$A$56:$X$91,12,FALSE)+'[4]Missing WS Mac_Herr'!D4</f>
        <v>3624.9780000000001</v>
      </c>
      <c r="H578" s="151">
        <f>IF(AND(F578=0,G578&gt;0),"n/a",IF(F578=0,0,100*G578/F578))</f>
        <v>105.86350096372875</v>
      </c>
      <c r="I578" s="201">
        <f>IF(F578="*","*",F578-G578)</f>
        <v>-200.77800000000025</v>
      </c>
      <c r="J578" s="202">
        <f>VLOOKUP(B578,[4]Weeks!$A$125:$X$161,9,FALSE)-VLOOKUP(B578,[4]Weeks!$A$165:$X$200,9,FALSE)+VLOOKUP(B578,[4]Weeks!$A$125:$X$161,12,FALSE)-VLOOKUP(B578,[4]Weeks!$A$165:$X$200,12,FALSE)
+VLOOKUP(B578,[4]Weeks!$A$125:$X$161,10,FALSE)-VLOOKUP(B578,[4]Weeks!$A$165:$X$200,10,FALSE)
+VLOOKUP(B578,[4]Weeks!$A$125:$X$161,11,FALSE)-VLOOKUP(B578,[4]Weeks!$A$165:$X$200,11,FALSE)
+VLOOKUP(B578,[4]Weeks!$A$125:$X$161,12,FALSE)-VLOOKUP(B578,[4]Weeks!$A$165:$X$200,12,FALSE)</f>
        <v>0</v>
      </c>
      <c r="K578" s="202">
        <f>VLOOKUP(B578,[4]Weeks!$A$85:$X$121,9,FALSE)-VLOOKUP(B578,[4]Weeks!$A$125:$X$161,9,FALSE)+VLOOKUP(B578,[4]Weeks!$A$85:$X$121,12,FALSE)-VLOOKUP(B578,[4]Weeks!$A$125:$X$161,12,FALSE)
+VLOOKUP(B578,[4]Weeks!$A$85:$X$121,10,FALSE)-VLOOKUP(B578,[4]Weeks!$A$125:$X$161,10,FALSE)
+VLOOKUP(B578,[4]Weeks!$A$85:$X$121,11,FALSE)-VLOOKUP(B578,[4]Weeks!$A$125:$X$161,11,FALSE)
+VLOOKUP(B578,[4]Weeks!$A$85:$X$121,12,FALSE)-VLOOKUP(B578,[4]Weeks!$A$125:$X$161,12,FALSE)</f>
        <v>0</v>
      </c>
      <c r="L578" s="202">
        <f>VLOOKUP(B578,[4]Weeks!$A$44:$X$81,9,FALSE)-VLOOKUP(B578,[4]Weeks!$A$85:$X$121,9,FALSE)+VLOOKUP(B578,[4]Weeks!$A$44:$X$81,12,FALSE)-VLOOKUP(B578,[4]Weeks!$A$85:$X$121,12,FALSE)
+VLOOKUP(B578,[4]Weeks!$A$44:$X$81,10,FALSE)-VLOOKUP(B578,[4]Weeks!$A$85:$X$121,10,FALSE)
+VLOOKUP(B578,[4]Weeks!$A$44:$X$81,11,FALSE)-VLOOKUP(B578,[4]Weeks!$A$85:$X$121,11,FALSE)
+VLOOKUP(B578,[4]Weeks!$A$44:$X$81,12,FALSE)-VLOOKUP(B578,[4]Weeks!$A$85:$X$121,12,FALSE)</f>
        <v>0</v>
      </c>
      <c r="M578" s="202">
        <f>VLOOKUP(B578,[4]Weeks!$A$3:$X$39,9,FALSE)-VLOOKUP(B578,[4]Weeks!$A$44:$X$81,9,FALSE)+VLOOKUP(B578,[4]Weeks!$A$3:$X$39,12,FALSE)-VLOOKUP(B578,[4]Weeks!$A$44:$X$81,12,FALSE)
+VLOOKUP(B578,[4]Weeks!$A$3:$X$39,10,FALSE)-VLOOKUP(B578,[4]Weeks!$A$44:$X$81,10,FALSE)
+VLOOKUP(B578,[4]Weeks!$A$3:$X$39,11,FALSE)-VLOOKUP(B578,[4]Weeks!$A$44:$X$81,11,FALSE)
+VLOOKUP(B578,[4]Weeks!$A$3:$X$39,12,FALSE)-VLOOKUP(B578,[4]Weeks!$A$44:$X$81,12,FALSE)</f>
        <v>0</v>
      </c>
      <c r="N578" s="11">
        <f>IF(C578="*","*",IF(C578&gt;0,M578/C578*100,"-"))</f>
        <v>0</v>
      </c>
      <c r="O578" s="202">
        <f>IF(C578="*","*",SUM(J578:M578)/4)</f>
        <v>0</v>
      </c>
      <c r="P578" s="41">
        <f>IF(ISNUMBER(VLOOKUP(B578,[4]CLOSURES!B:BI,8,FALSE)),TEXT(VLOOKUP(B578,[4]CLOSURES!B:BI,8,FALSE),"ddmmm"),IF(F578&lt;=0,0,IF(I578&lt;=0,0,IF(AND(F578&gt;0,O578&lt;=0),"&gt;52",IF(I578/O578&gt;52,"&gt;52", MAX(0,I578/O578-2))))))</f>
        <v>0</v>
      </c>
      <c r="Q578" s="158"/>
    </row>
    <row r="579" spans="1:18" s="158" customFormat="1" ht="10.75" customHeight="1" x14ac:dyDescent="0.3">
      <c r="B579" s="40" t="s">
        <v>72</v>
      </c>
      <c r="C579" s="130">
        <f>'[5]Maj Pel Combined'!$L$19</f>
        <v>587.5</v>
      </c>
      <c r="D579" s="200">
        <f>F579-VLOOKUP(B579,[4]quotas!$B$85:$W$120,8,FALSE)</f>
        <v>0</v>
      </c>
      <c r="E579" s="200">
        <f>F579-C579</f>
        <v>-587.5</v>
      </c>
      <c r="F579" s="201">
        <f>VLOOKUP(B579,[4]quotas!$B$46:$W$84,8,FALSE)</f>
        <v>0</v>
      </c>
      <c r="G579" s="202">
        <f>VLOOKUP(B579,[4]Cumulative!$A$56:$X$91,9,FALSE)+VLOOKUP(B579,[4]Cumulative!$A$56:$X$91,10,FALSE)+ VLOOKUP(B579,[4]Cumulative!$A$56:$X$91,11,FALSE)+VLOOKUP(B579,[4]Cumulative!$A$56:$X$91,12,FALSE)</f>
        <v>0</v>
      </c>
      <c r="H579" s="151">
        <f>IF(AND(F579=0,G579&gt;0),"n/a",IF(F579=0,0,100*G579/F579))</f>
        <v>0</v>
      </c>
      <c r="I579" s="201">
        <f>IF(F579="*","*",F579-G579)</f>
        <v>0</v>
      </c>
      <c r="J579" s="202">
        <f>VLOOKUP(B579,[4]Weeks!$A$125:$X$161,9,FALSE)-VLOOKUP(B579,[4]Weeks!$A$165:$X$200,9,FALSE)+VLOOKUP(B579,[4]Weeks!$A$125:$X$161,12,FALSE)-VLOOKUP(B579,[4]Weeks!$A$165:$X$200,12,FALSE)
+VLOOKUP(B579,[4]Weeks!$A$125:$X$161,10,FALSE)-VLOOKUP(B579,[4]Weeks!$A$165:$X$200,10,FALSE)
+VLOOKUP(B579,[4]Weeks!$A$125:$X$161,11,FALSE)-VLOOKUP(B579,[4]Weeks!$A$165:$X$200,11,FALSE)
+VLOOKUP(B579,[4]Weeks!$A$125:$X$161,12,FALSE)-VLOOKUP(B579,[4]Weeks!$A$165:$X$200,12,FALSE)</f>
        <v>0</v>
      </c>
      <c r="K579" s="202">
        <f>VLOOKUP(B579,[4]Weeks!$A$85:$X$121,9,FALSE)-VLOOKUP(B579,[4]Weeks!$A$125:$X$161,9,FALSE)+VLOOKUP(B579,[4]Weeks!$A$85:$X$121,12,FALSE)-VLOOKUP(B579,[4]Weeks!$A$125:$X$161,12,FALSE)
+VLOOKUP(B579,[4]Weeks!$A$85:$X$121,10,FALSE)-VLOOKUP(B579,[4]Weeks!$A$125:$X$161,10,FALSE)
+VLOOKUP(B579,[4]Weeks!$A$85:$X$121,11,FALSE)-VLOOKUP(B579,[4]Weeks!$A$125:$X$161,11,FALSE)
+VLOOKUP(B579,[4]Weeks!$A$85:$X$121,12,FALSE)-VLOOKUP(B579,[4]Weeks!$A$125:$X$161,12,FALSE)</f>
        <v>0</v>
      </c>
      <c r="L579" s="202">
        <f>VLOOKUP(B579,[4]Weeks!$A$44:$X$81,9,FALSE)-VLOOKUP(B579,[4]Weeks!$A$85:$X$121,9,FALSE)+VLOOKUP(B579,[4]Weeks!$A$44:$X$81,12,FALSE)-VLOOKUP(B579,[4]Weeks!$A$85:$X$121,12,FALSE)
+VLOOKUP(B579,[4]Weeks!$A$44:$X$81,10,FALSE)-VLOOKUP(B579,[4]Weeks!$A$85:$X$121,10,FALSE)
+VLOOKUP(B579,[4]Weeks!$A$44:$X$81,11,FALSE)-VLOOKUP(B579,[4]Weeks!$A$85:$X$121,11,FALSE)
+VLOOKUP(B579,[4]Weeks!$A$44:$X$81,12,FALSE)-VLOOKUP(B579,[4]Weeks!$A$85:$X$121,12,FALSE)</f>
        <v>0</v>
      </c>
      <c r="M579" s="202">
        <f>VLOOKUP(B579,[4]Weeks!$A$3:$X$39,9,FALSE)-VLOOKUP(B579,[4]Weeks!$A$44:$X$81,9,FALSE)+VLOOKUP(B579,[4]Weeks!$A$3:$X$39,12,FALSE)-VLOOKUP(B579,[4]Weeks!$A$44:$X$81,12,FALSE)
+VLOOKUP(B579,[4]Weeks!$A$3:$X$39,10,FALSE)-VLOOKUP(B579,[4]Weeks!$A$44:$X$81,10,FALSE)
+VLOOKUP(B579,[4]Weeks!$A$3:$X$39,11,FALSE)-VLOOKUP(B579,[4]Weeks!$A$44:$X$81,11,FALSE)
+VLOOKUP(B579,[4]Weeks!$A$3:$X$39,12,FALSE)-VLOOKUP(B579,[4]Weeks!$A$44:$X$81,12,FALSE)</f>
        <v>0</v>
      </c>
      <c r="N579" s="11">
        <f>IF(C579="*","*",IF(C579&gt;0,M579/C579*100,"-"))</f>
        <v>0</v>
      </c>
      <c r="O579" s="202">
        <f>IF(C579="*","*",SUM(J579:M579)/4)</f>
        <v>0</v>
      </c>
      <c r="P579" s="41">
        <f>IF(ISNUMBER(VLOOKUP(B579,[4]CLOSURES!B:BI,8,FALSE)),TEXT(VLOOKUP(B579,[4]CLOSURES!B:BI,8,FALSE),"ddmmm"),IF(F579&lt;=0,0,IF(I579&lt;=0,0,IF(AND(F579&gt;0,O579&lt;=0),"&gt;52",IF(I579/O579&gt;52,"&gt;52", MAX(0,I579/O579-2))))))</f>
        <v>0</v>
      </c>
      <c r="R579" s="153"/>
    </row>
    <row r="580" spans="1:18" s="158" customFormat="1" ht="10.75" customHeight="1" x14ac:dyDescent="0.3">
      <c r="B580" s="43" t="s">
        <v>73</v>
      </c>
      <c r="C580" s="130">
        <f>SUM(C575:C579)</f>
        <v>11332.3</v>
      </c>
      <c r="D580" s="200">
        <f>SUM(D575:D579)</f>
        <v>0</v>
      </c>
      <c r="E580" s="200">
        <f>SUM(E575:E579)</f>
        <v>-1142.5</v>
      </c>
      <c r="F580" s="201">
        <f>SUM(F575:F579)</f>
        <v>10189.799999999999</v>
      </c>
      <c r="G580" s="202">
        <f>SUM(G575:G579)</f>
        <v>10378.777999999998</v>
      </c>
      <c r="H580" s="151">
        <f t="shared" ref="H580:H587" si="112">IF(AND(F580=0,G580&gt;0),"n/a",IF(F580=0,0,100*G580/F580))</f>
        <v>101.85458007026634</v>
      </c>
      <c r="I580" s="201">
        <f>SUM(I575:I579)</f>
        <v>-188.97800000000007</v>
      </c>
      <c r="J580" s="202">
        <f>SUM(J575:J579)</f>
        <v>0</v>
      </c>
      <c r="K580" s="202">
        <f>SUM(K575:K579)</f>
        <v>0</v>
      </c>
      <c r="L580" s="202">
        <f>SUM(L575:L579)</f>
        <v>0</v>
      </c>
      <c r="M580" s="202">
        <f>SUM(M575:M579)</f>
        <v>0</v>
      </c>
      <c r="N580" s="11">
        <f t="shared" ref="N580:N586" si="113">IF(C580="*","*",IF(C580&gt;0,M580/C580*100,"-"))</f>
        <v>0</v>
      </c>
      <c r="O580" s="202">
        <f t="shared" ref="O580:O587" si="114">IF(C580="*","*",SUM(J580:M580)/4)</f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f>'[5]Maj Pel Combined'!$L$5</f>
        <v>0</v>
      </c>
      <c r="D581" s="200">
        <f>F581-VLOOKUP(B581,[4]quotas!$B$85:$W$120,8,FALSE)</f>
        <v>0</v>
      </c>
      <c r="E581" s="200">
        <f t="shared" ref="E581:E587" si="115">F581-C581</f>
        <v>0</v>
      </c>
      <c r="F581" s="201">
        <f>VLOOKUP(B581,[4]quotas!$B$46:$W$84,8,FALSE)</f>
        <v>0</v>
      </c>
      <c r="G581" s="202">
        <f>VLOOKUP(B581,[4]Cumulative!$A$56:$X$91,9,FALSE)+VLOOKUP(B581,[4]Cumulative!$A$56:$X$91,10,FALSE)+ VLOOKUP(B581,[4]Cumulative!$A$56:$X$91,11,FALSE)+VLOOKUP(B581,[4]Cumulative!$A$56:$X$91,12,FALSE)</f>
        <v>0</v>
      </c>
      <c r="H581" s="151">
        <f t="shared" si="112"/>
        <v>0</v>
      </c>
      <c r="I581" s="201">
        <f t="shared" ref="I581:I587" si="116">IF(F581="*","*",F581-G581)</f>
        <v>0</v>
      </c>
      <c r="J581" s="202">
        <f>VLOOKUP(B581,[4]Weeks!$A$125:$X$161,9,FALSE)-VLOOKUP(B581,[4]Weeks!$A$165:$X$200,9,FALSE)+VLOOKUP(B581,[4]Weeks!$A$125:$X$161,12,FALSE)-VLOOKUP(B581,[4]Weeks!$A$165:$X$200,12,FALSE)
+VLOOKUP(B581,[4]Weeks!$A$125:$X$161,10,FALSE)-VLOOKUP(B581,[4]Weeks!$A$165:$X$200,10,FALSE)
+VLOOKUP(B581,[4]Weeks!$A$125:$X$161,11,FALSE)-VLOOKUP(B581,[4]Weeks!$A$165:$X$200,11,FALSE)
+VLOOKUP(B581,[4]Weeks!$A$125:$X$161,12,FALSE)-VLOOKUP(B581,[4]Weeks!$A$165:$X$200,12,FALSE)</f>
        <v>0</v>
      </c>
      <c r="K581" s="202">
        <f>VLOOKUP(B581,[4]Weeks!$A$85:$X$121,9,FALSE)-VLOOKUP(B581,[4]Weeks!$A$125:$X$161,9,FALSE)+VLOOKUP(B581,[4]Weeks!$A$85:$X$121,12,FALSE)-VLOOKUP(B581,[4]Weeks!$A$125:$X$161,12,FALSE)
+VLOOKUP(B581,[4]Weeks!$A$85:$X$121,10,FALSE)-VLOOKUP(B581,[4]Weeks!$A$125:$X$161,10,FALSE)
+VLOOKUP(B581,[4]Weeks!$A$85:$X$121,11,FALSE)-VLOOKUP(B581,[4]Weeks!$A$125:$X$161,11,FALSE)
+VLOOKUP(B581,[4]Weeks!$A$85:$X$121,12,FALSE)-VLOOKUP(B581,[4]Weeks!$A$125:$X$161,12,FALSE)</f>
        <v>0</v>
      </c>
      <c r="L581" s="202">
        <f>VLOOKUP(B581,[4]Weeks!$A$44:$X$81,9,FALSE)-VLOOKUP(B581,[4]Weeks!$A$85:$X$121,9,FALSE)+VLOOKUP(B581,[4]Weeks!$A$44:$X$81,12,FALSE)-VLOOKUP(B581,[4]Weeks!$A$85:$X$121,12,FALSE)
+VLOOKUP(B581,[4]Weeks!$A$44:$X$81,10,FALSE)-VLOOKUP(B581,[4]Weeks!$A$85:$X$121,10,FALSE)
+VLOOKUP(B581,[4]Weeks!$A$44:$X$81,11,FALSE)-VLOOKUP(B581,[4]Weeks!$A$85:$X$121,11,FALSE)
+VLOOKUP(B581,[4]Weeks!$A$44:$X$81,12,FALSE)-VLOOKUP(B581,[4]Weeks!$A$85:$X$121,12,FALSE)</f>
        <v>0</v>
      </c>
      <c r="M581" s="202">
        <f>VLOOKUP(B581,[4]Weeks!$A$3:$X$39,9,FALSE)-VLOOKUP(B581,[4]Weeks!$A$44:$X$81,9,FALSE)+VLOOKUP(B581,[4]Weeks!$A$3:$X$39,12,FALSE)-VLOOKUP(B581,[4]Weeks!$A$44:$X$81,12,FALSE)
+VLOOKUP(B581,[4]Weeks!$A$3:$X$39,10,FALSE)-VLOOKUP(B581,[4]Weeks!$A$44:$X$81,10,FALSE)
+VLOOKUP(B581,[4]Weeks!$A$3:$X$39,11,FALSE)-VLOOKUP(B581,[4]Weeks!$A$44:$X$81,11,FALSE)
+VLOOKUP(B581,[4]Weeks!$A$3:$X$39,12,FALSE)-VLOOKUP(B581,[4]Weeks!$A$44:$X$81,12,FALSE)</f>
        <v>0</v>
      </c>
      <c r="N581" s="11" t="str">
        <f t="shared" si="113"/>
        <v>-</v>
      </c>
      <c r="O581" s="202">
        <f t="shared" si="114"/>
        <v>0</v>
      </c>
      <c r="P581" s="41">
        <f>IF(ISNUMBER(VLOOKUP(B581,[4]CLOSURES!B:BI,8,FALSE)),TEXT(VLOOKUP(B581,[4]CLOSURES!B:BI,8,FALSE),"ddmmm"),IF(F581&lt;=0,0,IF(I581&lt;=0,0,IF(AND(F581&gt;0,O581&lt;=0),"&gt;52",IF(I581/O581&gt;52,"&gt;52", MAX(0,I581/O581-2))))))</f>
        <v>0</v>
      </c>
      <c r="R581" s="153"/>
    </row>
    <row r="582" spans="1:18" s="158" customFormat="1" ht="10.75" customHeight="1" x14ac:dyDescent="0.3">
      <c r="B582" s="40" t="s">
        <v>76</v>
      </c>
      <c r="C582" s="130">
        <f>'[5]Maj Pel Combined'!$L$9</f>
        <v>0</v>
      </c>
      <c r="D582" s="200">
        <f>F582-VLOOKUP(B582,[4]quotas!$B$85:$W$120,8,FALSE)</f>
        <v>0</v>
      </c>
      <c r="E582" s="200">
        <f t="shared" si="115"/>
        <v>0</v>
      </c>
      <c r="F582" s="201">
        <f>VLOOKUP(B582,[4]quotas!$B$46:$W$84,8,FALSE)</f>
        <v>0</v>
      </c>
      <c r="G582" s="202">
        <f>VLOOKUP(B582,[4]Cumulative!$A$56:$X$91,9,FALSE)+VLOOKUP(B582,[4]Cumulative!$A$56:$X$91,10,FALSE)+ VLOOKUP(B582,[4]Cumulative!$A$56:$X$91,11,FALSE)+VLOOKUP(B582,[4]Cumulative!$A$56:$X$91,12,FALSE)</f>
        <v>0</v>
      </c>
      <c r="H582" s="151">
        <f t="shared" si="112"/>
        <v>0</v>
      </c>
      <c r="I582" s="201">
        <f t="shared" si="116"/>
        <v>0</v>
      </c>
      <c r="J582" s="202">
        <f>VLOOKUP(B582,[4]Weeks!$A$125:$X$161,9,FALSE)-VLOOKUP(B582,[4]Weeks!$A$165:$X$200,9,FALSE)+VLOOKUP(B582,[4]Weeks!$A$125:$X$161,12,FALSE)-VLOOKUP(B582,[4]Weeks!$A$165:$X$200,12,FALSE)
+VLOOKUP(B582,[4]Weeks!$A$125:$X$161,10,FALSE)-VLOOKUP(B582,[4]Weeks!$A$165:$X$200,10,FALSE)
+VLOOKUP(B582,[4]Weeks!$A$125:$X$161,11,FALSE)-VLOOKUP(B582,[4]Weeks!$A$165:$X$200,11,FALSE)
+VLOOKUP(B582,[4]Weeks!$A$125:$X$161,12,FALSE)-VLOOKUP(B582,[4]Weeks!$A$165:$X$200,12,FALSE)</f>
        <v>0</v>
      </c>
      <c r="K582" s="202">
        <f>VLOOKUP(B582,[4]Weeks!$A$85:$X$121,9,FALSE)-VLOOKUP(B582,[4]Weeks!$A$125:$X$161,9,FALSE)+VLOOKUP(B582,[4]Weeks!$A$85:$X$121,12,FALSE)-VLOOKUP(B582,[4]Weeks!$A$125:$X$161,12,FALSE)
+VLOOKUP(B582,[4]Weeks!$A$85:$X$121,10,FALSE)-VLOOKUP(B582,[4]Weeks!$A$125:$X$161,10,FALSE)
+VLOOKUP(B582,[4]Weeks!$A$85:$X$121,11,FALSE)-VLOOKUP(B582,[4]Weeks!$A$125:$X$161,11,FALSE)
+VLOOKUP(B582,[4]Weeks!$A$85:$X$121,12,FALSE)-VLOOKUP(B582,[4]Weeks!$A$125:$X$161,12,FALSE)</f>
        <v>0</v>
      </c>
      <c r="L582" s="202">
        <f>VLOOKUP(B582,[4]Weeks!$A$44:$X$81,9,FALSE)-VLOOKUP(B582,[4]Weeks!$A$85:$X$121,9,FALSE)+VLOOKUP(B582,[4]Weeks!$A$44:$X$81,12,FALSE)-VLOOKUP(B582,[4]Weeks!$A$85:$X$121,12,FALSE)
+VLOOKUP(B582,[4]Weeks!$A$44:$X$81,10,FALSE)-VLOOKUP(B582,[4]Weeks!$A$85:$X$121,10,FALSE)
+VLOOKUP(B582,[4]Weeks!$A$44:$X$81,11,FALSE)-VLOOKUP(B582,[4]Weeks!$A$85:$X$121,11,FALSE)
+VLOOKUP(B582,[4]Weeks!$A$44:$X$81,12,FALSE)-VLOOKUP(B582,[4]Weeks!$A$85:$X$121,12,FALSE)</f>
        <v>0</v>
      </c>
      <c r="M582" s="202">
        <f>VLOOKUP(B582,[4]Weeks!$A$3:$X$39,9,FALSE)-VLOOKUP(B582,[4]Weeks!$A$44:$X$81,9,FALSE)+VLOOKUP(B582,[4]Weeks!$A$3:$X$39,12,FALSE)-VLOOKUP(B582,[4]Weeks!$A$44:$X$81,12,FALSE)
+VLOOKUP(B582,[4]Weeks!$A$3:$X$39,10,FALSE)-VLOOKUP(B582,[4]Weeks!$A$44:$X$81,10,FALSE)
+VLOOKUP(B582,[4]Weeks!$A$3:$X$39,11,FALSE)-VLOOKUP(B582,[4]Weeks!$A$44:$X$81,11,FALSE)
+VLOOKUP(B582,[4]Weeks!$A$3:$X$39,12,FALSE)-VLOOKUP(B582,[4]Weeks!$A$44:$X$81,12,FALSE)</f>
        <v>0</v>
      </c>
      <c r="N582" s="11" t="str">
        <f t="shared" si="113"/>
        <v>-</v>
      </c>
      <c r="O582" s="202">
        <f t="shared" si="114"/>
        <v>0</v>
      </c>
      <c r="P582" s="41">
        <f>IF(ISNUMBER(VLOOKUP(B582,[4]CLOSURES!B:BI,8,FALSE)),TEXT(VLOOKUP(B582,[4]CLOSURES!B:BI,8,FALSE),"ddmmm"),IF(F582&lt;=0,0,IF(I582&lt;=0,0,IF(AND(F582&gt;0,O582&lt;=0),"&gt;52",IF(I582/O582&gt;52,"&gt;52", MAX(0,I582/O582-2))))))</f>
        <v>0</v>
      </c>
      <c r="R582" s="153"/>
    </row>
    <row r="583" spans="1:18" s="158" customFormat="1" ht="10.75" customHeight="1" x14ac:dyDescent="0.3">
      <c r="B583" s="40" t="s">
        <v>77</v>
      </c>
      <c r="C583" s="130">
        <f>'[5]Maj Pel Combined'!$L$27</f>
        <v>0</v>
      </c>
      <c r="D583" s="200">
        <f>F583-VLOOKUP(B583,[4]quotas!$B$85:$W$120,8,FALSE)</f>
        <v>0</v>
      </c>
      <c r="E583" s="200">
        <f t="shared" si="115"/>
        <v>0</v>
      </c>
      <c r="F583" s="201">
        <f>VLOOKUP(B583,[4]quotas!$B$46:$W$84,8,FALSE)</f>
        <v>0</v>
      </c>
      <c r="G583" s="202">
        <f>VLOOKUP(B583,[4]Cumulative!$A$56:$X$91,9,FALSE)+VLOOKUP(B583,[4]Cumulative!$A$56:$X$91,10,FALSE)+ VLOOKUP(B583,[4]Cumulative!$A$56:$X$91,11,FALSE)+VLOOKUP(B583,[4]Cumulative!$A$56:$X$91,12,FALSE)</f>
        <v>0</v>
      </c>
      <c r="H583" s="151">
        <f t="shared" si="112"/>
        <v>0</v>
      </c>
      <c r="I583" s="201">
        <f t="shared" si="116"/>
        <v>0</v>
      </c>
      <c r="J583" s="202">
        <f>VLOOKUP(B583,[4]Weeks!$A$125:$X$161,9,FALSE)-VLOOKUP(B583,[4]Weeks!$A$165:$X$200,9,FALSE)+VLOOKUP(B583,[4]Weeks!$A$125:$X$161,12,FALSE)-VLOOKUP(B583,[4]Weeks!$A$165:$X$200,12,FALSE)
+VLOOKUP(B583,[4]Weeks!$A$125:$X$161,10,FALSE)-VLOOKUP(B583,[4]Weeks!$A$165:$X$200,10,FALSE)
+VLOOKUP(B583,[4]Weeks!$A$125:$X$161,11,FALSE)-VLOOKUP(B583,[4]Weeks!$A$165:$X$200,11,FALSE)
+VLOOKUP(B583,[4]Weeks!$A$125:$X$161,12,FALSE)-VLOOKUP(B583,[4]Weeks!$A$165:$X$200,12,FALSE)</f>
        <v>0</v>
      </c>
      <c r="K583" s="202">
        <f>VLOOKUP(B583,[4]Weeks!$A$85:$X$121,9,FALSE)-VLOOKUP(B583,[4]Weeks!$A$125:$X$161,9,FALSE)+VLOOKUP(B583,[4]Weeks!$A$85:$X$121,12,FALSE)-VLOOKUP(B583,[4]Weeks!$A$125:$X$161,12,FALSE)
+VLOOKUP(B583,[4]Weeks!$A$85:$X$121,10,FALSE)-VLOOKUP(B583,[4]Weeks!$A$125:$X$161,10,FALSE)
+VLOOKUP(B583,[4]Weeks!$A$85:$X$121,11,FALSE)-VLOOKUP(B583,[4]Weeks!$A$125:$X$161,11,FALSE)
+VLOOKUP(B583,[4]Weeks!$A$85:$X$121,12,FALSE)-VLOOKUP(B583,[4]Weeks!$A$125:$X$161,12,FALSE)</f>
        <v>0</v>
      </c>
      <c r="L583" s="202">
        <f>VLOOKUP(B583,[4]Weeks!$A$44:$X$81,9,FALSE)-VLOOKUP(B583,[4]Weeks!$A$85:$X$121,9,FALSE)+VLOOKUP(B583,[4]Weeks!$A$44:$X$81,12,FALSE)-VLOOKUP(B583,[4]Weeks!$A$85:$X$121,12,FALSE)
+VLOOKUP(B583,[4]Weeks!$A$44:$X$81,10,FALSE)-VLOOKUP(B583,[4]Weeks!$A$85:$X$121,10,FALSE)
+VLOOKUP(B583,[4]Weeks!$A$44:$X$81,11,FALSE)-VLOOKUP(B583,[4]Weeks!$A$85:$X$121,11,FALSE)
+VLOOKUP(B583,[4]Weeks!$A$44:$X$81,12,FALSE)-VLOOKUP(B583,[4]Weeks!$A$85:$X$121,12,FALSE)</f>
        <v>0</v>
      </c>
      <c r="M583" s="202">
        <f>VLOOKUP(B583,[4]Weeks!$A$3:$X$39,9,FALSE)-VLOOKUP(B583,[4]Weeks!$A$44:$X$81,9,FALSE)+VLOOKUP(B583,[4]Weeks!$A$3:$X$39,12,FALSE)-VLOOKUP(B583,[4]Weeks!$A$44:$X$81,12,FALSE)
+VLOOKUP(B583,[4]Weeks!$A$3:$X$39,10,FALSE)-VLOOKUP(B583,[4]Weeks!$A$44:$X$81,10,FALSE)
+VLOOKUP(B583,[4]Weeks!$A$3:$X$39,11,FALSE)-VLOOKUP(B583,[4]Weeks!$A$44:$X$81,11,FALSE)
+VLOOKUP(B583,[4]Weeks!$A$3:$X$39,12,FALSE)-VLOOKUP(B583,[4]Weeks!$A$44:$X$81,12,FALSE)</f>
        <v>0</v>
      </c>
      <c r="N583" s="11" t="str">
        <f t="shared" si="113"/>
        <v>-</v>
      </c>
      <c r="O583" s="202">
        <f t="shared" si="114"/>
        <v>0</v>
      </c>
      <c r="P583" s="41">
        <f>IF(ISNUMBER(VLOOKUP(B583,[4]CLOSURES!B:BI,8,FALSE)),TEXT(VLOOKUP(B583,[4]CLOSURES!B:BI,8,FALSE),"ddmmm"),IF(F583&lt;=0,0,IF(I583&lt;=0,0,IF(AND(F583&gt;0,O583&lt;=0),"&gt;52",IF(I583/O583&gt;52,"&gt;52", MAX(0,I583/O583-2))))))</f>
        <v>0</v>
      </c>
      <c r="R583" s="153"/>
    </row>
    <row r="584" spans="1:18" s="158" customFormat="1" ht="10.75" customHeight="1" x14ac:dyDescent="0.3">
      <c r="B584" s="40" t="s">
        <v>78</v>
      </c>
      <c r="C584" s="130">
        <f>'[5]Maj Pel Combined'!$L$26</f>
        <v>212.5</v>
      </c>
      <c r="D584" s="200">
        <f>F584-VLOOKUP(B584,[4]quotas!$B$85:$W$120,8,FALSE)</f>
        <v>0</v>
      </c>
      <c r="E584" s="200">
        <f t="shared" si="115"/>
        <v>-212</v>
      </c>
      <c r="F584" s="201">
        <f>VLOOKUP(B584,[4]quotas!$B$46:$W$84,8,FALSE)</f>
        <v>0.5</v>
      </c>
      <c r="G584" s="202">
        <f>VLOOKUP(B584,[4]Cumulative!$A$56:$X$91,9,FALSE)+VLOOKUP(B584,[4]Cumulative!$A$56:$X$91,10,FALSE)+ VLOOKUP(B584,[4]Cumulative!$A$56:$X$91,11,FALSE)+VLOOKUP(B584,[4]Cumulative!$A$56:$X$91,12,FALSE)</f>
        <v>0</v>
      </c>
      <c r="H584" s="151">
        <f t="shared" si="112"/>
        <v>0</v>
      </c>
      <c r="I584" s="201">
        <f t="shared" si="116"/>
        <v>0.5</v>
      </c>
      <c r="J584" s="202">
        <f>VLOOKUP(B584,[4]Weeks!$A$125:$X$161,9,FALSE)-VLOOKUP(B584,[4]Weeks!$A$165:$X$200,9,FALSE)+VLOOKUP(B584,[4]Weeks!$A$125:$X$161,12,FALSE)-VLOOKUP(B584,[4]Weeks!$A$165:$X$200,12,FALSE)
+VLOOKUP(B584,[4]Weeks!$A$125:$X$161,10,FALSE)-VLOOKUP(B584,[4]Weeks!$A$165:$X$200,10,FALSE)
+VLOOKUP(B584,[4]Weeks!$A$125:$X$161,11,FALSE)-VLOOKUP(B584,[4]Weeks!$A$165:$X$200,11,FALSE)
+VLOOKUP(B584,[4]Weeks!$A$125:$X$161,12,FALSE)-VLOOKUP(B584,[4]Weeks!$A$165:$X$200,12,FALSE)</f>
        <v>0</v>
      </c>
      <c r="K584" s="202">
        <f>VLOOKUP(B584,[4]Weeks!$A$85:$X$121,9,FALSE)-VLOOKUP(B584,[4]Weeks!$A$125:$X$161,9,FALSE)+VLOOKUP(B584,[4]Weeks!$A$85:$X$121,12,FALSE)-VLOOKUP(B584,[4]Weeks!$A$125:$X$161,12,FALSE)
+VLOOKUP(B584,[4]Weeks!$A$85:$X$121,10,FALSE)-VLOOKUP(B584,[4]Weeks!$A$125:$X$161,10,FALSE)
+VLOOKUP(B584,[4]Weeks!$A$85:$X$121,11,FALSE)-VLOOKUP(B584,[4]Weeks!$A$125:$X$161,11,FALSE)
+VLOOKUP(B584,[4]Weeks!$A$85:$X$121,12,FALSE)-VLOOKUP(B584,[4]Weeks!$A$125:$X$161,12,FALSE)</f>
        <v>0</v>
      </c>
      <c r="L584" s="202">
        <f>VLOOKUP(B584,[4]Weeks!$A$44:$X$81,9,FALSE)-VLOOKUP(B584,[4]Weeks!$A$85:$X$121,9,FALSE)+VLOOKUP(B584,[4]Weeks!$A$44:$X$81,12,FALSE)-VLOOKUP(B584,[4]Weeks!$A$85:$X$121,12,FALSE)
+VLOOKUP(B584,[4]Weeks!$A$44:$X$81,10,FALSE)-VLOOKUP(B584,[4]Weeks!$A$85:$X$121,10,FALSE)
+VLOOKUP(B584,[4]Weeks!$A$44:$X$81,11,FALSE)-VLOOKUP(B584,[4]Weeks!$A$85:$X$121,11,FALSE)
+VLOOKUP(B584,[4]Weeks!$A$44:$X$81,12,FALSE)-VLOOKUP(B584,[4]Weeks!$A$85:$X$121,12,FALSE)</f>
        <v>0</v>
      </c>
      <c r="M584" s="202">
        <f>VLOOKUP(B584,[4]Weeks!$A$3:$X$39,9,FALSE)-VLOOKUP(B584,[4]Weeks!$A$44:$X$81,9,FALSE)+VLOOKUP(B584,[4]Weeks!$A$3:$X$39,12,FALSE)-VLOOKUP(B584,[4]Weeks!$A$44:$X$81,12,FALSE)
+VLOOKUP(B584,[4]Weeks!$A$3:$X$39,10,FALSE)-VLOOKUP(B584,[4]Weeks!$A$44:$X$81,10,FALSE)
+VLOOKUP(B584,[4]Weeks!$A$3:$X$39,11,FALSE)-VLOOKUP(B584,[4]Weeks!$A$44:$X$81,11,FALSE)
+VLOOKUP(B584,[4]Weeks!$A$3:$X$39,12,FALSE)-VLOOKUP(B584,[4]Weeks!$A$44:$X$81,12,FALSE)</f>
        <v>0</v>
      </c>
      <c r="N584" s="11">
        <f t="shared" si="113"/>
        <v>0</v>
      </c>
      <c r="O584" s="202">
        <f t="shared" si="114"/>
        <v>0</v>
      </c>
      <c r="P584" s="41" t="str">
        <f>IF(ISNUMBER(VLOOKUP(B584,[4]CLOSURES!B:BI,8,FALSE)),TEXT(VLOOKUP(B584,[4]CLOSURES!B:BI,8,FALSE),"ddmmm"),IF(F584&lt;=0,0,IF(I584&lt;=0,0,IF(AND(F584&gt;0,O584&lt;=0),"&gt;52",IF(I584/O584&gt;52,"&gt;52", MAX(0,I584/O584-2))))))</f>
        <v>&gt;52</v>
      </c>
      <c r="R584" s="153"/>
    </row>
    <row r="585" spans="1:18" s="158" customFormat="1" ht="10.75" customHeight="1" x14ac:dyDescent="0.3">
      <c r="B585" s="40" t="s">
        <v>81</v>
      </c>
      <c r="C585" s="130">
        <f>'[5]Maj Pel Combined'!$L$13</f>
        <v>0</v>
      </c>
      <c r="D585" s="200">
        <f>F585-VLOOKUP(B585,[4]quotas!$B$85:$W$120,8,FALSE)</f>
        <v>0</v>
      </c>
      <c r="E585" s="200">
        <f t="shared" si="115"/>
        <v>0</v>
      </c>
      <c r="F585" s="201">
        <f>VLOOKUP(B585,[4]quotas!$B$46:$W$84,8,FALSE)</f>
        <v>0</v>
      </c>
      <c r="G585" s="202">
        <f>VLOOKUP(B585,[4]Cumulative!$A$56:$X$91,9,FALSE)+VLOOKUP(B585,[4]Cumulative!$A$56:$X$91,10,FALSE)+ VLOOKUP(B585,[4]Cumulative!$A$56:$X$91,11,FALSE)+VLOOKUP(B585,[4]Cumulative!$A$56:$X$91,12,FALSE)</f>
        <v>0</v>
      </c>
      <c r="H585" s="151">
        <f t="shared" si="112"/>
        <v>0</v>
      </c>
      <c r="I585" s="201">
        <f t="shared" si="116"/>
        <v>0</v>
      </c>
      <c r="J585" s="202">
        <f>VLOOKUP(B585,[4]Weeks!$A$125:$X$161,9,FALSE)-VLOOKUP(B585,[4]Weeks!$A$165:$X$200,9,FALSE)+VLOOKUP(B585,[4]Weeks!$A$125:$X$161,12,FALSE)-VLOOKUP(B585,[4]Weeks!$A$165:$X$200,12,FALSE)
+VLOOKUP(B585,[4]Weeks!$A$125:$X$161,10,FALSE)-VLOOKUP(B585,[4]Weeks!$A$165:$X$200,10,FALSE)
+VLOOKUP(B585,[4]Weeks!$A$125:$X$161,11,FALSE)-VLOOKUP(B585,[4]Weeks!$A$165:$X$200,11,FALSE)
+VLOOKUP(B585,[4]Weeks!$A$125:$X$161,12,FALSE)-VLOOKUP(B585,[4]Weeks!$A$165:$X$200,12,FALSE)</f>
        <v>0</v>
      </c>
      <c r="K585" s="202">
        <f>VLOOKUP(B585,[4]Weeks!$A$85:$X$121,9,FALSE)-VLOOKUP(B585,[4]Weeks!$A$125:$X$161,9,FALSE)+VLOOKUP(B585,[4]Weeks!$A$85:$X$121,12,FALSE)-VLOOKUP(B585,[4]Weeks!$A$125:$X$161,12,FALSE)
+VLOOKUP(B585,[4]Weeks!$A$85:$X$121,10,FALSE)-VLOOKUP(B585,[4]Weeks!$A$125:$X$161,10,FALSE)
+VLOOKUP(B585,[4]Weeks!$A$85:$X$121,11,FALSE)-VLOOKUP(B585,[4]Weeks!$A$125:$X$161,11,FALSE)
+VLOOKUP(B585,[4]Weeks!$A$85:$X$121,12,FALSE)-VLOOKUP(B585,[4]Weeks!$A$125:$X$161,12,FALSE)</f>
        <v>0</v>
      </c>
      <c r="L585" s="202">
        <f>VLOOKUP(B585,[4]Weeks!$A$44:$X$81,9,FALSE)-VLOOKUP(B585,[4]Weeks!$A$85:$X$121,9,FALSE)+VLOOKUP(B585,[4]Weeks!$A$44:$X$81,12,FALSE)-VLOOKUP(B585,[4]Weeks!$A$85:$X$121,12,FALSE)
+VLOOKUP(B585,[4]Weeks!$A$44:$X$81,10,FALSE)-VLOOKUP(B585,[4]Weeks!$A$85:$X$121,10,FALSE)
+VLOOKUP(B585,[4]Weeks!$A$44:$X$81,11,FALSE)-VLOOKUP(B585,[4]Weeks!$A$85:$X$121,11,FALSE)
+VLOOKUP(B585,[4]Weeks!$A$44:$X$81,12,FALSE)-VLOOKUP(B585,[4]Weeks!$A$85:$X$121,12,FALSE)</f>
        <v>0</v>
      </c>
      <c r="M585" s="202">
        <f>VLOOKUP(B585,[4]Weeks!$A$3:$X$39,9,FALSE)-VLOOKUP(B585,[4]Weeks!$A$44:$X$81,9,FALSE)+VLOOKUP(B585,[4]Weeks!$A$3:$X$39,12,FALSE)-VLOOKUP(B585,[4]Weeks!$A$44:$X$81,12,FALSE)
+VLOOKUP(B585,[4]Weeks!$A$3:$X$39,10,FALSE)-VLOOKUP(B585,[4]Weeks!$A$44:$X$81,10,FALSE)
+VLOOKUP(B585,[4]Weeks!$A$3:$X$39,11,FALSE)-VLOOKUP(B585,[4]Weeks!$A$44:$X$81,11,FALSE)
+VLOOKUP(B585,[4]Weeks!$A$3:$X$39,12,FALSE)-VLOOKUP(B585,[4]Weeks!$A$44:$X$81,12,FALSE)</f>
        <v>0</v>
      </c>
      <c r="N585" s="11" t="str">
        <f t="shared" si="113"/>
        <v>-</v>
      </c>
      <c r="O585" s="202">
        <f t="shared" si="114"/>
        <v>0</v>
      </c>
      <c r="P585" s="41">
        <f>IF(ISNUMBER(VLOOKUP(B585,[4]CLOSURES!B:BI,8,FALSE)),TEXT(VLOOKUP(B585,[4]CLOSURES!B:BI,8,FALSE),"ddmmm"),IF(F585&lt;=0,0,IF(I585&lt;=0,0,IF(AND(F585&gt;0,O585&lt;=0),"&gt;52",IF(I585/O585&gt;52,"&gt;52", MAX(0,I585/O585-2))))))</f>
        <v>0</v>
      </c>
      <c r="R585" s="153"/>
    </row>
    <row r="586" spans="1:18" s="158" customFormat="1" ht="10.75" customHeight="1" x14ac:dyDescent="0.3">
      <c r="B586" s="40" t="s">
        <v>84</v>
      </c>
      <c r="C586" s="130">
        <f>'[5]Maj Pel Combined'!$L$10</f>
        <v>748.2</v>
      </c>
      <c r="D586" s="200">
        <f>F586-VLOOKUP(B586,[4]quotas!$B$85:$W$120,8,FALSE)</f>
        <v>0</v>
      </c>
      <c r="E586" s="200">
        <f t="shared" si="115"/>
        <v>-747</v>
      </c>
      <c r="F586" s="201">
        <f>VLOOKUP(B586,[4]quotas!$B$46:$W$84,8,FALSE)</f>
        <v>1.2000000000000455</v>
      </c>
      <c r="G586" s="202">
        <f>VLOOKUP(B586,[4]Cumulative!$A$56:$X$91,9,FALSE)+VLOOKUP(B586,[4]Cumulative!$A$56:$X$91,10,FALSE)+ VLOOKUP(B586,[4]Cumulative!$A$56:$X$91,11,FALSE)+VLOOKUP(B586,[4]Cumulative!$A$56:$X$91,12,FALSE)</f>
        <v>0</v>
      </c>
      <c r="H586" s="151">
        <f t="shared" si="112"/>
        <v>0</v>
      </c>
      <c r="I586" s="201">
        <f t="shared" si="116"/>
        <v>1.2000000000000455</v>
      </c>
      <c r="J586" s="202">
        <f>VLOOKUP(B586,[4]Weeks!$A$125:$X$161,9,FALSE)-VLOOKUP(B586,[4]Weeks!$A$165:$X$200,9,FALSE)+VLOOKUP(B586,[4]Weeks!$A$125:$X$161,12,FALSE)-VLOOKUP(B586,[4]Weeks!$A$165:$X$200,12,FALSE)
+VLOOKUP(B586,[4]Weeks!$A$125:$X$161,10,FALSE)-VLOOKUP(B586,[4]Weeks!$A$165:$X$200,10,FALSE)
+VLOOKUP(B586,[4]Weeks!$A$125:$X$161,11,FALSE)-VLOOKUP(B586,[4]Weeks!$A$165:$X$200,11,FALSE)
+VLOOKUP(B586,[4]Weeks!$A$125:$X$161,12,FALSE)-VLOOKUP(B586,[4]Weeks!$A$165:$X$200,12,FALSE)</f>
        <v>0</v>
      </c>
      <c r="K586" s="202">
        <f>VLOOKUP(B586,[4]Weeks!$A$85:$X$121,9,FALSE)-VLOOKUP(B586,[4]Weeks!$A$125:$X$161,9,FALSE)+VLOOKUP(B586,[4]Weeks!$A$85:$X$121,12,FALSE)-VLOOKUP(B586,[4]Weeks!$A$125:$X$161,12,FALSE)
+VLOOKUP(B586,[4]Weeks!$A$85:$X$121,10,FALSE)-VLOOKUP(B586,[4]Weeks!$A$125:$X$161,10,FALSE)
+VLOOKUP(B586,[4]Weeks!$A$85:$X$121,11,FALSE)-VLOOKUP(B586,[4]Weeks!$A$125:$X$161,11,FALSE)
+VLOOKUP(B586,[4]Weeks!$A$85:$X$121,12,FALSE)-VLOOKUP(B586,[4]Weeks!$A$125:$X$161,12,FALSE)</f>
        <v>0</v>
      </c>
      <c r="L586" s="202">
        <f>VLOOKUP(B586,[4]Weeks!$A$44:$X$81,9,FALSE)-VLOOKUP(B586,[4]Weeks!$A$85:$X$121,9,FALSE)+VLOOKUP(B586,[4]Weeks!$A$44:$X$81,12,FALSE)-VLOOKUP(B586,[4]Weeks!$A$85:$X$121,12,FALSE)
+VLOOKUP(B586,[4]Weeks!$A$44:$X$81,10,FALSE)-VLOOKUP(B586,[4]Weeks!$A$85:$X$121,10,FALSE)
+VLOOKUP(B586,[4]Weeks!$A$44:$X$81,11,FALSE)-VLOOKUP(B586,[4]Weeks!$A$85:$X$121,11,FALSE)
+VLOOKUP(B586,[4]Weeks!$A$44:$X$81,12,FALSE)-VLOOKUP(B586,[4]Weeks!$A$85:$X$121,12,FALSE)</f>
        <v>0</v>
      </c>
      <c r="M586" s="202">
        <f>VLOOKUP(B586,[4]Weeks!$A$3:$X$39,9,FALSE)-VLOOKUP(B586,[4]Weeks!$A$44:$X$81,9,FALSE)+VLOOKUP(B586,[4]Weeks!$A$3:$X$39,12,FALSE)-VLOOKUP(B586,[4]Weeks!$A$44:$X$81,12,FALSE)
+VLOOKUP(B586,[4]Weeks!$A$3:$X$39,10,FALSE)-VLOOKUP(B586,[4]Weeks!$A$44:$X$81,10,FALSE)
+VLOOKUP(B586,[4]Weeks!$A$3:$X$39,11,FALSE)-VLOOKUP(B586,[4]Weeks!$A$44:$X$81,11,FALSE)
+VLOOKUP(B586,[4]Weeks!$A$3:$X$39,12,FALSE)-VLOOKUP(B586,[4]Weeks!$A$44:$X$81,12,FALSE)</f>
        <v>0</v>
      </c>
      <c r="N586" s="11">
        <f t="shared" si="113"/>
        <v>0</v>
      </c>
      <c r="O586" s="202">
        <f t="shared" si="114"/>
        <v>0</v>
      </c>
      <c r="P586" s="41" t="str">
        <f>IF(ISNUMBER(VLOOKUP(B586,[4]CLOSURES!B:BI,8,FALSE)),TEXT(VLOOKUP(B586,[4]CLOSURES!B:BI,8,FALSE),"ddmmm"),IF(F586&lt;=0,0,IF(I586&lt;=0,0,IF(AND(F586&gt;0,O586&lt;=0),"&gt;52",IF(I586/O586&gt;52,"&gt;52", MAX(0,I586/O586-2))))))</f>
        <v>&gt;52</v>
      </c>
      <c r="R586" s="153"/>
    </row>
    <row r="587" spans="1:18" s="158" customFormat="1" ht="10.75" customHeight="1" x14ac:dyDescent="0.3">
      <c r="B587" s="40" t="s">
        <v>85</v>
      </c>
      <c r="C587" s="130">
        <f>'[5]Maj Pel Combined'!$L$12</f>
        <v>0.1</v>
      </c>
      <c r="D587" s="200">
        <f>F587-VLOOKUP(B587,[4]quotas!$B$85:$W$120,8,FALSE)</f>
        <v>0</v>
      </c>
      <c r="E587" s="200">
        <f t="shared" si="115"/>
        <v>0</v>
      </c>
      <c r="F587" s="201">
        <f>VLOOKUP(B587,[4]quotas!$B$46:$W$84,8,FALSE)</f>
        <v>0.1</v>
      </c>
      <c r="G587" s="202">
        <f>VLOOKUP(B587,[4]Cumulative!$A$56:$X$91,9,FALSE)+VLOOKUP(B587,[4]Cumulative!$A$56:$X$91,10,FALSE)+ VLOOKUP(B587,[4]Cumulative!$A$56:$X$91,11,FALSE)+VLOOKUP(B587,[4]Cumulative!$A$56:$X$91,12,FALSE)</f>
        <v>0</v>
      </c>
      <c r="H587" s="151">
        <f t="shared" si="112"/>
        <v>0</v>
      </c>
      <c r="I587" s="201">
        <f t="shared" si="116"/>
        <v>0.1</v>
      </c>
      <c r="J587" s="202">
        <f>VLOOKUP(B587,[4]Weeks!$A$125:$X$161,9,FALSE)-VLOOKUP(B587,[4]Weeks!$A$165:$X$200,9,FALSE)+VLOOKUP(B587,[4]Weeks!$A$125:$X$161,12,FALSE)-VLOOKUP(B587,[4]Weeks!$A$165:$X$200,12,FALSE)
+VLOOKUP(B587,[4]Weeks!$A$125:$X$161,10,FALSE)-VLOOKUP(B587,[4]Weeks!$A$165:$X$200,10,FALSE)
+VLOOKUP(B587,[4]Weeks!$A$125:$X$161,11,FALSE)-VLOOKUP(B587,[4]Weeks!$A$165:$X$200,11,FALSE)
+VLOOKUP(B587,[4]Weeks!$A$125:$X$161,12,FALSE)-VLOOKUP(B587,[4]Weeks!$A$165:$X$200,12,FALSE)</f>
        <v>0</v>
      </c>
      <c r="K587" s="202">
        <f>VLOOKUP(B587,[4]Weeks!$A$85:$X$121,9,FALSE)-VLOOKUP(B587,[4]Weeks!$A$125:$X$161,9,FALSE)+VLOOKUP(B587,[4]Weeks!$A$85:$X$121,12,FALSE)-VLOOKUP(B587,[4]Weeks!$A$125:$X$161,12,FALSE)
+VLOOKUP(B587,[4]Weeks!$A$85:$X$121,10,FALSE)-VLOOKUP(B587,[4]Weeks!$A$125:$X$161,10,FALSE)
+VLOOKUP(B587,[4]Weeks!$A$85:$X$121,11,FALSE)-VLOOKUP(B587,[4]Weeks!$A$125:$X$161,11,FALSE)
+VLOOKUP(B587,[4]Weeks!$A$85:$X$121,12,FALSE)-VLOOKUP(B587,[4]Weeks!$A$125:$X$161,12,FALSE)</f>
        <v>0</v>
      </c>
      <c r="L587" s="202">
        <f>VLOOKUP(B587,[4]Weeks!$A$44:$X$81,9,FALSE)-VLOOKUP(B587,[4]Weeks!$A$85:$X$121,9,FALSE)+VLOOKUP(B587,[4]Weeks!$A$44:$X$81,12,FALSE)-VLOOKUP(B587,[4]Weeks!$A$85:$X$121,12,FALSE)
+VLOOKUP(B587,[4]Weeks!$A$44:$X$81,10,FALSE)-VLOOKUP(B587,[4]Weeks!$A$85:$X$121,10,FALSE)
+VLOOKUP(B587,[4]Weeks!$A$44:$X$81,11,FALSE)-VLOOKUP(B587,[4]Weeks!$A$85:$X$121,11,FALSE)
+VLOOKUP(B587,[4]Weeks!$A$44:$X$81,12,FALSE)-VLOOKUP(B587,[4]Weeks!$A$85:$X$121,12,FALSE)</f>
        <v>0</v>
      </c>
      <c r="M587" s="202">
        <f>VLOOKUP(B587,[4]Weeks!$A$3:$X$39,9,FALSE)-VLOOKUP(B587,[4]Weeks!$A$44:$X$81,9,FALSE)+VLOOKUP(B587,[4]Weeks!$A$3:$X$39,12,FALSE)-VLOOKUP(B587,[4]Weeks!$A$44:$X$81,12,FALSE)
+VLOOKUP(B587,[4]Weeks!$A$3:$X$39,10,FALSE)-VLOOKUP(B587,[4]Weeks!$A$44:$X$81,10,FALSE)
+VLOOKUP(B587,[4]Weeks!$A$3:$X$39,11,FALSE)-VLOOKUP(B587,[4]Weeks!$A$44:$X$81,11,FALSE)
+VLOOKUP(B587,[4]Weeks!$A$3:$X$39,12,FALSE)-VLOOKUP(B587,[4]Weeks!$A$44:$X$81,12,FALSE)</f>
        <v>0</v>
      </c>
      <c r="N587" s="11"/>
      <c r="O587" s="202">
        <f t="shared" si="114"/>
        <v>0</v>
      </c>
      <c r="P587" s="41" t="str">
        <f>IF(ISNUMBER(VLOOKUP(B587,[4]CLOSURES!B:BI,8,FALSE)),TEXT(VLOOKUP(B587,[4]CLOSURES!B:BI,8,FALSE),"ddmmm"),IF(F587&lt;=0,0,IF(I587&lt;=0,0,IF(AND(F587&gt;0,O587&lt;=0),"&gt;52",IF(I587/O587&gt;52,"&gt;52", MAX(0,I587/O587-2))))))</f>
        <v>&gt;52</v>
      </c>
      <c r="R587" s="153"/>
    </row>
    <row r="588" spans="1:18" s="158" customFormat="1" ht="10.75" customHeight="1" x14ac:dyDescent="0.3">
      <c r="B588" s="170" t="s">
        <v>148</v>
      </c>
      <c r="C588" s="158">
        <f>'[5]Maj Pel Combined'!$L$41</f>
        <v>20.2</v>
      </c>
      <c r="D588" s="200">
        <f>C588</f>
        <v>20.2</v>
      </c>
      <c r="F588" s="159">
        <f>C588</f>
        <v>20.2</v>
      </c>
      <c r="I588" s="159">
        <f>F588</f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f>C580+SUM(C581:C588)</f>
        <v>12313.3</v>
      </c>
      <c r="D589" s="131">
        <f>D580+SUM(D581:D588)</f>
        <v>20.2</v>
      </c>
      <c r="E589" s="131">
        <f>E580+SUM(E581:E588)</f>
        <v>-2101.5</v>
      </c>
      <c r="F589" s="132">
        <f>[4]quotas!I79+F588</f>
        <v>10211.800000000001</v>
      </c>
      <c r="G589" s="131">
        <f>G580+SUM(G581:G588)</f>
        <v>10378.777999999998</v>
      </c>
      <c r="H589" s="156">
        <f>IF(AND(F589=0,G589&gt;0),"n/a",IF(F589=0,0,100*G589/F589))</f>
        <v>101.63514757437471</v>
      </c>
      <c r="I589" s="132">
        <f>IF(F589="*","*",F589-G589)</f>
        <v>-166.97799999999734</v>
      </c>
      <c r="J589" s="131">
        <f>J580+SUM(J581:J586)</f>
        <v>0</v>
      </c>
      <c r="K589" s="131">
        <f>K580+SUM(K581:K586)</f>
        <v>0</v>
      </c>
      <c r="L589" s="131">
        <f>L580+SUM(L581:L586)</f>
        <v>0</v>
      </c>
      <c r="M589" s="131">
        <f>M580+SUM(M581:M586)</f>
        <v>0</v>
      </c>
      <c r="N589" s="53">
        <f>IF(C589="*","*",IF(C589&gt;0,M589/C589*100,"-"))</f>
        <v>0</v>
      </c>
      <c r="O589" s="131">
        <f>IF(C589="*","*",SUM(J589:M589)/4)</f>
        <v>0</v>
      </c>
      <c r="P589" s="49">
        <f>IF(ISNUMBER(VLOOKUP(B589,[4]CLOSURES!B:BI,8,FALSE)),TEXT(VLOOKUP(B589,[4]CLOSURES!B:BI,8,FALSE),"ddmmm"),IF(F589&lt;=0,0,IF(I589&lt;=0,0,IF(AND(F589&gt;0,O589&lt;=0),"&gt;52",IF(I589/O589&gt;52,"&gt;52", MAX(0,I589/O589-2))))))</f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f>$J7</f>
        <v>44895</v>
      </c>
      <c r="K594" s="33">
        <f>$K7</f>
        <v>44902</v>
      </c>
      <c r="L594" s="33">
        <f>$L7</f>
        <v>44909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f>'[5]Maj Pel Combined'!$L$23</f>
        <v>3321.6</v>
      </c>
      <c r="D597" s="202">
        <v>0</v>
      </c>
      <c r="E597" s="202" t="s">
        <v>64</v>
      </c>
      <c r="F597" s="201">
        <v>0</v>
      </c>
      <c r="G597" s="202">
        <f>VLOOKUP(B597,[4]Cumulative!$A$56:$X$91,10,FALSE)+ VLOOKUP(B597,[4]Cumulative!$A$56:$X$91,11,FALSE)</f>
        <v>0</v>
      </c>
      <c r="H597" s="151">
        <f>IF(AND(F597=0,G597&gt;0),"n/a",IF(F597=0,0,100*G597/F597))</f>
        <v>0</v>
      </c>
      <c r="I597" s="201" t="s">
        <v>64</v>
      </c>
      <c r="J597" s="202">
        <f>VLOOKUP(B597,[4]Weeks!$A$125:$X$161,10,FALSE)-VLOOKUP(B597,[4]Weeks!$A$165:$X$200,10,FALSE)
+VLOOKUP(B597,[4]Weeks!$A$125:$X$161,11,FALSE)-VLOOKUP(B597,[4]Weeks!$A$165:$X$200,11,FALSE)</f>
        <v>0</v>
      </c>
      <c r="K597" s="202">
        <f>VLOOKUP(B597,[4]Weeks!$A$85:$X$121,10,FALSE)-VLOOKUP(B597,[4]Weeks!$A$125:$X$161,10,FALSE)
+VLOOKUP(B597,[4]Weeks!$A$85:$X$121,11,FALSE)-VLOOKUP(B597,[4]Weeks!$A$125:$X$161,11,FALSE)</f>
        <v>0</v>
      </c>
      <c r="L597" s="202">
        <f>VLOOKUP(B597,[4]Weeks!$A$44:$X$81,10,FALSE)-VLOOKUP(B597,[4]Weeks!$A$85:$X$121,10,FALSE)
+VLOOKUP(B597,[4]Weeks!$A$44:$X$81,11,FALSE)-VLOOKUP(B597,[4]Weeks!$A$85:$X$121,11,FALSE)</f>
        <v>0</v>
      </c>
      <c r="M597" s="202">
        <f>VLOOKUP(B597,[4]Weeks!$A$3:$X$39,10,FALSE)-VLOOKUP(B597,[4]Weeks!$A$44:$X$81,10,FALSE)
+VLOOKUP(B597,[4]Weeks!$A$3:$X$39,11,FALSE)-VLOOKUP(B597,[4]Weeks!$A$44:$X$81,11,FALSE)</f>
        <v>0</v>
      </c>
      <c r="N597" s="11">
        <f t="shared" ref="N597:N609" si="117">IF(C597="*","*",IF(C597&gt;0,M597/C597*100,"-"))</f>
        <v>0</v>
      </c>
      <c r="O597" s="202">
        <f t="shared" ref="O597:O609" si="118">IF(C597="*","*",SUM(J597:M597)/4)</f>
        <v>0</v>
      </c>
      <c r="P597" s="41">
        <f>IF(ISNUMBER(VLOOKUP(B597,[4]CLOSURES!B:BI,9,FALSE)),TEXT(VLOOKUP(B597,[4]CLOSURES!B:BI,9,FALSE),"ddmmm"),IF(F597&lt;=0,0,IF(I597&lt;=0,0,IF(AND(F597&gt;0,O597&lt;=0),"&gt;52",IF(I597/O597&gt;52,"&gt;52", MAX(0,I597/O597-2))))))</f>
        <v>0</v>
      </c>
      <c r="Q597" s="158"/>
    </row>
    <row r="598" spans="1:18" ht="10.75" customHeight="1" x14ac:dyDescent="0.3">
      <c r="A598" s="158"/>
      <c r="B598" s="40" t="s">
        <v>65</v>
      </c>
      <c r="C598" s="130">
        <f>'[5]Maj Pel Combined'!$L$20</f>
        <v>0</v>
      </c>
      <c r="D598" s="202">
        <v>0</v>
      </c>
      <c r="E598" s="202" t="s">
        <v>64</v>
      </c>
      <c r="F598" s="201">
        <v>0</v>
      </c>
      <c r="G598" s="202">
        <f>VLOOKUP(B598,[4]Cumulative!$A$56:$X$91,10,FALSE)+ VLOOKUP(B598,[4]Cumulative!$A$56:$X$91,11,FALSE)</f>
        <v>0</v>
      </c>
      <c r="H598" s="151">
        <f t="shared" ref="H598:H609" si="119">IF(AND(F598=0,G598&gt;0),"n/a",IF(F598=0,0,100*G598/F598))</f>
        <v>0</v>
      </c>
      <c r="I598" s="201" t="s">
        <v>64</v>
      </c>
      <c r="J598" s="202">
        <f>VLOOKUP(B598,[4]Weeks!$A$125:$X$161,10,FALSE)-VLOOKUP(B598,[4]Weeks!$A$165:$X$200,10,FALSE)
+VLOOKUP(B598,[4]Weeks!$A$125:$X$161,11,FALSE)-VLOOKUP(B598,[4]Weeks!$A$165:$X$200,11,FALSE)</f>
        <v>0</v>
      </c>
      <c r="K598" s="202">
        <f>VLOOKUP(B598,[4]Weeks!$A$85:$X$121,10,FALSE)-VLOOKUP(B598,[4]Weeks!$A$125:$X$161,10,FALSE)
+VLOOKUP(B598,[4]Weeks!$A$85:$X$121,11,FALSE)-VLOOKUP(B598,[4]Weeks!$A$125:$X$161,11,FALSE)</f>
        <v>0</v>
      </c>
      <c r="L598" s="202">
        <f>VLOOKUP(B598,[4]Weeks!$A$44:$X$81,10,FALSE)-VLOOKUP(B598,[4]Weeks!$A$85:$X$121,10,FALSE)
+VLOOKUP(B598,[4]Weeks!$A$44:$X$81,11,FALSE)-VLOOKUP(B598,[4]Weeks!$A$85:$X$121,11,FALSE)</f>
        <v>0</v>
      </c>
      <c r="M598" s="202">
        <f>VLOOKUP(B598,[4]Weeks!$A$3:$X$39,10,FALSE)-VLOOKUP(B598,[4]Weeks!$A$44:$X$81,10,FALSE)
+VLOOKUP(B598,[4]Weeks!$A$3:$X$39,11,FALSE)-VLOOKUP(B598,[4]Weeks!$A$44:$X$81,11,FALSE)</f>
        <v>0</v>
      </c>
      <c r="N598" s="11" t="str">
        <f t="shared" si="117"/>
        <v>-</v>
      </c>
      <c r="O598" s="202">
        <f t="shared" si="118"/>
        <v>0</v>
      </c>
      <c r="P598" s="41">
        <f>IF(ISNUMBER(VLOOKUP(B598,[4]CLOSURES!B:BI,9,FALSE)),TEXT(VLOOKUP(B598,[4]CLOSURES!B:BI,9,FALSE),"ddmmm"),IF(F598&lt;=0,0,IF(I598&lt;=0,0,IF(AND(F598&gt;0,O598&lt;=0),"&gt;52",IF(I598/O598&gt;52,"&gt;52", MAX(0,I598/O598-2))))))</f>
        <v>0</v>
      </c>
      <c r="Q598" s="158"/>
    </row>
    <row r="599" spans="1:18" s="158" customFormat="1" ht="10.75" customHeight="1" x14ac:dyDescent="0.3">
      <c r="B599" s="40" t="s">
        <v>66</v>
      </c>
      <c r="C599" s="130">
        <f>'[5]Maj Pel Combined'!$L$24</f>
        <v>3999</v>
      </c>
      <c r="D599" s="202">
        <v>0</v>
      </c>
      <c r="E599" s="202" t="s">
        <v>64</v>
      </c>
      <c r="F599" s="201">
        <v>0</v>
      </c>
      <c r="G599" s="202">
        <f>VLOOKUP(B599,[4]Cumulative!$A$56:$X$91,10,FALSE)+ VLOOKUP(B599,[4]Cumulative!$A$56:$X$91,11,FALSE)</f>
        <v>0</v>
      </c>
      <c r="H599" s="151">
        <f t="shared" si="119"/>
        <v>0</v>
      </c>
      <c r="I599" s="201" t="s">
        <v>64</v>
      </c>
      <c r="J599" s="202">
        <f>VLOOKUP(B599,[4]Weeks!$A$125:$X$161,10,FALSE)-VLOOKUP(B599,[4]Weeks!$A$165:$X$200,10,FALSE)
+VLOOKUP(B599,[4]Weeks!$A$125:$X$161,11,FALSE)-VLOOKUP(B599,[4]Weeks!$A$165:$X$200,11,FALSE)</f>
        <v>0</v>
      </c>
      <c r="K599" s="202">
        <f>VLOOKUP(B599,[4]Weeks!$A$85:$X$121,10,FALSE)-VLOOKUP(B599,[4]Weeks!$A$125:$X$161,10,FALSE)
+VLOOKUP(B599,[4]Weeks!$A$85:$X$121,11,FALSE)-VLOOKUP(B599,[4]Weeks!$A$125:$X$161,11,FALSE)</f>
        <v>0</v>
      </c>
      <c r="L599" s="202">
        <f>VLOOKUP(B599,[4]Weeks!$A$44:$X$81,10,FALSE)-VLOOKUP(B599,[4]Weeks!$A$85:$X$121,10,FALSE)
+VLOOKUP(B599,[4]Weeks!$A$44:$X$81,11,FALSE)-VLOOKUP(B599,[4]Weeks!$A$85:$X$121,11,FALSE)</f>
        <v>0</v>
      </c>
      <c r="M599" s="202">
        <f>VLOOKUP(B599,[4]Weeks!$A$3:$X$39,10,FALSE)-VLOOKUP(B599,[4]Weeks!$A$44:$X$81,10,FALSE)
+VLOOKUP(B599,[4]Weeks!$A$3:$X$39,11,FALSE)-VLOOKUP(B599,[4]Weeks!$A$44:$X$81,11,FALSE)</f>
        <v>0</v>
      </c>
      <c r="N599" s="11">
        <f t="shared" si="117"/>
        <v>0</v>
      </c>
      <c r="O599" s="202">
        <f t="shared" si="118"/>
        <v>0</v>
      </c>
      <c r="P599" s="41">
        <f>IF(ISNUMBER(VLOOKUP(B599,[4]CLOSURES!B:BI,9,FALSE)),TEXT(VLOOKUP(B599,[4]CLOSURES!B:BI,9,FALSE),"ddmmm"),IF(F599&lt;=0,0,IF(I599&lt;=0,0,IF(AND(F599&gt;0,O599&lt;=0),"&gt;52",IF(I599/O599&gt;52,"&gt;52", MAX(0,I599/O599-2))))))</f>
        <v>0</v>
      </c>
      <c r="R599" s="153"/>
    </row>
    <row r="600" spans="1:18" s="158" customFormat="1" ht="10.75" customHeight="1" x14ac:dyDescent="0.3">
      <c r="B600" s="40" t="s">
        <v>71</v>
      </c>
      <c r="C600" s="130">
        <f>'[5]Maj Pel Combined'!$L$18</f>
        <v>3424.2</v>
      </c>
      <c r="D600" s="202">
        <v>0</v>
      </c>
      <c r="E600" s="202" t="s">
        <v>64</v>
      </c>
      <c r="F600" s="201">
        <v>0</v>
      </c>
      <c r="G600" s="202">
        <f>VLOOKUP(B600,[4]Cumulative!$A$56:$X$91,10,FALSE)+ VLOOKUP(B600,[4]Cumulative!$A$56:$X$91,11,FALSE)</f>
        <v>0</v>
      </c>
      <c r="H600" s="151">
        <f t="shared" si="119"/>
        <v>0</v>
      </c>
      <c r="I600" s="201" t="s">
        <v>64</v>
      </c>
      <c r="J600" s="202">
        <f>VLOOKUP(B600,[4]Weeks!$A$125:$X$161,10,FALSE)-VLOOKUP(B600,[4]Weeks!$A$165:$X$200,10,FALSE)
+VLOOKUP(B600,[4]Weeks!$A$125:$X$161,11,FALSE)-VLOOKUP(B600,[4]Weeks!$A$165:$X$200,11,FALSE)</f>
        <v>0</v>
      </c>
      <c r="K600" s="202">
        <f>VLOOKUP(B600,[4]Weeks!$A$85:$X$121,10,FALSE)-VLOOKUP(B600,[4]Weeks!$A$125:$X$161,10,FALSE)
+VLOOKUP(B600,[4]Weeks!$A$85:$X$121,11,FALSE)-VLOOKUP(B600,[4]Weeks!$A$125:$X$161,11,FALSE)</f>
        <v>0</v>
      </c>
      <c r="L600" s="202">
        <f>VLOOKUP(B600,[4]Weeks!$A$44:$X$81,10,FALSE)-VLOOKUP(B600,[4]Weeks!$A$85:$X$121,10,FALSE)
+VLOOKUP(B600,[4]Weeks!$A$44:$X$81,11,FALSE)-VLOOKUP(B600,[4]Weeks!$A$85:$X$121,11,FALSE)</f>
        <v>0</v>
      </c>
      <c r="M600" s="202">
        <f>VLOOKUP(B600,[4]Weeks!$A$3:$X$39,10,FALSE)-VLOOKUP(B600,[4]Weeks!$A$44:$X$81,10,FALSE)
+VLOOKUP(B600,[4]Weeks!$A$3:$X$39,11,FALSE)-VLOOKUP(B600,[4]Weeks!$A$44:$X$81,11,FALSE)</f>
        <v>0</v>
      </c>
      <c r="N600" s="11">
        <f t="shared" si="117"/>
        <v>0</v>
      </c>
      <c r="O600" s="202">
        <f t="shared" si="118"/>
        <v>0</v>
      </c>
      <c r="P600" s="41">
        <f>IF(ISNUMBER(VLOOKUP(B600,[4]CLOSURES!B:BI,9,FALSE)),TEXT(VLOOKUP(B600,[4]CLOSURES!B:BI,9,FALSE),"ddmmm"),IF(F600&lt;=0,0,IF(I600&lt;=0,0,IF(AND(F600&gt;0,O600&lt;=0),"&gt;52",IF(I600/O600&gt;52,"&gt;52", MAX(0,I600/O600-2))))))</f>
        <v>0</v>
      </c>
      <c r="R600" s="153"/>
    </row>
    <row r="601" spans="1:18" s="158" customFormat="1" ht="10.75" customHeight="1" x14ac:dyDescent="0.3">
      <c r="B601" s="40" t="s">
        <v>72</v>
      </c>
      <c r="C601" s="130">
        <f>'[5]Maj Pel Combined'!$L$19</f>
        <v>587.5</v>
      </c>
      <c r="D601" s="202">
        <v>0</v>
      </c>
      <c r="E601" s="202" t="s">
        <v>64</v>
      </c>
      <c r="F601" s="201">
        <v>0</v>
      </c>
      <c r="G601" s="202">
        <f>VLOOKUP(B601,[4]Cumulative!$A$56:$X$91,10,FALSE)+ VLOOKUP(B601,[4]Cumulative!$A$56:$X$91,11,FALSE)</f>
        <v>0</v>
      </c>
      <c r="H601" s="151">
        <f t="shared" si="119"/>
        <v>0</v>
      </c>
      <c r="I601" s="201" t="s">
        <v>64</v>
      </c>
      <c r="J601" s="202">
        <f>VLOOKUP(B601,[4]Weeks!$A$125:$X$161,10,FALSE)-VLOOKUP(B601,[4]Weeks!$A$165:$X$200,10,FALSE)
+VLOOKUP(B601,[4]Weeks!$A$125:$X$161,11,FALSE)-VLOOKUP(B601,[4]Weeks!$A$165:$X$200,11,FALSE)</f>
        <v>0</v>
      </c>
      <c r="K601" s="202">
        <f>VLOOKUP(B601,[4]Weeks!$A$85:$X$121,10,FALSE)-VLOOKUP(B601,[4]Weeks!$A$125:$X$161,10,FALSE)
+VLOOKUP(B601,[4]Weeks!$A$85:$X$121,11,FALSE)-VLOOKUP(B601,[4]Weeks!$A$125:$X$161,11,FALSE)</f>
        <v>0</v>
      </c>
      <c r="L601" s="202">
        <f>VLOOKUP(B601,[4]Weeks!$A$44:$X$81,10,FALSE)-VLOOKUP(B601,[4]Weeks!$A$85:$X$121,10,FALSE)
+VLOOKUP(B601,[4]Weeks!$A$44:$X$81,11,FALSE)-VLOOKUP(B601,[4]Weeks!$A$85:$X$121,11,FALSE)</f>
        <v>0</v>
      </c>
      <c r="M601" s="202">
        <f>VLOOKUP(B601,[4]Weeks!$A$3:$X$39,10,FALSE)-VLOOKUP(B601,[4]Weeks!$A$44:$X$81,10,FALSE)
+VLOOKUP(B601,[4]Weeks!$A$3:$X$39,11,FALSE)-VLOOKUP(B601,[4]Weeks!$A$44:$X$81,11,FALSE)</f>
        <v>0</v>
      </c>
      <c r="N601" s="11">
        <f t="shared" si="117"/>
        <v>0</v>
      </c>
      <c r="O601" s="202">
        <f t="shared" si="118"/>
        <v>0</v>
      </c>
      <c r="P601" s="41">
        <f>IF(ISNUMBER(VLOOKUP(B601,[4]CLOSURES!B:BI,9,FALSE)),TEXT(VLOOKUP(B601,[4]CLOSURES!B:BI,9,FALSE),"ddmmm"),IF(F601&lt;=0,0,IF(I601&lt;=0,0,IF(AND(F601&gt;0,O601&lt;=0),"&gt;52",IF(I601/O601&gt;52,"&gt;52", MAX(0,I601/O601-2))))))</f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f>SUM(C597:C601)</f>
        <v>11332.3</v>
      </c>
      <c r="D603" s="202">
        <v>0</v>
      </c>
      <c r="E603" s="200">
        <f>SUM(E597:E602)</f>
        <v>0</v>
      </c>
      <c r="F603" s="201">
        <v>0</v>
      </c>
      <c r="G603" s="202">
        <f>SUM(G597:G602)</f>
        <v>0</v>
      </c>
      <c r="H603" s="151">
        <f t="shared" si="119"/>
        <v>0</v>
      </c>
      <c r="I603" s="201" t="s">
        <v>64</v>
      </c>
      <c r="J603" s="202">
        <f>SUM(J597:J602)</f>
        <v>0</v>
      </c>
      <c r="K603" s="202">
        <f>SUM(K597:K602)</f>
        <v>0</v>
      </c>
      <c r="L603" s="202">
        <f>SUM(L597:L602)</f>
        <v>0</v>
      </c>
      <c r="M603" s="202">
        <f>SUM(M597:M602)</f>
        <v>0</v>
      </c>
      <c r="N603" s="11">
        <f>IF(C603="*","*",IF(C603&gt;0,M603/C603*100,"-"))</f>
        <v>0</v>
      </c>
      <c r="O603" s="202">
        <f>IF(C603="*","*",SUM(J603:M603)/4)</f>
        <v>0</v>
      </c>
      <c r="P603" s="41">
        <f>IF(ISNUMBER(VLOOKUP(B603,[4]CLOSURES!B:BI,9,FALSE)),TEXT(VLOOKUP(B603,[4]CLOSURES!B:BI,9,FALSE),"ddmmm"),IF(F603&lt;=0,0,IF(I603&lt;=0,0,IF(AND(F603&gt;0,O603&lt;=0),"&gt;52",IF(I603/O603&gt;52,"&gt;52", MAX(0,I603/O603-2))))))</f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f>'[5]Maj Pel Combined'!$L$9</f>
        <v>0</v>
      </c>
      <c r="D605" s="202">
        <v>0</v>
      </c>
      <c r="E605" s="202" t="s">
        <v>64</v>
      </c>
      <c r="F605" s="201">
        <v>0</v>
      </c>
      <c r="G605" s="202">
        <f>VLOOKUP(B605,[4]Cumulative!$A$56:$X$91,10,FALSE)+ VLOOKUP(B605,[4]Cumulative!$A$56:$X$91,11,FALSE)</f>
        <v>0</v>
      </c>
      <c r="H605" s="151">
        <f t="shared" si="119"/>
        <v>0</v>
      </c>
      <c r="I605" s="201" t="s">
        <v>64</v>
      </c>
      <c r="J605" s="202">
        <f>VLOOKUP(B605,[4]Weeks!$A$125:$X$161,10,FALSE)-VLOOKUP(B605,[4]Weeks!$A$165:$X$200,10,FALSE)
+VLOOKUP(B605,[4]Weeks!$A$125:$X$161,11,FALSE)-VLOOKUP(B605,[4]Weeks!$A$165:$X$200,11,FALSE)</f>
        <v>0</v>
      </c>
      <c r="K605" s="202">
        <f>VLOOKUP(B605,[4]Weeks!$A$85:$X$121,10,FALSE)-VLOOKUP(B605,[4]Weeks!$A$125:$X$161,10,FALSE)
+VLOOKUP(B605,[4]Weeks!$A$85:$X$121,11,FALSE)-VLOOKUP(B605,[4]Weeks!$A$125:$X$161,11,FALSE)</f>
        <v>0</v>
      </c>
      <c r="L605" s="202">
        <f>VLOOKUP(B605,[4]Weeks!$A$44:$X$81,10,FALSE)-VLOOKUP(B605,[4]Weeks!$A$85:$X$121,10,FALSE)
+VLOOKUP(B605,[4]Weeks!$A$44:$X$81,11,FALSE)-VLOOKUP(B605,[4]Weeks!$A$85:$X$121,11,FALSE)</f>
        <v>0</v>
      </c>
      <c r="M605" s="202">
        <f>VLOOKUP(B605,[4]Weeks!$A$3:$X$39,10,FALSE)-VLOOKUP(B605,[4]Weeks!$A$44:$X$81,10,FALSE)
+VLOOKUP(B605,[4]Weeks!$A$3:$X$39,11,FALSE)-VLOOKUP(B605,[4]Weeks!$A$44:$X$81,11,FALSE)</f>
        <v>0</v>
      </c>
      <c r="N605" s="11" t="str">
        <f t="shared" si="117"/>
        <v>-</v>
      </c>
      <c r="O605" s="202">
        <f t="shared" si="118"/>
        <v>0</v>
      </c>
      <c r="P605" s="41">
        <f>IF(ISNUMBER(VLOOKUP(B605,[4]CLOSURES!B:BI,9,FALSE)),TEXT(VLOOKUP(B605,[4]CLOSURES!B:BI,9,FALSE),"ddmmm"),IF(F605&lt;=0,0,IF(I605&lt;=0,0,IF(AND(F605&gt;0,O605&lt;=0),"&gt;52",IF(I605/O605&gt;52,"&gt;52", MAX(0,I605/O605-2))))))</f>
        <v>0</v>
      </c>
      <c r="R605" s="153"/>
    </row>
    <row r="606" spans="1:18" s="158" customFormat="1" ht="10.75" customHeight="1" x14ac:dyDescent="0.3">
      <c r="B606" s="40" t="s">
        <v>77</v>
      </c>
      <c r="C606" s="130">
        <f>'[5]Maj Pel Combined'!$L$27</f>
        <v>0</v>
      </c>
      <c r="D606" s="202">
        <v>0</v>
      </c>
      <c r="E606" s="202" t="s">
        <v>64</v>
      </c>
      <c r="F606" s="201">
        <v>0</v>
      </c>
      <c r="G606" s="202">
        <f>VLOOKUP(B606,[4]Cumulative!$A$56:$X$91,10,FALSE)+ VLOOKUP(B606,[4]Cumulative!$A$56:$X$91,11,FALSE)</f>
        <v>0</v>
      </c>
      <c r="H606" s="151">
        <f t="shared" si="119"/>
        <v>0</v>
      </c>
      <c r="I606" s="201" t="s">
        <v>64</v>
      </c>
      <c r="J606" s="202">
        <f>VLOOKUP(B606,[4]Weeks!$A$125:$X$161,10,FALSE)-VLOOKUP(B606,[4]Weeks!$A$165:$X$200,10,FALSE)
+VLOOKUP(B606,[4]Weeks!$A$125:$X$161,11,FALSE)-VLOOKUP(B606,[4]Weeks!$A$165:$X$200,11,FALSE)</f>
        <v>0</v>
      </c>
      <c r="K606" s="202">
        <f>VLOOKUP(B606,[4]Weeks!$A$85:$X$121,10,FALSE)-VLOOKUP(B606,[4]Weeks!$A$125:$X$161,10,FALSE)
+VLOOKUP(B606,[4]Weeks!$A$85:$X$121,11,FALSE)-VLOOKUP(B606,[4]Weeks!$A$125:$X$161,11,FALSE)</f>
        <v>0</v>
      </c>
      <c r="L606" s="202">
        <f>VLOOKUP(B606,[4]Weeks!$A$44:$X$81,10,FALSE)-VLOOKUP(B606,[4]Weeks!$A$85:$X$121,10,FALSE)
+VLOOKUP(B606,[4]Weeks!$A$44:$X$81,11,FALSE)-VLOOKUP(B606,[4]Weeks!$A$85:$X$121,11,FALSE)</f>
        <v>0</v>
      </c>
      <c r="M606" s="202">
        <f>VLOOKUP(B606,[4]Weeks!$A$3:$X$39,10,FALSE)-VLOOKUP(B606,[4]Weeks!$A$44:$X$81,10,FALSE)
+VLOOKUP(B606,[4]Weeks!$A$3:$X$39,11,FALSE)-VLOOKUP(B606,[4]Weeks!$A$44:$X$81,11,FALSE)</f>
        <v>0</v>
      </c>
      <c r="N606" s="11" t="str">
        <f t="shared" si="117"/>
        <v>-</v>
      </c>
      <c r="O606" s="202">
        <f t="shared" si="118"/>
        <v>0</v>
      </c>
      <c r="P606" s="41">
        <f>IF(ISNUMBER(VLOOKUP(B606,[4]CLOSURES!B:BI,9,FALSE)),TEXT(VLOOKUP(B606,[4]CLOSURES!B:BI,9,FALSE),"ddmmm"),IF(F606&lt;=0,0,IF(I606&lt;=0,0,IF(AND(F606&gt;0,O606&lt;=0),"&gt;52",IF(I606/O606&gt;52,"&gt;52", MAX(0,I606/O606-2))))))</f>
        <v>0</v>
      </c>
      <c r="R606" s="153"/>
    </row>
    <row r="607" spans="1:18" s="158" customFormat="1" ht="10.75" customHeight="1" x14ac:dyDescent="0.3">
      <c r="B607" s="40" t="s">
        <v>78</v>
      </c>
      <c r="C607" s="130">
        <f>'[5]Maj Pel Combined'!$L$26</f>
        <v>212.5</v>
      </c>
      <c r="D607" s="202">
        <v>0</v>
      </c>
      <c r="E607" s="202"/>
      <c r="F607" s="201">
        <v>0</v>
      </c>
      <c r="G607" s="202">
        <f>VLOOKUP(B607,[4]Cumulative!$A$56:$X$91,10,FALSE)+ VLOOKUP(B607,[4]Cumulative!$A$56:$X$91,11,FALSE)</f>
        <v>0</v>
      </c>
      <c r="H607" s="151">
        <f t="shared" si="119"/>
        <v>0</v>
      </c>
      <c r="I607" s="201" t="s">
        <v>64</v>
      </c>
      <c r="J607" s="202">
        <f>VLOOKUP(B607,[4]Weeks!$A$125:$X$161,10,FALSE)-VLOOKUP(B607,[4]Weeks!$A$165:$X$200,10,FALSE)
+VLOOKUP(B607,[4]Weeks!$A$125:$X$161,11,FALSE)-VLOOKUP(B607,[4]Weeks!$A$165:$X$200,11,FALSE)</f>
        <v>0</v>
      </c>
      <c r="K607" s="202">
        <f>VLOOKUP(B607,[4]Weeks!$A$85:$X$121,10,FALSE)-VLOOKUP(B607,[4]Weeks!$A$125:$X$161,10,FALSE)
+VLOOKUP(B607,[4]Weeks!$A$85:$X$121,11,FALSE)-VLOOKUP(B607,[4]Weeks!$A$125:$X$161,11,FALSE)</f>
        <v>0</v>
      </c>
      <c r="L607" s="202">
        <f>VLOOKUP(B607,[4]Weeks!$A$44:$X$81,10,FALSE)-VLOOKUP(B607,[4]Weeks!$A$85:$X$121,10,FALSE)
+VLOOKUP(B607,[4]Weeks!$A$44:$X$81,11,FALSE)-VLOOKUP(B607,[4]Weeks!$A$85:$X$121,11,FALSE)</f>
        <v>0</v>
      </c>
      <c r="M607" s="202">
        <f>VLOOKUP(B607,[4]Weeks!$A$3:$X$39,10,FALSE)-VLOOKUP(B607,[4]Weeks!$A$44:$X$81,10,FALSE)
+VLOOKUP(B607,[4]Weeks!$A$3:$X$39,11,FALSE)-VLOOKUP(B607,[4]Weeks!$A$44:$X$81,11,FALSE)</f>
        <v>0</v>
      </c>
      <c r="N607" s="11"/>
      <c r="O607" s="202"/>
      <c r="P607" s="41">
        <f>IF(ISNUMBER(VLOOKUP(B607,[4]CLOSURES!B:BI,9,FALSE)),TEXT(VLOOKUP(B607,[4]CLOSURES!B:BI,9,FALSE),"ddmmm"),IF(F607&lt;=0,0,IF(I607&lt;=0,0,IF(AND(F607&gt;0,O607&lt;=0),"&gt;52",IF(I607/O607&gt;52,"&gt;52", MAX(0,I607/O607-2))))))</f>
        <v>0</v>
      </c>
      <c r="R607" s="153"/>
    </row>
    <row r="608" spans="1:18" s="158" customFormat="1" ht="10.75" customHeight="1" x14ac:dyDescent="0.3">
      <c r="B608" s="40" t="s">
        <v>84</v>
      </c>
      <c r="C608" s="130">
        <f>'[5]Maj Pel Combined'!$L$10</f>
        <v>748.2</v>
      </c>
      <c r="D608" s="202">
        <v>0</v>
      </c>
      <c r="E608" s="202" t="s">
        <v>64</v>
      </c>
      <c r="F608" s="201">
        <v>0</v>
      </c>
      <c r="G608" s="202">
        <f>VLOOKUP(B608,[4]Cumulative!$A$56:$X$91,10,FALSE)+ VLOOKUP(B608,[4]Cumulative!$A$56:$X$91,11,FALSE)</f>
        <v>0</v>
      </c>
      <c r="H608" s="151">
        <f t="shared" si="119"/>
        <v>0</v>
      </c>
      <c r="I608" s="201" t="s">
        <v>64</v>
      </c>
      <c r="J608" s="202">
        <f>VLOOKUP(B608,[4]Weeks!$A$125:$X$161,10,FALSE)-VLOOKUP(B608,[4]Weeks!$A$165:$X$200,10,FALSE)
+VLOOKUP(B608,[4]Weeks!$A$125:$X$161,11,FALSE)-VLOOKUP(B608,[4]Weeks!$A$165:$X$200,11,FALSE)</f>
        <v>0</v>
      </c>
      <c r="K608" s="202">
        <f>VLOOKUP(B608,[4]Weeks!$A$85:$X$121,10,FALSE)-VLOOKUP(B608,[4]Weeks!$A$125:$X$161,10,FALSE)
+VLOOKUP(B608,[4]Weeks!$A$85:$X$121,11,FALSE)-VLOOKUP(B608,[4]Weeks!$A$125:$X$161,11,FALSE)</f>
        <v>0</v>
      </c>
      <c r="L608" s="202">
        <f>VLOOKUP(B608,[4]Weeks!$A$44:$X$81,10,FALSE)-VLOOKUP(B608,[4]Weeks!$A$85:$X$121,10,FALSE)
+VLOOKUP(B608,[4]Weeks!$A$44:$X$81,11,FALSE)-VLOOKUP(B608,[4]Weeks!$A$85:$X$121,11,FALSE)</f>
        <v>0</v>
      </c>
      <c r="M608" s="202">
        <f>VLOOKUP(B608,[4]Weeks!$A$3:$X$39,10,FALSE)-VLOOKUP(B608,[4]Weeks!$A$44:$X$81,10,FALSE)
+VLOOKUP(B608,[4]Weeks!$A$3:$X$39,11,FALSE)-VLOOKUP(B608,[4]Weeks!$A$44:$X$81,11,FALSE)</f>
        <v>0</v>
      </c>
      <c r="N608" s="11">
        <f t="shared" si="117"/>
        <v>0</v>
      </c>
      <c r="O608" s="202">
        <f t="shared" si="118"/>
        <v>0</v>
      </c>
      <c r="P608" s="41">
        <f>IF(ISNUMBER(VLOOKUP(B608,[4]CLOSURES!B:BI,9,FALSE)),TEXT(VLOOKUP(B608,[4]CLOSURES!B:BI,9,FALSE),"ddmmm"),IF(F608&lt;=0,0,IF(I608&lt;=0,0,IF(AND(F608&gt;0,O608&lt;=0),"&gt;52",IF(I608/O608&gt;52,"&gt;52", MAX(0,I608/O608-2))))))</f>
        <v>0</v>
      </c>
      <c r="R608" s="153"/>
    </row>
    <row r="609" spans="1:18" s="158" customFormat="1" ht="10.75" customHeight="1" x14ac:dyDescent="0.3">
      <c r="B609" s="171" t="s">
        <v>91</v>
      </c>
      <c r="C609" s="133">
        <f>C603+SUM(C605:C608)</f>
        <v>12293</v>
      </c>
      <c r="D609" s="131">
        <f>D603+SUM(D605:D607)</f>
        <v>0</v>
      </c>
      <c r="E609" s="131">
        <f>E603+SUM(E605:E607)</f>
        <v>0</v>
      </c>
      <c r="F609" s="132">
        <f>F603+SUM(F605:F607)</f>
        <v>0</v>
      </c>
      <c r="G609" s="131">
        <f>SUM(G605:G607)</f>
        <v>0</v>
      </c>
      <c r="H609" s="151">
        <f t="shared" si="119"/>
        <v>0</v>
      </c>
      <c r="I609" s="201" t="s">
        <v>64</v>
      </c>
      <c r="J609" s="131">
        <f>J603+SUM(J605:J608)</f>
        <v>0</v>
      </c>
      <c r="K609" s="131">
        <f>K603+SUM(K605:K608)</f>
        <v>0</v>
      </c>
      <c r="L609" s="131">
        <f>L603+SUM(L605:L608)</f>
        <v>0</v>
      </c>
      <c r="M609" s="131">
        <f>M603+SUM(M605:M608)</f>
        <v>0</v>
      </c>
      <c r="N609" s="53">
        <f t="shared" si="117"/>
        <v>0</v>
      </c>
      <c r="O609" s="131">
        <f t="shared" si="118"/>
        <v>0</v>
      </c>
      <c r="P609" s="49">
        <f>IF(ISNUMBER(VLOOKUP(B609,[4]CLOSURES!B:BI,9,FALSE)),TEXT(VLOOKUP(B609,[4]CLOSURES!B:BI,9,FALSE),"ddmmm"),IF(F609&lt;=0,0,IF(I609&lt;=0,0,IF(AND(F609&gt;0,O609&lt;=0),"&gt;52",IF(I609/O609&gt;52,"&gt;52", MAX(0,I609/O609-2))))))</f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f>$J7</f>
        <v>44895</v>
      </c>
      <c r="K614" s="33">
        <f>$K7</f>
        <v>44902</v>
      </c>
      <c r="L614" s="33">
        <f>$L7</f>
        <v>44909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f>'[5]Maj Pel Combined'!$L$23</f>
        <v>3321.6</v>
      </c>
      <c r="D617" s="200">
        <f>F617-VLOOKUP(B617,[4]quotas!$B$85:$W$120,10,FALSE)</f>
        <v>0</v>
      </c>
      <c r="E617" s="202" t="s">
        <v>64</v>
      </c>
      <c r="F617" s="201">
        <v>0</v>
      </c>
      <c r="G617" s="202">
        <f>VLOOKUP(B617,[4]Cumulative!$A$56:$X$91,11,FALSE)</f>
        <v>0</v>
      </c>
      <c r="H617" s="151">
        <f>IF(AND(F617=0,G617&gt;0),"n/a",IF(F617=0,0,100*G617/F617))</f>
        <v>0</v>
      </c>
      <c r="I617" s="201" t="s">
        <v>64</v>
      </c>
      <c r="J617" s="202">
        <f>VLOOKUP(B617,[4]Weeks!$A$125:$X$161,11,FALSE)-VLOOKUP(B617,[4]Weeks!$A$165:$X$200,11,FALSE)</f>
        <v>0</v>
      </c>
      <c r="K617" s="202">
        <f>VLOOKUP(B617,[4]Weeks!$A$85:$X$121,11,FALSE)-VLOOKUP(B617,[4]Weeks!$A$125:$X$161,11,FALSE)</f>
        <v>0</v>
      </c>
      <c r="L617" s="202">
        <f>VLOOKUP(B617,[4]Weeks!$A$44:$X$81,11,FALSE)-VLOOKUP(B617,[4]Weeks!$A$85:$X$121,11,FALSE)</f>
        <v>0</v>
      </c>
      <c r="M617" s="202">
        <f>VLOOKUP(B617,[4]Weeks!$A$3:$X$39,11,FALSE)-VLOOKUP(B617,[4]Weeks!$A$44:$X$81,11,FALSE)</f>
        <v>0</v>
      </c>
      <c r="N617" s="11">
        <f t="shared" ref="N617:N628" si="120">IF(C617="*","*",IF(C617&gt;0,M617/C617*100,"-"))</f>
        <v>0</v>
      </c>
      <c r="O617" s="202">
        <f t="shared" ref="O617:O628" si="121">IF(C617="*","*",SUM(J617:M617)/4)</f>
        <v>0</v>
      </c>
      <c r="P617" s="41">
        <f>IF(ISNUMBER(VLOOKUP(B617,[4]CLOSURES!B:BI,10,FALSE)),TEXT(VLOOKUP(B617,[4]CLOSURES!B:BI,10,FALSE),"ddmmm"),IF(F617&lt;=0,0,IF(I617&lt;=0,0,IF(AND(F617&gt;0,O617&lt;=0),"&gt;52",IF(I617/O617&gt;52,"&gt;52", MAX(0,I617/O617-2))))))</f>
        <v>0</v>
      </c>
      <c r="Q617" s="158"/>
    </row>
    <row r="618" spans="1:18" ht="10.75" customHeight="1" x14ac:dyDescent="0.3">
      <c r="A618" s="158"/>
      <c r="B618" s="40" t="s">
        <v>65</v>
      </c>
      <c r="C618" s="130">
        <f>'[5]Maj Pel Combined'!$L$20</f>
        <v>0</v>
      </c>
      <c r="D618" s="202">
        <f>[4]quotas!K49-[4]quotas!K89</f>
        <v>0</v>
      </c>
      <c r="E618" s="202" t="s">
        <v>64</v>
      </c>
      <c r="F618" s="201">
        <v>0</v>
      </c>
      <c r="G618" s="202">
        <f>VLOOKUP(B618,[4]Cumulative!$A$56:$X$91,11,FALSE)</f>
        <v>0</v>
      </c>
      <c r="H618" s="151">
        <f t="shared" ref="H618:H628" si="122">IF(AND(F618=0,G618&gt;0),"n/a",IF(F618=0,0,100*G618/F618))</f>
        <v>0</v>
      </c>
      <c r="I618" s="201" t="s">
        <v>64</v>
      </c>
      <c r="J618" s="202">
        <f>VLOOKUP(B618,[4]Weeks!$A$125:$X$161,11,FALSE)-VLOOKUP(B618,[4]Weeks!$A$165:$X$200,11,FALSE)</f>
        <v>0</v>
      </c>
      <c r="K618" s="202">
        <f>VLOOKUP(B618,[4]Weeks!$A$85:$X$121,11,FALSE)-VLOOKUP(B618,[4]Weeks!$A$125:$X$161,11,FALSE)</f>
        <v>0</v>
      </c>
      <c r="L618" s="202">
        <f>VLOOKUP(B618,[4]Weeks!$A$44:$X$81,11,FALSE)-VLOOKUP(B618,[4]Weeks!$A$85:$X$121,11,FALSE)</f>
        <v>0</v>
      </c>
      <c r="M618" s="202">
        <f>VLOOKUP(B618,[4]Weeks!$A$3:$X$39,11,FALSE)-VLOOKUP(B618,[4]Weeks!$A$44:$X$81,11,FALSE)</f>
        <v>0</v>
      </c>
      <c r="N618" s="11" t="str">
        <f t="shared" si="120"/>
        <v>-</v>
      </c>
      <c r="O618" s="202">
        <f t="shared" si="121"/>
        <v>0</v>
      </c>
      <c r="P618" s="41">
        <f>IF(ISNUMBER(VLOOKUP(B618,[4]CLOSURES!B:BI,10,FALSE)),TEXT(VLOOKUP(B618,[4]CLOSURES!B:BI,10,FALSE),"ddmmm"),IF(F618&lt;=0,0,IF(I618&lt;=0,0,IF(AND(F618&gt;0,O618&lt;=0),"&gt;52",IF(I618/O618&gt;52,"&gt;52", MAX(0,I618/O618-2))))))</f>
        <v>0</v>
      </c>
      <c r="Q618" s="158"/>
    </row>
    <row r="619" spans="1:18" s="158" customFormat="1" ht="10.75" customHeight="1" x14ac:dyDescent="0.3">
      <c r="B619" s="40" t="s">
        <v>66</v>
      </c>
      <c r="C619" s="130">
        <f>'[5]Maj Pel Combined'!$L$24</f>
        <v>3999</v>
      </c>
      <c r="D619" s="202">
        <f>[4]quotas!K50-[4]quotas!K90</f>
        <v>0</v>
      </c>
      <c r="E619" s="202" t="s">
        <v>64</v>
      </c>
      <c r="F619" s="201">
        <v>0</v>
      </c>
      <c r="G619" s="202">
        <f>VLOOKUP(B619,[4]Cumulative!$A$56:$X$91,11,FALSE)</f>
        <v>0</v>
      </c>
      <c r="H619" s="151">
        <f t="shared" si="122"/>
        <v>0</v>
      </c>
      <c r="I619" s="201" t="s">
        <v>64</v>
      </c>
      <c r="J619" s="202">
        <f>VLOOKUP(B619,[4]Weeks!$A$125:$X$161,11,FALSE)-VLOOKUP(B619,[4]Weeks!$A$165:$X$200,11,FALSE)</f>
        <v>0</v>
      </c>
      <c r="K619" s="202">
        <f>VLOOKUP(B619,[4]Weeks!$A$85:$X$121,11,FALSE)-VLOOKUP(B619,[4]Weeks!$A$125:$X$161,11,FALSE)</f>
        <v>0</v>
      </c>
      <c r="L619" s="202">
        <f>VLOOKUP(B619,[4]Weeks!$A$44:$X$81,11,FALSE)-VLOOKUP(B619,[4]Weeks!$A$85:$X$121,11,FALSE)</f>
        <v>0</v>
      </c>
      <c r="M619" s="202">
        <f>VLOOKUP(B619,[4]Weeks!$A$3:$X$39,11,FALSE)-VLOOKUP(B619,[4]Weeks!$A$44:$X$81,11,FALSE)</f>
        <v>0</v>
      </c>
      <c r="N619" s="11">
        <f t="shared" si="120"/>
        <v>0</v>
      </c>
      <c r="O619" s="202">
        <f t="shared" si="121"/>
        <v>0</v>
      </c>
      <c r="P619" s="41">
        <f>IF(ISNUMBER(VLOOKUP(B619,[4]CLOSURES!B:BI,10,FALSE)),TEXT(VLOOKUP(B619,[4]CLOSURES!B:BI,10,FALSE),"ddmmm"),IF(F619&lt;=0,0,IF(I619&lt;=0,0,IF(AND(F619&gt;0,O619&lt;=0),"&gt;52",IF(I619/O619&gt;52,"&gt;52", MAX(0,I619/O619-2))))))</f>
        <v>0</v>
      </c>
      <c r="R619" s="153"/>
    </row>
    <row r="620" spans="1:18" s="158" customFormat="1" ht="10.75" customHeight="1" x14ac:dyDescent="0.3">
      <c r="B620" s="40" t="s">
        <v>71</v>
      </c>
      <c r="C620" s="130">
        <f>'[5]Maj Pel Combined'!$L$18</f>
        <v>3424.2</v>
      </c>
      <c r="D620" s="202">
        <f>[4]quotas!K55-[4]quotas!K95</f>
        <v>0</v>
      </c>
      <c r="E620" s="202" t="s">
        <v>64</v>
      </c>
      <c r="F620" s="201">
        <v>0</v>
      </c>
      <c r="G620" s="202">
        <f>VLOOKUP(B620,[4]Cumulative!$A$56:$X$91,11,FALSE)</f>
        <v>0</v>
      </c>
      <c r="H620" s="151">
        <f t="shared" si="122"/>
        <v>0</v>
      </c>
      <c r="I620" s="201" t="s">
        <v>64</v>
      </c>
      <c r="J620" s="202">
        <f>VLOOKUP(B620,[4]Weeks!$A$125:$X$161,11,FALSE)-VLOOKUP(B620,[4]Weeks!$A$165:$X$200,11,FALSE)</f>
        <v>0</v>
      </c>
      <c r="K620" s="202">
        <f>VLOOKUP(B620,[4]Weeks!$A$85:$X$121,11,FALSE)-VLOOKUP(B620,[4]Weeks!$A$125:$X$161,11,FALSE)</f>
        <v>0</v>
      </c>
      <c r="L620" s="202">
        <f>VLOOKUP(B620,[4]Weeks!$A$44:$X$81,11,FALSE)-VLOOKUP(B620,[4]Weeks!$A$85:$X$121,11,FALSE)</f>
        <v>0</v>
      </c>
      <c r="M620" s="202">
        <f>VLOOKUP(B620,[4]Weeks!$A$3:$X$39,11,FALSE)-VLOOKUP(B620,[4]Weeks!$A$44:$X$81,11,FALSE)</f>
        <v>0</v>
      </c>
      <c r="N620" s="11">
        <f t="shared" si="120"/>
        <v>0</v>
      </c>
      <c r="O620" s="202">
        <f t="shared" si="121"/>
        <v>0</v>
      </c>
      <c r="P620" s="41">
        <f>IF(ISNUMBER(VLOOKUP(B620,[4]CLOSURES!B:BI,10,FALSE)),TEXT(VLOOKUP(B620,[4]CLOSURES!B:BI,10,FALSE),"ddmmm"),IF(F620&lt;=0,0,IF(I620&lt;=0,0,IF(AND(F620&gt;0,O620&lt;=0),"&gt;52",IF(I620/O620&gt;52,"&gt;52", MAX(0,I620/O620-2))))))</f>
        <v>0</v>
      </c>
      <c r="R620" s="153"/>
    </row>
    <row r="621" spans="1:18" s="158" customFormat="1" ht="10.75" customHeight="1" x14ac:dyDescent="0.3">
      <c r="B621" s="40" t="s">
        <v>72</v>
      </c>
      <c r="C621" s="130">
        <f>'[5]Maj Pel Combined'!$L$19</f>
        <v>587.5</v>
      </c>
      <c r="D621" s="202">
        <f>[4]quotas!K56-[4]quotas!K96</f>
        <v>0</v>
      </c>
      <c r="E621" s="202" t="s">
        <v>64</v>
      </c>
      <c r="F621" s="201">
        <v>0</v>
      </c>
      <c r="G621" s="202">
        <f>VLOOKUP(B621,[4]Cumulative!$A$56:$X$91,11,FALSE)</f>
        <v>0</v>
      </c>
      <c r="H621" s="151">
        <f t="shared" si="122"/>
        <v>0</v>
      </c>
      <c r="I621" s="201" t="s">
        <v>64</v>
      </c>
      <c r="J621" s="202">
        <f>VLOOKUP(B621,[4]Weeks!$A$125:$X$161,11,FALSE)-VLOOKUP(B621,[4]Weeks!$A$165:$X$200,11,FALSE)</f>
        <v>0</v>
      </c>
      <c r="K621" s="202">
        <f>VLOOKUP(B621,[4]Weeks!$A$85:$X$121,11,FALSE)-VLOOKUP(B621,[4]Weeks!$A$125:$X$161,11,FALSE)</f>
        <v>0</v>
      </c>
      <c r="L621" s="202">
        <f>VLOOKUP(B621,[4]Weeks!$A$44:$X$81,11,FALSE)-VLOOKUP(B621,[4]Weeks!$A$85:$X$121,11,FALSE)</f>
        <v>0</v>
      </c>
      <c r="M621" s="202">
        <f>VLOOKUP(B621,[4]Weeks!$A$3:$X$39,11,FALSE)-VLOOKUP(B621,[4]Weeks!$A$44:$X$81,11,FALSE)</f>
        <v>0</v>
      </c>
      <c r="N621" s="11">
        <f t="shared" si="120"/>
        <v>0</v>
      </c>
      <c r="O621" s="202">
        <f t="shared" si="121"/>
        <v>0</v>
      </c>
      <c r="P621" s="41">
        <f>IF(ISNUMBER(VLOOKUP(B621,[4]CLOSURES!B:BI,10,FALSE)),TEXT(VLOOKUP(B621,[4]CLOSURES!B:BI,10,FALSE),"ddmmm"),IF(F621&lt;=0,0,IF(I621&lt;=0,0,IF(AND(F621&gt;0,O621&lt;=0),"&gt;52",IF(I621/O621&gt;52,"&gt;52", MAX(0,I621/O621-2))))))</f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f t="shared" si="122"/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f>SUM(C617:C622)</f>
        <v>11332.3</v>
      </c>
      <c r="D623" s="200">
        <f>SUM(D617:D622)</f>
        <v>0</v>
      </c>
      <c r="E623" s="200">
        <f>SUM(E617:E622)</f>
        <v>0</v>
      </c>
      <c r="F623" s="201">
        <f>SUM(F617:F622)</f>
        <v>0</v>
      </c>
      <c r="G623" s="202">
        <f>SUM(G617:G622)</f>
        <v>0</v>
      </c>
      <c r="H623" s="151">
        <f t="shared" si="122"/>
        <v>0</v>
      </c>
      <c r="I623" s="201" t="s">
        <v>64</v>
      </c>
      <c r="J623" s="202">
        <f>SUM(J617:J622)</f>
        <v>0</v>
      </c>
      <c r="K623" s="202">
        <f>SUM(K617:K622)</f>
        <v>0</v>
      </c>
      <c r="L623" s="202">
        <f>SUM(L617:L622)</f>
        <v>0</v>
      </c>
      <c r="M623" s="202">
        <f>SUM(M617:M622)</f>
        <v>0</v>
      </c>
      <c r="N623" s="11">
        <f>IF(C623="*","*",IF(C623&gt;0,M623/C623*100,"-"))</f>
        <v>0</v>
      </c>
      <c r="O623" s="202">
        <f>IF(C623="*","*",SUM(J623:M623)/4)</f>
        <v>0</v>
      </c>
      <c r="P623" s="41">
        <f>IF(ISNUMBER(VLOOKUP(B623,[4]CLOSURES!B:BI,10,FALSE)),TEXT(VLOOKUP(B623,[4]CLOSURES!B:BI,10,FALSE),"ddmmm"),IF(F623&lt;=0,0,IF(I623&lt;=0,0,IF(AND(F623&gt;0,O623&lt;=0),"&gt;52",IF(I623/O623&gt;52,"&gt;52", MAX(0,I623/O623-2))))))</f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f t="shared" si="122"/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f>'[5]Maj Pel Combined'!$L$9</f>
        <v>0</v>
      </c>
      <c r="D625" s="202">
        <f>[4]quotas!K60-[4]quotas!K100</f>
        <v>0</v>
      </c>
      <c r="E625" s="202" t="s">
        <v>64</v>
      </c>
      <c r="F625" s="201">
        <v>0</v>
      </c>
      <c r="G625" s="202">
        <f>VLOOKUP(B625,[4]Cumulative!$A$56:$X$91,11,FALSE)</f>
        <v>0</v>
      </c>
      <c r="H625" s="151">
        <f t="shared" si="122"/>
        <v>0</v>
      </c>
      <c r="I625" s="201" t="s">
        <v>64</v>
      </c>
      <c r="J625" s="202">
        <f>VLOOKUP(B625,[4]Weeks!$A$125:$X$161,11,FALSE)-VLOOKUP(B625,[4]Weeks!$A$165:$X$200,11,FALSE)</f>
        <v>0</v>
      </c>
      <c r="K625" s="202">
        <f>VLOOKUP(B625,[4]Weeks!$A$85:$X$121,11,FALSE)-VLOOKUP(B625,[4]Weeks!$A$125:$X$161,11,FALSE)</f>
        <v>0</v>
      </c>
      <c r="L625" s="202">
        <f>VLOOKUP(B625,[4]Weeks!$A$44:$X$81,11,FALSE)-VLOOKUP(B625,[4]Weeks!$A$85:$X$121,11,FALSE)</f>
        <v>0</v>
      </c>
      <c r="M625" s="202">
        <f>VLOOKUP(B625,[4]Weeks!$A$3:$X$39,11,FALSE)-VLOOKUP(B625,[4]Weeks!$A$44:$X$81,11,FALSE)</f>
        <v>0</v>
      </c>
      <c r="N625" s="11" t="str">
        <f t="shared" si="120"/>
        <v>-</v>
      </c>
      <c r="O625" s="202">
        <f t="shared" si="121"/>
        <v>0</v>
      </c>
      <c r="P625" s="41">
        <f>IF(ISNUMBER(VLOOKUP(B625,[4]CLOSURES!B:BI,10,FALSE)),TEXT(VLOOKUP(B625,[4]CLOSURES!B:BI,10,FALSE),"ddmmm"),IF(F625&lt;=0,0,IF(I625&lt;=0,0,IF(AND(F625&gt;0,O625&lt;=0),"&gt;52",IF(I625/O625&gt;52,"&gt;52", MAX(0,I625/O625-2))))))</f>
        <v>0</v>
      </c>
      <c r="R625" s="153"/>
    </row>
    <row r="626" spans="1:254" s="158" customFormat="1" ht="10.75" customHeight="1" x14ac:dyDescent="0.3">
      <c r="B626" s="40" t="s">
        <v>77</v>
      </c>
      <c r="C626" s="130">
        <f>'[5]Maj Pel Combined'!$L$27</f>
        <v>0</v>
      </c>
      <c r="D626" s="202">
        <f>[4]quotas!K61-[4]quotas!K101</f>
        <v>0</v>
      </c>
      <c r="E626" s="202" t="s">
        <v>64</v>
      </c>
      <c r="F626" s="201">
        <v>0</v>
      </c>
      <c r="G626" s="202">
        <f>VLOOKUP(B626,[4]Cumulative!$A$56:$X$91,11,FALSE)</f>
        <v>0</v>
      </c>
      <c r="H626" s="151">
        <f t="shared" si="122"/>
        <v>0</v>
      </c>
      <c r="I626" s="201" t="s">
        <v>64</v>
      </c>
      <c r="J626" s="202">
        <f>VLOOKUP(B626,[4]Weeks!$A$125:$X$161,11,FALSE)-VLOOKUP(B626,[4]Weeks!$A$165:$X$200,11,FALSE)</f>
        <v>0</v>
      </c>
      <c r="K626" s="202">
        <f>VLOOKUP(B626,[4]Weeks!$A$85:$X$121,11,FALSE)-VLOOKUP(B626,[4]Weeks!$A$125:$X$161,11,FALSE)</f>
        <v>0</v>
      </c>
      <c r="L626" s="202">
        <f>VLOOKUP(B626,[4]Weeks!$A$44:$X$81,11,FALSE)-VLOOKUP(B626,[4]Weeks!$A$85:$X$121,11,FALSE)</f>
        <v>0</v>
      </c>
      <c r="M626" s="202">
        <f>VLOOKUP(B626,[4]Weeks!$A$3:$X$39,11,FALSE)-VLOOKUP(B626,[4]Weeks!$A$44:$X$81,11,FALSE)</f>
        <v>0</v>
      </c>
      <c r="N626" s="11" t="str">
        <f t="shared" si="120"/>
        <v>-</v>
      </c>
      <c r="O626" s="202">
        <f t="shared" si="121"/>
        <v>0</v>
      </c>
      <c r="P626" s="41">
        <f>IF(ISNUMBER(VLOOKUP(B626,[4]CLOSURES!B:BI,10,FALSE)),TEXT(VLOOKUP(B626,[4]CLOSURES!B:BI,10,FALSE),"ddmmm"),IF(F626&lt;=0,0,IF(I626&lt;=0,0,IF(AND(F626&gt;0,O626&lt;=0),"&gt;52",IF(I626/O626&gt;52,"&gt;52", MAX(0,I626/O626-2))))))</f>
        <v>0</v>
      </c>
      <c r="R626" s="153"/>
    </row>
    <row r="627" spans="1:254" s="158" customFormat="1" ht="10.75" customHeight="1" x14ac:dyDescent="0.3">
      <c r="B627" s="40" t="s">
        <v>84</v>
      </c>
      <c r="C627" s="130">
        <f>'[5]Maj Pel Combined'!$L$10</f>
        <v>748.2</v>
      </c>
      <c r="D627" s="202">
        <f>[4]quotas!K68-[4]quotas!K108</f>
        <v>0</v>
      </c>
      <c r="E627" s="202" t="s">
        <v>64</v>
      </c>
      <c r="F627" s="201">
        <v>0</v>
      </c>
      <c r="G627" s="202">
        <f>VLOOKUP(B627,[4]Cumulative!$A$56:$X$91,11,FALSE)</f>
        <v>0</v>
      </c>
      <c r="H627" s="151">
        <f t="shared" si="122"/>
        <v>0</v>
      </c>
      <c r="I627" s="201" t="s">
        <v>64</v>
      </c>
      <c r="J627" s="202">
        <f>VLOOKUP(B627,[4]Weeks!$A$125:$X$161,11,FALSE)-VLOOKUP(B627,[4]Weeks!$A$165:$X$200,11,FALSE)</f>
        <v>0</v>
      </c>
      <c r="K627" s="202">
        <f>VLOOKUP(B627,[4]Weeks!$A$85:$X$121,11,FALSE)-VLOOKUP(B627,[4]Weeks!$A$125:$X$161,11,FALSE)</f>
        <v>0</v>
      </c>
      <c r="L627" s="202">
        <f>VLOOKUP(B627,[4]Weeks!$A$44:$X$81,11,FALSE)-VLOOKUP(B627,[4]Weeks!$A$85:$X$121,11,FALSE)</f>
        <v>0</v>
      </c>
      <c r="M627" s="202">
        <f>VLOOKUP(B627,[4]Weeks!$A$3:$X$39,11,FALSE)-VLOOKUP(B627,[4]Weeks!$A$44:$X$81,11,FALSE)</f>
        <v>0</v>
      </c>
      <c r="N627" s="11">
        <f t="shared" si="120"/>
        <v>0</v>
      </c>
      <c r="O627" s="202">
        <f t="shared" si="121"/>
        <v>0</v>
      </c>
      <c r="P627" s="41">
        <f>IF(ISNUMBER(VLOOKUP(B627,[4]CLOSURES!B:BI,10,FALSE)),TEXT(VLOOKUP(B627,[4]CLOSURES!B:BI,10,FALSE),"ddmmm"),IF(F627&lt;=0,0,IF(I627&lt;=0,0,IF(AND(F627&gt;0,O627&lt;=0),"&gt;52",IF(I627/O627&gt;52,"&gt;52", MAX(0,I627/O627-2))))))</f>
        <v>0</v>
      </c>
      <c r="R627" s="153"/>
    </row>
    <row r="628" spans="1:254" s="158" customFormat="1" ht="10.75" customHeight="1" x14ac:dyDescent="0.3">
      <c r="B628" s="171" t="s">
        <v>91</v>
      </c>
      <c r="C628" s="133">
        <f>C623+SUM(C625:C627)</f>
        <v>12080.5</v>
      </c>
      <c r="D628" s="131">
        <f>D623+SUM(D625:D627)</f>
        <v>0</v>
      </c>
      <c r="E628" s="131">
        <f>E623+SUM(E625:E627)</f>
        <v>0</v>
      </c>
      <c r="F628" s="132">
        <f>F623+SUM(F625:F627)</f>
        <v>0</v>
      </c>
      <c r="G628" s="131">
        <f>G623+SUM(G625:G627)</f>
        <v>0</v>
      </c>
      <c r="H628" s="156">
        <f t="shared" si="122"/>
        <v>0</v>
      </c>
      <c r="I628" s="132" t="s">
        <v>64</v>
      </c>
      <c r="J628" s="131">
        <f>J623+SUM(J625:J627)</f>
        <v>0</v>
      </c>
      <c r="K628" s="131">
        <f>K623+SUM(K625:K627)</f>
        <v>0</v>
      </c>
      <c r="L628" s="131">
        <f>L623+SUM(L625:L627)</f>
        <v>0</v>
      </c>
      <c r="M628" s="131">
        <f>M623+SUM(M625:M627)</f>
        <v>0</v>
      </c>
      <c r="N628" s="53">
        <f t="shared" si="120"/>
        <v>0</v>
      </c>
      <c r="O628" s="131">
        <f t="shared" si="121"/>
        <v>0</v>
      </c>
      <c r="P628" s="49">
        <f>IF(ISNUMBER(VLOOKUP(B628,[4]CLOSURES!B:BI,10,FALSE)),TEXT(VLOOKUP(B628,[4]CLOSURES!B:BI,10,FALSE),"ddmmm"),IF(F628&lt;=0,0,IF(I628&lt;=0,0,IF(AND(F628&gt;0,O628&lt;=0),"&gt;52",IF(I628/O628&gt;52,"&gt;52", MAX(0,I628/O628-2))))))</f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f>$J7</f>
        <v>44895</v>
      </c>
      <c r="K633" s="33">
        <f>$K7</f>
        <v>44902</v>
      </c>
      <c r="L633" s="33">
        <f>$L7</f>
        <v>44909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f>'[5]Maj Pel Combined'!$M$23</f>
        <v>0</v>
      </c>
      <c r="D636" s="200">
        <f>F636-VLOOKUP(B636,[4]quotas!$B$85:$W$120,11,FALSE)</f>
        <v>0</v>
      </c>
      <c r="E636" s="200">
        <f>F636-C636</f>
        <v>0</v>
      </c>
      <c r="F636" s="201">
        <f>VLOOKUP(B636,[4]quotas!$B$46:$W$84,11,FALSE)</f>
        <v>0</v>
      </c>
      <c r="G636" s="202">
        <f>VLOOKUP(B636,[4]Cumulative!$A$56:$X$91,12,FALSE)</f>
        <v>0</v>
      </c>
      <c r="H636" s="151">
        <f>IF(AND(F636=0,G636&gt;0),"n/a",IF(F636=0,0,100*G636/F636))</f>
        <v>0</v>
      </c>
      <c r="I636" s="201">
        <f t="shared" ref="I636:I648" si="123">IF(F636="*","*",F636-G636)</f>
        <v>0</v>
      </c>
      <c r="J636" s="202">
        <f>VLOOKUP(B636,[4]Weeks!$A$125:$X$161,12,FALSE)-VLOOKUP(B636,[4]Weeks!$A$165:$X$200,12,FALSE)
+VLOOKUP(B636,[4]Weeks!$A$125:$X$161,12,FALSE)-VLOOKUP(B636,[4]Weeks!$A$165:$X$200,12,FALSE)</f>
        <v>0</v>
      </c>
      <c r="K636" s="202">
        <f>VLOOKUP(B636,[4]Weeks!$A$85:$X$121,12,FALSE)-VLOOKUP(B636,[4]Weeks!$A$125:$X$161,12,FALSE)
+VLOOKUP(B636,[4]Weeks!$A$85:$X$121,12,FALSE)-VLOOKUP(B636,[4]Weeks!$A$125:$X$161,12,FALSE)</f>
        <v>0</v>
      </c>
      <c r="L636" s="202">
        <f>VLOOKUP(B636,[4]Weeks!$A$44:$X$81,12,FALSE)-VLOOKUP(B636,[4]Weeks!$A$85:$X$121,12,FALSE)</f>
        <v>0</v>
      </c>
      <c r="M636" s="202">
        <f>VLOOKUP(B636,[4]Weeks!$A$3:$X$39,12,FALSE)-VLOOKUP(B636,[4]Weeks!$A$44:$X$81,12,FALSE)</f>
        <v>0</v>
      </c>
      <c r="N636" s="11" t="str">
        <f t="shared" ref="N636:N648" si="124">IF(C636="*","*",IF(C636&gt;0,M636/C636*100,"-"))</f>
        <v>-</v>
      </c>
      <c r="O636" s="202">
        <f t="shared" ref="O636:O648" si="125">IF(C636="*","*",SUM(J636:M636)/4)</f>
        <v>0</v>
      </c>
      <c r="P636" s="41">
        <f>IF(ISNUMBER(VLOOKUP(B636,[4]CLOSURES!B:BI,11,FALSE)),TEXT(VLOOKUP(B636,[4]CLOSURES!B:BI,11,FALSE),"ddmmm"),IF(F636&lt;=0,0,IF(I636&lt;=0,0,IF(AND(F636&gt;0,O636&lt;=0),"&gt;52",IF(I636/O636&gt;52,"&gt;52", MAX(0,I636/O636-2))))))</f>
        <v>0</v>
      </c>
      <c r="Q636" s="158"/>
    </row>
    <row r="637" spans="1:254" ht="10.75" customHeight="1" x14ac:dyDescent="0.3">
      <c r="A637" s="158"/>
      <c r="B637" s="40" t="s">
        <v>65</v>
      </c>
      <c r="C637" s="130">
        <f>'[5]Maj Pel Combined'!$M$20</f>
        <v>0</v>
      </c>
      <c r="D637" s="200">
        <f>F637-VLOOKUP(B637,[4]quotas!$B$85:$W$120,11,FALSE)</f>
        <v>0</v>
      </c>
      <c r="E637" s="200">
        <f>F637-C637</f>
        <v>0</v>
      </c>
      <c r="F637" s="201">
        <f>VLOOKUP(B637,[4]quotas!$B$46:$W$84,11,FALSE)</f>
        <v>0</v>
      </c>
      <c r="G637" s="202">
        <f>VLOOKUP(B637,[4]Cumulative!$A$56:$X$91,12,FALSE)</f>
        <v>0</v>
      </c>
      <c r="H637" s="151">
        <f t="shared" ref="H637:H648" si="126">IF(AND(F637=0,G637&gt;0),"n/a",IF(F637=0,0,100*G637/F637))</f>
        <v>0</v>
      </c>
      <c r="I637" s="201">
        <f t="shared" si="123"/>
        <v>0</v>
      </c>
      <c r="J637" s="202">
        <f>VLOOKUP(B637,[4]Weeks!$A$125:$X$161,12,FALSE)-VLOOKUP(B637,[4]Weeks!$A$165:$X$200,12,FALSE)
+VLOOKUP(B637,[4]Weeks!$A$125:$X$161,12,FALSE)-VLOOKUP(B637,[4]Weeks!$A$165:$X$200,12,FALSE)</f>
        <v>0</v>
      </c>
      <c r="K637" s="202">
        <f>VLOOKUP(B637,[4]Weeks!$A$85:$X$121,12,FALSE)-VLOOKUP(B637,[4]Weeks!$A$125:$X$161,12,FALSE)
+VLOOKUP(B637,[4]Weeks!$A$85:$X$121,12,FALSE)-VLOOKUP(B637,[4]Weeks!$A$125:$X$161,12,FALSE)</f>
        <v>0</v>
      </c>
      <c r="L637" s="202">
        <f>VLOOKUP(B637,[4]Weeks!$A$44:$X$81,12,FALSE)-VLOOKUP(B637,[4]Weeks!$A$85:$X$121,12,FALSE)</f>
        <v>0</v>
      </c>
      <c r="M637" s="202">
        <f>VLOOKUP(B637,[4]Weeks!$A$3:$X$39,12,FALSE)-VLOOKUP(B637,[4]Weeks!$A$44:$X$81,12,FALSE)</f>
        <v>0</v>
      </c>
      <c r="N637" s="11" t="str">
        <f t="shared" si="124"/>
        <v>-</v>
      </c>
      <c r="O637" s="202">
        <f t="shared" si="125"/>
        <v>0</v>
      </c>
      <c r="P637" s="41">
        <f>IF(ISNUMBER(VLOOKUP(B637,[4]CLOSURES!B:BI,11,FALSE)),TEXT(VLOOKUP(B637,[4]CLOSURES!B:BI,11,FALSE),"ddmmm"),IF(F637&lt;=0,0,IF(I637&lt;=0,0,IF(AND(F637&gt;0,O637&lt;=0),"&gt;52",IF(I637/O637&gt;52,"&gt;52", MAX(0,I637/O637-2))))))</f>
        <v>0</v>
      </c>
      <c r="Q637" s="158"/>
    </row>
    <row r="638" spans="1:254" ht="10.75" customHeight="1" x14ac:dyDescent="0.3">
      <c r="B638" s="40" t="s">
        <v>66</v>
      </c>
      <c r="C638" s="130">
        <f>'[5]Maj Pel Combined'!$M$24</f>
        <v>0</v>
      </c>
      <c r="D638" s="200">
        <f>F638-VLOOKUP(B638,[4]quotas!$B$85:$W$120,11,FALSE)</f>
        <v>0</v>
      </c>
      <c r="E638" s="200">
        <f>F638-C638</f>
        <v>0</v>
      </c>
      <c r="F638" s="201">
        <f>VLOOKUP(B638,[4]quotas!$B$46:$W$84,11,FALSE)</f>
        <v>0</v>
      </c>
      <c r="G638" s="202">
        <f>VLOOKUP(B638,[4]Cumulative!$A$56:$X$91,12,FALSE)</f>
        <v>0</v>
      </c>
      <c r="H638" s="151">
        <f t="shared" si="126"/>
        <v>0</v>
      </c>
      <c r="I638" s="201">
        <f t="shared" si="123"/>
        <v>0</v>
      </c>
      <c r="J638" s="202">
        <f>VLOOKUP(B638,[4]Weeks!$A$125:$X$161,12,FALSE)-VLOOKUP(B638,[4]Weeks!$A$165:$X$200,12,FALSE)
+VLOOKUP(B638,[4]Weeks!$A$125:$X$161,12,FALSE)-VLOOKUP(B638,[4]Weeks!$A$165:$X$200,12,FALSE)</f>
        <v>0</v>
      </c>
      <c r="K638" s="202">
        <f>VLOOKUP(B638,[4]Weeks!$A$85:$X$121,12,FALSE)-VLOOKUP(B638,[4]Weeks!$A$125:$X$161,12,FALSE)
+VLOOKUP(B638,[4]Weeks!$A$85:$X$121,12,FALSE)-VLOOKUP(B638,[4]Weeks!$A$125:$X$161,12,FALSE)</f>
        <v>0</v>
      </c>
      <c r="L638" s="202">
        <f>VLOOKUP(B638,[4]Weeks!$A$44:$X$81,12,FALSE)-VLOOKUP(B638,[4]Weeks!$A$85:$X$121,12,FALSE)</f>
        <v>0</v>
      </c>
      <c r="M638" s="202">
        <f>VLOOKUP(B638,[4]Weeks!$A$3:$X$39,12,FALSE)-VLOOKUP(B638,[4]Weeks!$A$44:$X$81,12,FALSE)</f>
        <v>0</v>
      </c>
      <c r="N638" s="11" t="str">
        <f t="shared" si="124"/>
        <v>-</v>
      </c>
      <c r="O638" s="202">
        <f t="shared" si="125"/>
        <v>0</v>
      </c>
      <c r="P638" s="41">
        <f>IF(ISNUMBER(VLOOKUP(B638,[4]CLOSURES!B:BI,11,FALSE)),TEXT(VLOOKUP(B638,[4]CLOSURES!B:BI,11,FALSE),"ddmmm"),IF(F638&lt;=0,0,IF(I638&lt;=0,0,IF(AND(F638&gt;0,O638&lt;=0),"&gt;52",IF(I638/O638&gt;52,"&gt;52", MAX(0,I638/O638-2))))))</f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f>'[5]Maj Pel Combined'!$M$18</f>
        <v>0</v>
      </c>
      <c r="D639" s="200">
        <f>F639-VLOOKUP(B639,[4]quotas!$B$85:$W$120,11,FALSE)</f>
        <v>0</v>
      </c>
      <c r="E639" s="200">
        <f>F639-C639</f>
        <v>0</v>
      </c>
      <c r="F639" s="201">
        <f>VLOOKUP(B639,[4]quotas!$B$46:$W$84,11,FALSE)</f>
        <v>0</v>
      </c>
      <c r="G639" s="202">
        <f>VLOOKUP(B639,[4]Cumulative!$A$56:$X$91,12,FALSE)</f>
        <v>0</v>
      </c>
      <c r="H639" s="151">
        <f t="shared" si="126"/>
        <v>0</v>
      </c>
      <c r="I639" s="201">
        <f t="shared" si="123"/>
        <v>0</v>
      </c>
      <c r="J639" s="202">
        <f>VLOOKUP(B639,[4]Weeks!$A$125:$X$161,12,FALSE)-VLOOKUP(B639,[4]Weeks!$A$165:$X$200,12,FALSE)
+VLOOKUP(B639,[4]Weeks!$A$125:$X$161,12,FALSE)-VLOOKUP(B639,[4]Weeks!$A$165:$X$200,12,FALSE)</f>
        <v>0</v>
      </c>
      <c r="K639" s="202">
        <f>VLOOKUP(B639,[4]Weeks!$A$85:$X$121,12,FALSE)-VLOOKUP(B639,[4]Weeks!$A$125:$X$161,12,FALSE)
+VLOOKUP(B639,[4]Weeks!$A$85:$X$121,12,FALSE)-VLOOKUP(B639,[4]Weeks!$A$125:$X$161,12,FALSE)</f>
        <v>0</v>
      </c>
      <c r="L639" s="202">
        <f>VLOOKUP(B639,[4]Weeks!$A$44:$X$81,12,FALSE)-VLOOKUP(B639,[4]Weeks!$A$85:$X$121,12,FALSE)</f>
        <v>0</v>
      </c>
      <c r="M639" s="202">
        <f>VLOOKUP(B639,[4]Weeks!$A$3:$X$39,12,FALSE)-VLOOKUP(B639,[4]Weeks!$A$44:$X$81,12,FALSE)</f>
        <v>0</v>
      </c>
      <c r="N639" s="11" t="str">
        <f t="shared" si="124"/>
        <v>-</v>
      </c>
      <c r="O639" s="202">
        <f t="shared" si="125"/>
        <v>0</v>
      </c>
      <c r="P639" s="41">
        <f>IF(ISNUMBER(VLOOKUP(B639,[4]CLOSURES!B:BI,11,FALSE)),TEXT(VLOOKUP(B639,[4]CLOSURES!B:BI,11,FALSE),"ddmmm"),IF(F639&lt;=0,0,IF(I639&lt;=0,0,IF(AND(F639&gt;0,O639&lt;=0),"&gt;52",IF(I639/O639&gt;52,"&gt;52", MAX(0,I639/O639-2))))))</f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f>'[5]Maj Pel Combined'!$M$19</f>
        <v>0</v>
      </c>
      <c r="D640" s="200">
        <f>F640-VLOOKUP(B640,[4]quotas!$B$85:$W$120,11,FALSE)</f>
        <v>0</v>
      </c>
      <c r="E640" s="200">
        <f>F640-C640</f>
        <v>0</v>
      </c>
      <c r="F640" s="201">
        <f>VLOOKUP(B640,[4]quotas!$B$46:$W$84,11,FALSE)</f>
        <v>0</v>
      </c>
      <c r="G640" s="202">
        <f>VLOOKUP(B640,[4]Cumulative!$A$56:$X$91,12,FALSE)</f>
        <v>0</v>
      </c>
      <c r="H640" s="151">
        <f t="shared" si="126"/>
        <v>0</v>
      </c>
      <c r="I640" s="201">
        <f t="shared" si="123"/>
        <v>0</v>
      </c>
      <c r="J640" s="202">
        <f>VLOOKUP(B640,[4]Weeks!$A$125:$X$161,12,FALSE)-VLOOKUP(B640,[4]Weeks!$A$165:$X$200,12,FALSE)
+VLOOKUP(B640,[4]Weeks!$A$125:$X$161,12,FALSE)-VLOOKUP(B640,[4]Weeks!$A$165:$X$200,12,FALSE)</f>
        <v>0</v>
      </c>
      <c r="K640" s="202">
        <f>VLOOKUP(B640,[4]Weeks!$A$85:$X$121,12,FALSE)-VLOOKUP(B640,[4]Weeks!$A$125:$X$161,12,FALSE)
+VLOOKUP(B640,[4]Weeks!$A$85:$X$121,12,FALSE)-VLOOKUP(B640,[4]Weeks!$A$125:$X$161,12,FALSE)</f>
        <v>0</v>
      </c>
      <c r="L640" s="202">
        <f>VLOOKUP(B640,[4]Weeks!$A$44:$X$81,12,FALSE)-VLOOKUP(B640,[4]Weeks!$A$85:$X$121,12,FALSE)</f>
        <v>0</v>
      </c>
      <c r="M640" s="202">
        <f>VLOOKUP(B640,[4]Weeks!$A$3:$X$39,12,FALSE)-VLOOKUP(B640,[4]Weeks!$A$44:$X$81,12,FALSE)</f>
        <v>0</v>
      </c>
      <c r="N640" s="11" t="str">
        <f t="shared" si="124"/>
        <v>-</v>
      </c>
      <c r="O640" s="202">
        <f t="shared" si="125"/>
        <v>0</v>
      </c>
      <c r="P640" s="41">
        <f>IF(ISNUMBER(VLOOKUP(B640,[4]CLOSURES!B:BI,11,FALSE)),TEXT(VLOOKUP(B640,[4]CLOSURES!B:BI,11,FALSE),"ddmmm"),IF(F640&lt;=0,0,IF(I640&lt;=0,0,IF(AND(F640&gt;0,O640&lt;=0),"&gt;52",IF(I640/O640&gt;52,"&gt;52", MAX(0,I640/O640-2))))))</f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f>SUM(C636:C641)</f>
        <v>0</v>
      </c>
      <c r="D642" s="200">
        <f>SUM(D636:D641)</f>
        <v>0</v>
      </c>
      <c r="E642" s="200">
        <f>SUM(E636:E641)</f>
        <v>0</v>
      </c>
      <c r="F642" s="201">
        <f>SUM(F636:F641)</f>
        <v>0</v>
      </c>
      <c r="G642" s="202">
        <f>SUM(G636:G641)</f>
        <v>0</v>
      </c>
      <c r="H642" s="151">
        <f t="shared" si="126"/>
        <v>0</v>
      </c>
      <c r="I642" s="201">
        <f t="shared" si="123"/>
        <v>0</v>
      </c>
      <c r="J642" s="202">
        <f>SUM(J636:J641)</f>
        <v>0</v>
      </c>
      <c r="K642" s="202">
        <f>SUM(K636:K641)</f>
        <v>0</v>
      </c>
      <c r="L642" s="202">
        <f>SUM(L636:L641)</f>
        <v>0</v>
      </c>
      <c r="M642" s="202">
        <f>SUM(M636:M641)</f>
        <v>0</v>
      </c>
      <c r="N642" s="11" t="str">
        <f>IF(C642="*","*",IF(C642&gt;0,M642/C642*100,"-"))</f>
        <v>-</v>
      </c>
      <c r="O642" s="202">
        <f>IF(C642="*","*",SUM(J642:M642)/4)</f>
        <v>0</v>
      </c>
      <c r="P642" s="41">
        <f>IF(ISNUMBER(VLOOKUP(B642,[4]CLOSURES!B:BI,11,FALSE)),TEXT(VLOOKUP(B642,[4]CLOSURES!B:BI,11,FALSE),"ddmmm"),IF(F642&lt;=0,0,IF(I642&lt;=0,0,IF(AND(F642&gt;0,O642&lt;=0),"&gt;52",IF(I642/O642&gt;52,"&gt;52", MAX(0,I642/O642-2))))))</f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f>'[5]Maj Pel Combined'!$M$9</f>
        <v>0</v>
      </c>
      <c r="D644" s="200">
        <f>F644-VLOOKUP(B644,[4]quotas!$B$85:$W$120,11,FALSE)</f>
        <v>0</v>
      </c>
      <c r="E644" s="200">
        <f>F644-C644</f>
        <v>0</v>
      </c>
      <c r="F644" s="201">
        <f>VLOOKUP(B644,[4]quotas!$B$46:$W$84,11,FALSE)</f>
        <v>0</v>
      </c>
      <c r="G644" s="202">
        <f>VLOOKUP(B644,[4]Cumulative!$A$56:$X$91,12,FALSE)</f>
        <v>0</v>
      </c>
      <c r="H644" s="151">
        <f t="shared" si="126"/>
        <v>0</v>
      </c>
      <c r="I644" s="201">
        <f t="shared" si="123"/>
        <v>0</v>
      </c>
      <c r="J644" s="202">
        <f>VLOOKUP(B644,[4]Weeks!$A$125:$X$161,12,FALSE)-VLOOKUP(B644,[4]Weeks!$A$165:$X$200,12,FALSE)
+VLOOKUP(B644,[4]Weeks!$A$125:$X$161,12,FALSE)-VLOOKUP(B644,[4]Weeks!$A$165:$X$200,12,FALSE)</f>
        <v>0</v>
      </c>
      <c r="K644" s="202">
        <f>VLOOKUP(B644,[4]Weeks!$A$85:$X$121,12,FALSE)-VLOOKUP(B644,[4]Weeks!$A$125:$X$161,12,FALSE)
+VLOOKUP(B644,[4]Weeks!$A$85:$X$121,12,FALSE)-VLOOKUP(B644,[4]Weeks!$A$125:$X$161,12,FALSE)</f>
        <v>0</v>
      </c>
      <c r="L644" s="202">
        <f>VLOOKUP(B644,[4]Weeks!$A$44:$X$81,12,FALSE)-VLOOKUP(B644,[4]Weeks!$A$85:$X$121,12,FALSE)</f>
        <v>0</v>
      </c>
      <c r="M644" s="202">
        <f>VLOOKUP(B644,[4]Weeks!$A$3:$X$39,12,FALSE)-VLOOKUP(B644,[4]Weeks!$A$44:$X$81,12,FALSE)</f>
        <v>0</v>
      </c>
      <c r="N644" s="11" t="str">
        <f t="shared" si="124"/>
        <v>-</v>
      </c>
      <c r="O644" s="202">
        <f t="shared" si="125"/>
        <v>0</v>
      </c>
      <c r="P644" s="41">
        <f>IF(ISNUMBER(VLOOKUP(B644,[4]CLOSURES!B:BI,11,FALSE)),TEXT(VLOOKUP(B644,[4]CLOSURES!B:BI,11,FALSE),"ddmmm"),IF(F644&lt;=0,0,IF(I644&lt;=0,0,IF(AND(F644&gt;0,O644&lt;=0),"&gt;52",IF(I644/O644&gt;52,"&gt;52", MAX(0,I644/O644-2))))))</f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f>'[5]Maj Pel Combined'!$M$27</f>
        <v>0</v>
      </c>
      <c r="D645" s="200">
        <f>F645-VLOOKUP(B645,[4]quotas!$B$85:$W$120,11,FALSE)</f>
        <v>0</v>
      </c>
      <c r="E645" s="200">
        <f>F645-C645</f>
        <v>0</v>
      </c>
      <c r="F645" s="201">
        <f>VLOOKUP(B645,[4]quotas!$B$46:$W$84,11,FALSE)</f>
        <v>0</v>
      </c>
      <c r="G645" s="202">
        <f>VLOOKUP(B645,[4]Cumulative!$A$56:$X$91,12,FALSE)</f>
        <v>0</v>
      </c>
      <c r="H645" s="151">
        <f t="shared" si="126"/>
        <v>0</v>
      </c>
      <c r="I645" s="201">
        <f t="shared" si="123"/>
        <v>0</v>
      </c>
      <c r="J645" s="202">
        <f>VLOOKUP(B645,[4]Weeks!$A$125:$X$161,12,FALSE)-VLOOKUP(B645,[4]Weeks!$A$165:$X$200,12,FALSE)
+VLOOKUP(B645,[4]Weeks!$A$125:$X$161,12,FALSE)-VLOOKUP(B645,[4]Weeks!$A$165:$X$200,12,FALSE)</f>
        <v>0</v>
      </c>
      <c r="K645" s="202">
        <f>VLOOKUP(B645,[4]Weeks!$A$85:$X$121,12,FALSE)-VLOOKUP(B645,[4]Weeks!$A$125:$X$161,12,FALSE)
+VLOOKUP(B645,[4]Weeks!$A$85:$X$121,12,FALSE)-VLOOKUP(B645,[4]Weeks!$A$125:$X$161,12,FALSE)</f>
        <v>0</v>
      </c>
      <c r="L645" s="202">
        <f>VLOOKUP(B645,[4]Weeks!$A$44:$X$81,12,FALSE)-VLOOKUP(B645,[4]Weeks!$A$85:$X$121,12,FALSE)</f>
        <v>0</v>
      </c>
      <c r="M645" s="202">
        <f>VLOOKUP(B645,[4]Weeks!$A$3:$X$39,12,FALSE)-VLOOKUP(B645,[4]Weeks!$A$44:$X$81,12,FALSE)</f>
        <v>0</v>
      </c>
      <c r="N645" s="11" t="str">
        <f t="shared" si="124"/>
        <v>-</v>
      </c>
      <c r="O645" s="202">
        <f t="shared" si="125"/>
        <v>0</v>
      </c>
      <c r="P645" s="41">
        <f>IF(ISNUMBER(VLOOKUP(B645,[4]CLOSURES!B:BI,11,FALSE)),TEXT(VLOOKUP(B645,[4]CLOSURES!B:BI,11,FALSE),"ddmmm"),IF(F645&lt;=0,0,IF(I645&lt;=0,0,IF(AND(F645&gt;0,O645&lt;=0),"&gt;52",IF(I645/O645&gt;52,"&gt;52", MAX(0,I645/O645-2))))))</f>
        <v>0</v>
      </c>
      <c r="Q645" s="158"/>
    </row>
    <row r="646" spans="1:254" ht="10.75" customHeight="1" x14ac:dyDescent="0.3">
      <c r="A646" s="158"/>
      <c r="B646" s="40" t="s">
        <v>78</v>
      </c>
      <c r="C646" s="130">
        <f>'[5]Maj Pel Combined'!$M$26</f>
        <v>0</v>
      </c>
      <c r="D646" s="200">
        <f>F646-VLOOKUP(B646,[4]quotas!$B$85:$W$120,11,FALSE)</f>
        <v>0</v>
      </c>
      <c r="E646" s="200">
        <f>F646-C646</f>
        <v>0</v>
      </c>
      <c r="F646" s="201">
        <f>VLOOKUP(B646,[4]quotas!$B$46:$W$84,11,FALSE)</f>
        <v>0</v>
      </c>
      <c r="G646" s="202">
        <f>VLOOKUP(B646,[4]Cumulative!$A$56:$X$91,12,FALSE)</f>
        <v>0</v>
      </c>
      <c r="H646" s="151">
        <f t="shared" si="126"/>
        <v>0</v>
      </c>
      <c r="I646" s="201">
        <f t="shared" si="123"/>
        <v>0</v>
      </c>
      <c r="J646" s="202">
        <f>VLOOKUP(B646,[4]Weeks!$A$125:$X$161,12,FALSE)-VLOOKUP(B646,[4]Weeks!$A$165:$X$200,12,FALSE)
+VLOOKUP(B646,[4]Weeks!$A$125:$X$161,12,FALSE)-VLOOKUP(B646,[4]Weeks!$A$165:$X$200,12,FALSE)</f>
        <v>0</v>
      </c>
      <c r="K646" s="202">
        <f>VLOOKUP(B646,[4]Weeks!$A$85:$X$121,12,FALSE)-VLOOKUP(B646,[4]Weeks!$A$125:$X$161,12,FALSE)
+VLOOKUP(B646,[4]Weeks!$A$85:$X$121,12,FALSE)-VLOOKUP(B646,[4]Weeks!$A$125:$X$161,12,FALSE)</f>
        <v>0</v>
      </c>
      <c r="L646" s="202">
        <f>VLOOKUP(B646,[4]Weeks!$A$44:$X$81,12,FALSE)-VLOOKUP(B646,[4]Weeks!$A$85:$X$121,12,FALSE)</f>
        <v>0</v>
      </c>
      <c r="M646" s="202">
        <f>VLOOKUP(B646,[4]Weeks!$A$3:$X$39,12,FALSE)-VLOOKUP(B646,[4]Weeks!$A$44:$X$81,12,FALSE)</f>
        <v>0</v>
      </c>
      <c r="N646" s="11" t="str">
        <f t="shared" si="124"/>
        <v>-</v>
      </c>
      <c r="O646" s="202">
        <f t="shared" si="125"/>
        <v>0</v>
      </c>
      <c r="P646" s="41">
        <f>IF(ISNUMBER(VLOOKUP(B646,[4]CLOSURES!B:BI,11,FALSE)),TEXT(VLOOKUP(B646,[4]CLOSURES!B:BI,11,FALSE),"ddmmm"),IF(F646&lt;=0,0,IF(I646&lt;=0,0,IF(AND(F646&gt;0,O646&lt;=0),"&gt;52",IF(I646/O646&gt;52,"&gt;52", MAX(0,I646/O646-2))))))</f>
        <v>0</v>
      </c>
      <c r="Q646" s="158"/>
    </row>
    <row r="647" spans="1:254" ht="10.75" customHeight="1" x14ac:dyDescent="0.3">
      <c r="A647" s="158"/>
      <c r="B647" s="40" t="s">
        <v>84</v>
      </c>
      <c r="C647" s="130">
        <f>'[5]Maj Pel Combined'!$M$10</f>
        <v>0</v>
      </c>
      <c r="D647" s="200">
        <f>F647-VLOOKUP(B647,[4]quotas!$B$85:$W$120,11,FALSE)</f>
        <v>0</v>
      </c>
      <c r="E647" s="200">
        <f>F647-C647</f>
        <v>0</v>
      </c>
      <c r="F647" s="201">
        <f>VLOOKUP(B647,[4]quotas!$B$46:$W$84,11,FALSE)</f>
        <v>0</v>
      </c>
      <c r="G647" s="202">
        <f>VLOOKUP(B647,[4]Cumulative!$A$56:$X$91,12,FALSE)</f>
        <v>0</v>
      </c>
      <c r="H647" s="151">
        <f t="shared" si="126"/>
        <v>0</v>
      </c>
      <c r="I647" s="201">
        <f t="shared" si="123"/>
        <v>0</v>
      </c>
      <c r="J647" s="202">
        <f>VLOOKUP(B647,[4]Weeks!$A$125:$X$161,12,FALSE)-VLOOKUP(B647,[4]Weeks!$A$165:$X$200,12,FALSE)
+VLOOKUP(B647,[4]Weeks!$A$125:$X$161,12,FALSE)-VLOOKUP(B647,[4]Weeks!$A$165:$X$200,12,FALSE)</f>
        <v>0</v>
      </c>
      <c r="K647" s="202">
        <f>VLOOKUP(B647,[4]Weeks!$A$85:$X$121,12,FALSE)-VLOOKUP(B647,[4]Weeks!$A$125:$X$161,12,FALSE)
+VLOOKUP(B647,[4]Weeks!$A$85:$X$121,12,FALSE)-VLOOKUP(B647,[4]Weeks!$A$125:$X$161,12,FALSE)</f>
        <v>0</v>
      </c>
      <c r="L647" s="202">
        <f>VLOOKUP(B647,[4]Weeks!$A$44:$X$81,12,FALSE)-VLOOKUP(B647,[4]Weeks!$A$85:$X$121,12,FALSE)</f>
        <v>0</v>
      </c>
      <c r="M647" s="202">
        <f>VLOOKUP(B647,[4]Weeks!$A$3:$X$39,12,FALSE)-VLOOKUP(B647,[4]Weeks!$A$44:$X$81,12,FALSE)</f>
        <v>0</v>
      </c>
      <c r="N647" s="11" t="str">
        <f t="shared" si="124"/>
        <v>-</v>
      </c>
      <c r="O647" s="202">
        <f t="shared" si="125"/>
        <v>0</v>
      </c>
      <c r="P647" s="41">
        <f>IF(ISNUMBER(VLOOKUP(B647,[4]CLOSURES!B:BI,11,FALSE)),TEXT(VLOOKUP(B647,[4]CLOSURES!B:BI,11,FALSE),"ddmmm"),IF(F647&lt;=0,0,IF(I647&lt;=0,0,IF(AND(F647&gt;0,O647&lt;=0),"&gt;52",IF(I647/O647&gt;52,"&gt;52", MAX(0,I647/O647-2))))))</f>
        <v>0</v>
      </c>
      <c r="Q647" s="158"/>
    </row>
    <row r="648" spans="1:254" ht="10.75" customHeight="1" x14ac:dyDescent="0.3">
      <c r="A648" s="158"/>
      <c r="B648" s="171" t="s">
        <v>91</v>
      </c>
      <c r="C648" s="133">
        <f>C642+SUM(C644:C647)</f>
        <v>0</v>
      </c>
      <c r="D648" s="135">
        <f>F648-VLOOKUP(B648,[4]quotas!$B$85:$W$120,11,FALSE)</f>
        <v>0</v>
      </c>
      <c r="E648" s="131">
        <f>E642+SUM(E644:E646)</f>
        <v>0</v>
      </c>
      <c r="F648" s="132">
        <f>[4]quotas!L79</f>
        <v>0</v>
      </c>
      <c r="G648" s="131">
        <f>G642+SUM(G644:G647)</f>
        <v>0</v>
      </c>
      <c r="H648" s="156">
        <f t="shared" si="126"/>
        <v>0</v>
      </c>
      <c r="I648" s="132">
        <f t="shared" si="123"/>
        <v>0</v>
      </c>
      <c r="J648" s="131">
        <f>J642+SUM(J644:J647)</f>
        <v>0</v>
      </c>
      <c r="K648" s="131">
        <f>K642+SUM(K644:K647)</f>
        <v>0</v>
      </c>
      <c r="L648" s="131">
        <f>L642+SUM(L644:L647)</f>
        <v>0</v>
      </c>
      <c r="M648" s="131">
        <f>M642+SUM(M644:M647)</f>
        <v>0</v>
      </c>
      <c r="N648" s="53" t="str">
        <f t="shared" si="124"/>
        <v>-</v>
      </c>
      <c r="O648" s="131">
        <f t="shared" si="125"/>
        <v>0</v>
      </c>
      <c r="P648" s="49">
        <f>IF(ISNUMBER(VLOOKUP(B648,[4]CLOSURES!B:BI,11,FALSE)),TEXT(VLOOKUP(B648,[4]CLOSURES!B:BI,11,FALSE),"ddmmm"),IF(F648&lt;=0,0,IF(I648&lt;=0,0,IF(AND(F648&gt;0,O648&lt;=0),"&gt;52",IF(I648/O648&gt;52,"&gt;52", MAX(0,I648/O648-2))))))</f>
        <v>0</v>
      </c>
      <c r="Q648" s="158"/>
    </row>
    <row r="649" spans="1:254" ht="13" x14ac:dyDescent="0.3">
      <c r="A649" s="158"/>
      <c r="B649" s="163" t="str">
        <f>B83</f>
        <v>Number of Weeks to end of year is 2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f>J7</f>
        <v>44895</v>
      </c>
      <c r="K655" s="33">
        <f>K7</f>
        <v>44902</v>
      </c>
      <c r="L655" s="33">
        <f>L7</f>
        <v>44909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f>'[5]Maj Pel Combined'!$P$23</f>
        <v>0</v>
      </c>
      <c r="D658" s="200">
        <f>F658-VLOOKUP(B658,[4]quotas!$B$85:$AF$120,24,FALSE)</f>
        <v>0</v>
      </c>
      <c r="E658" s="200">
        <f>F658-C658</f>
        <v>0</v>
      </c>
      <c r="F658" s="201">
        <f>VLOOKUP(B658,[4]quotas!$B$46:$AF$84,24,FALSE)</f>
        <v>0</v>
      </c>
      <c r="G658" s="202">
        <f>VLOOKUP(B658,[4]Cumulative!$A$56:$AZ$91,25,FALSE)</f>
        <v>0</v>
      </c>
      <c r="H658" s="151">
        <f>IF(AND(F658=0,G658&gt;0),"n/a",IF(F658=0,0,100*G658/F658))</f>
        <v>0</v>
      </c>
      <c r="I658" s="201">
        <f>IF(F658="*","*",F658-G658)</f>
        <v>0</v>
      </c>
      <c r="J658" s="202">
        <f>VLOOKUP(B658,[4]Weeks!$A$125:$AE$161,25,FALSE)-VLOOKUP(B658,[4]Weeks!$A$165:$AE$200,25,FALSE)</f>
        <v>0</v>
      </c>
      <c r="K658" s="202">
        <f>VLOOKUP(B658,[4]Weeks!$A$85:$AE$121,25,FALSE)-VLOOKUP(B658,[4]Weeks!$A$125:$AE$161,25,FALSE)</f>
        <v>0</v>
      </c>
      <c r="L658" s="202">
        <f>VLOOKUP(B658,[4]Weeks!$A$44:$AE$81,25,FALSE)-VLOOKUP(B658,[4]Weeks!$A$85:$AE$121,25,FALSE)</f>
        <v>0</v>
      </c>
      <c r="M658" s="202">
        <f>VLOOKUP(B658,[4]Weeks!$A$3:$AE$39,25,FALSE)-VLOOKUP(B658,[4]Weeks!$A$44:$AE$81,25,FALSE)</f>
        <v>0</v>
      </c>
      <c r="N658" s="11" t="str">
        <f t="shared" ref="N658:N667" si="127">IF(C658="*","*",IF(C658&gt;0,M658/C658*100,"-"))</f>
        <v>-</v>
      </c>
      <c r="O658" s="202">
        <f t="shared" ref="O658:O667" si="128">IF(C658="*","*",SUM(J658:M658)/4)</f>
        <v>0</v>
      </c>
      <c r="P658" s="41">
        <f>IF(ISNUMBER(VLOOKUP(B658,[4]CLOSURES!B:BI,16,FALSE)),TEXT(VLOOKUP(B658,[4]CLOSURES!B:BI,16,FALSE),"ddmmm"),IF(F658&lt;=0,0,IF(I658&lt;=0,0,IF(AND(F658&gt;0,O658&lt;=0),"&gt;52",IF(I658/O658&gt;52,"&gt;52", MAX(0,I658/O658-2))))))</f>
        <v>0</v>
      </c>
      <c r="Q658" s="158"/>
      <c r="R658" s="158"/>
    </row>
    <row r="659" spans="2:18" ht="10.5" hidden="1" x14ac:dyDescent="0.25">
      <c r="B659" s="40" t="s">
        <v>63</v>
      </c>
      <c r="C659" s="130">
        <f>'[5]Maj Pel Combined'!$P$16</f>
        <v>0</v>
      </c>
      <c r="D659" s="200">
        <f>F659-VLOOKUP(B659,[4]quotas!$B$85:$AF$120,24,FALSE)</f>
        <v>0</v>
      </c>
      <c r="E659" s="200">
        <f>F659-C659</f>
        <v>0</v>
      </c>
      <c r="F659" s="201">
        <f>VLOOKUP(B659,[4]quotas!$B$46:$AF$84,24,FALSE)</f>
        <v>0</v>
      </c>
      <c r="G659" s="202">
        <f>VLOOKUP(B659,[4]Cumulative!$A$56:$AZ$91,25,FALSE)</f>
        <v>0</v>
      </c>
      <c r="H659" s="151">
        <f>IF(AND(F659=0,G659&gt;0),"n/a",IF(F659=0,0,100*G659/F659))</f>
        <v>0</v>
      </c>
      <c r="I659" s="201">
        <f>IF(F659="*","*",F659-G659)</f>
        <v>0</v>
      </c>
      <c r="J659" s="202">
        <v>0</v>
      </c>
      <c r="K659" s="202">
        <v>0</v>
      </c>
      <c r="L659" s="202">
        <v>0</v>
      </c>
      <c r="M659" s="202">
        <v>0</v>
      </c>
      <c r="N659" s="11" t="str">
        <f t="shared" si="127"/>
        <v>-</v>
      </c>
      <c r="O659" s="202">
        <f t="shared" si="128"/>
        <v>0</v>
      </c>
      <c r="P659" s="41" t="str">
        <f>IF(ISNUMBER(VLOOKUP(B659,[4]CLOSURES!B:BI,16,FALSE)),TEXT(VLOOKUP(B659,[4]CLOSURES!B:BI,16,FALSE),"ddmmm"),IF(F659&lt;=0,0,IF(I659&lt;=0,0,IF(AND(F659&gt;0,O659&lt;=0),"&gt;52",IF(I659/O659&gt;52,"&gt;52", MAX(0,I659/O659-2))))))</f>
        <v>01Jan</v>
      </c>
      <c r="Q659" s="158"/>
      <c r="R659" s="158"/>
    </row>
    <row r="660" spans="2:18" ht="10.5" hidden="1" x14ac:dyDescent="0.25">
      <c r="B660" s="40" t="s">
        <v>65</v>
      </c>
      <c r="C660" s="130">
        <f>'[5]Maj Pel Combined'!$P$20</f>
        <v>0</v>
      </c>
      <c r="D660" s="200">
        <f>F660-VLOOKUP(B660,[4]quotas!$B$85:$AF$120,24,FALSE)</f>
        <v>0</v>
      </c>
      <c r="E660" s="200">
        <f>F660-C660</f>
        <v>0</v>
      </c>
      <c r="F660" s="201">
        <f>VLOOKUP(B660,[4]quotas!$B$46:$AF$84,24,FALSE)</f>
        <v>0</v>
      </c>
      <c r="G660" s="202">
        <f>VLOOKUP(B660,[4]Cumulative!$A$56:$AZ$91,25,FALSE)</f>
        <v>0</v>
      </c>
      <c r="H660" s="151">
        <f>IF(AND(F660=0,G660&gt;0),"n/a",IF(F660=0,0,100*G660/F660))</f>
        <v>0</v>
      </c>
      <c r="I660" s="201">
        <f>IF(F660="*","*",F660-G660)</f>
        <v>0</v>
      </c>
      <c r="J660" s="202">
        <f>VLOOKUP(B660,[4]Weeks!$A$125:$X$161,17,FALSE)-VLOOKUP(B660,[4]Weeks!$A$165:$X$200,17,FALSE)</f>
        <v>0</v>
      </c>
      <c r="K660" s="202">
        <f>VLOOKUP(B660,[4]Weeks!$A$85:$X$121,17,FALSE)-VLOOKUP(B660,[4]Weeks!$A$125:$X$161,17,FALSE)</f>
        <v>0</v>
      </c>
      <c r="L660" s="202">
        <f>VLOOKUP(B660,[4]Weeks!$A$44:$X$81,17,FALSE)-VLOOKUP(B660,[4]Weeks!$A$85:$X$121,17,FALSE)</f>
        <v>0</v>
      </c>
      <c r="M660" s="202">
        <f>VLOOKUP(B660,[4]Weeks!$A$3:$X$39,17,FALSE)-VLOOKUP(B660,[4]Weeks!$A$44:$X$81,17,FALSE)</f>
        <v>0</v>
      </c>
      <c r="N660" s="11" t="str">
        <f t="shared" si="127"/>
        <v>-</v>
      </c>
      <c r="O660" s="202">
        <f t="shared" si="128"/>
        <v>0</v>
      </c>
      <c r="P660" s="41" t="str">
        <f>IF(ISNUMBER(VLOOKUP(B660,[4]CLOSURES!B:BI,16,FALSE)),TEXT(VLOOKUP(B660,[4]CLOSURES!B:BI,16,FALSE),"ddmmm"),IF(F660&lt;=0,0,IF(I660&lt;=0,0,IF(AND(F660&gt;0,O660&lt;=0),"&gt;52",IF(I660/O660&gt;52,"&gt;52", MAX(0,I660/O660-2))))))</f>
        <v>01Jan</v>
      </c>
      <c r="Q660" s="158"/>
      <c r="R660" s="158"/>
    </row>
    <row r="661" spans="2:18" ht="10.5" hidden="1" x14ac:dyDescent="0.25">
      <c r="B661" s="40" t="s">
        <v>66</v>
      </c>
      <c r="C661" s="130">
        <f>'[5]Maj Pel Combined'!$P$24</f>
        <v>0</v>
      </c>
      <c r="D661" s="200">
        <f>F661-VLOOKUP(B661,[4]quotas!$B$85:$AF$120,24,FALSE)</f>
        <v>0</v>
      </c>
      <c r="E661" s="200">
        <f>F661-C661</f>
        <v>0</v>
      </c>
      <c r="F661" s="201">
        <f>VLOOKUP(B661,[4]quotas!$B$46:$AF$84,24,FALSE)</f>
        <v>0</v>
      </c>
      <c r="G661" s="202">
        <f>VLOOKUP(B661,[4]Cumulative!$A$56:$AZ$91,25,FALSE)</f>
        <v>0</v>
      </c>
      <c r="H661" s="151">
        <f>IF(AND(F661=0,G661&gt;0),"n/a",IF(F661=0,0,100*G661/F661))</f>
        <v>0</v>
      </c>
      <c r="I661" s="201">
        <f>IF(F661="*","*",F661-G661)</f>
        <v>0</v>
      </c>
      <c r="J661" s="202">
        <f>VLOOKUP(B661,[4]Weeks!$A$125:$X$161,17,FALSE)-VLOOKUP(B661,[4]Weeks!$A$165:$X$200,17,FALSE)</f>
        <v>0</v>
      </c>
      <c r="K661" s="202">
        <f>VLOOKUP(B661,[4]Weeks!$A$85:$X$121,17,FALSE)-VLOOKUP(B661,[4]Weeks!$A$125:$X$161,17,FALSE)</f>
        <v>0</v>
      </c>
      <c r="L661" s="202">
        <f>VLOOKUP(B661,[4]Weeks!$A$44:$X$81,17,FALSE)-VLOOKUP(B661,[4]Weeks!$A$85:$X$121,17,FALSE)</f>
        <v>0</v>
      </c>
      <c r="M661" s="202">
        <f>VLOOKUP(B661,[4]Weeks!$A$3:$X$39,17,FALSE)-VLOOKUP(B661,[4]Weeks!$A$44:$X$81,17,FALSE)</f>
        <v>0</v>
      </c>
      <c r="N661" s="11" t="str">
        <f t="shared" si="127"/>
        <v>-</v>
      </c>
      <c r="O661" s="202">
        <f t="shared" si="128"/>
        <v>0</v>
      </c>
      <c r="P661" s="41" t="str">
        <f>IF(ISNUMBER(VLOOKUP(B661,[4]CLOSURES!B:BI,16,FALSE)),TEXT(VLOOKUP(B661,[4]CLOSURES!B:BI,16,FALSE),"ddmmm"),IF(F661&lt;=0,0,IF(I661&lt;=0,0,IF(AND(F661&gt;0,O661&lt;=0),"&gt;52",IF(I661/O661&gt;52,"&gt;52", MAX(0,I661/O661-2))))))</f>
        <v>01Jan</v>
      </c>
      <c r="Q661" s="158"/>
      <c r="R661" s="158"/>
    </row>
    <row r="662" spans="2:18" ht="10.5" hidden="1" x14ac:dyDescent="0.25">
      <c r="B662" s="40" t="s">
        <v>67</v>
      </c>
      <c r="C662" s="130">
        <f>'[5]Maj Pel Combined'!$P$17</f>
        <v>0</v>
      </c>
      <c r="D662" s="200">
        <f>F662-VLOOKUP(B662,[4]quotas!$B$85:$AF$120,24,FALSE)</f>
        <v>0</v>
      </c>
      <c r="E662" s="200">
        <v>0</v>
      </c>
      <c r="F662" s="201">
        <f>VLOOKUP(B662,[4]quotas!$B$46:$AF$84,24,FALSE)</f>
        <v>0</v>
      </c>
      <c r="G662" s="202">
        <f>VLOOKUP(B662,[4]Cumulative!$A$56:$AZ$91,25,FALSE)</f>
        <v>0</v>
      </c>
      <c r="H662" s="151">
        <v>0</v>
      </c>
      <c r="I662" s="201">
        <f>IF(F662="*","*",F662-G662)</f>
        <v>0</v>
      </c>
      <c r="J662" s="202">
        <f>VLOOKUP(B662,[4]Weeks!$A$125:$X$161,17,FALSE)-VLOOKUP(B662,[4]Weeks!$A$165:$X$200,17,FALSE)</f>
        <v>0</v>
      </c>
      <c r="K662" s="202">
        <f>VLOOKUP(B662,[4]Weeks!$A$85:$X$121,17,FALSE)-VLOOKUP(B662,[4]Weeks!$A$125:$X$161,17,FALSE)</f>
        <v>0</v>
      </c>
      <c r="L662" s="202">
        <f>VLOOKUP(B662,[4]Weeks!$A$44:$X$81,17,FALSE)-VLOOKUP(B662,[4]Weeks!$A$85:$X$121,17,FALSE)</f>
        <v>0</v>
      </c>
      <c r="M662" s="202">
        <f>VLOOKUP(B662,[4]Weeks!$A$3:$X$39,17,FALSE)-VLOOKUP(B662,[4]Weeks!$A$44:$X$81,17,FALSE)</f>
        <v>0</v>
      </c>
      <c r="N662" s="11" t="str">
        <f t="shared" si="127"/>
        <v>-</v>
      </c>
      <c r="O662" s="202">
        <f t="shared" si="128"/>
        <v>0</v>
      </c>
      <c r="P662" s="41" t="str">
        <f>IF(ISNUMBER(VLOOKUP(B662,[4]CLOSURES!B:BI,16,FALSE)),TEXT(VLOOKUP(B662,[4]CLOSURES!B:BI,16,FALSE),"ddmmm"),IF(F662&lt;=0,0,IF(I662&lt;=0,0,IF(AND(F662&gt;0,O662&lt;=0),"&gt;52",IF(I662/O662&gt;52,"&gt;52", MAX(0,I662/O662-2))))))</f>
        <v>01Jan</v>
      </c>
      <c r="Q662" s="158"/>
      <c r="R662" s="158"/>
    </row>
    <row r="663" spans="2:18" ht="10.5" hidden="1" x14ac:dyDescent="0.25">
      <c r="B663" s="40" t="s">
        <v>68</v>
      </c>
      <c r="C663" s="130">
        <f>'[5]Maj Pel Combined'!$P$25</f>
        <v>0</v>
      </c>
      <c r="D663" s="200">
        <f>F663-VLOOKUP(B663,[4]quotas!$B$85:$AF$120,24,FALSE)</f>
        <v>0</v>
      </c>
      <c r="E663" s="200">
        <f t="shared" ref="E663:E668" si="129">F663-C663</f>
        <v>0</v>
      </c>
      <c r="F663" s="201">
        <f>VLOOKUP(B663,[4]quotas!$B$46:$AF$84,24,FALSE)</f>
        <v>0</v>
      </c>
      <c r="G663" s="202">
        <f>VLOOKUP(B663,[4]Cumulative!$A$56:$AZ$91,25,FALSE)</f>
        <v>0</v>
      </c>
      <c r="H663" s="151">
        <f t="shared" ref="H663:H668" si="130">IF(AND(F663=0,G663&gt;0),"n/a",IF(F663=0,0,100*G663/F663))</f>
        <v>0</v>
      </c>
      <c r="I663" s="201">
        <f t="shared" ref="I663:I668" si="131">IF(F663="*","*",F663-G663)</f>
        <v>0</v>
      </c>
      <c r="J663" s="202">
        <f>VLOOKUP(B663,[4]Weeks!$A$125:$X$161,17,FALSE)-VLOOKUP(B663,[4]Weeks!$A$165:$X$200,17,FALSE)</f>
        <v>0</v>
      </c>
      <c r="K663" s="202">
        <f>VLOOKUP(B663,[4]Weeks!$A$85:$X$121,17,FALSE)-VLOOKUP(B663,[4]Weeks!$A$125:$X$161,17,FALSE)</f>
        <v>0</v>
      </c>
      <c r="L663" s="202">
        <f>VLOOKUP(B663,[4]Weeks!$A$44:$X$81,17,FALSE)-VLOOKUP(B663,[4]Weeks!$A$85:$X$121,17,FALSE)</f>
        <v>0</v>
      </c>
      <c r="M663" s="202">
        <f>VLOOKUP(B663,[4]Weeks!$A$3:$X$39,17,FALSE)-VLOOKUP(B663,[4]Weeks!$A$44:$X$81,17,FALSE)</f>
        <v>0</v>
      </c>
      <c r="N663" s="11" t="str">
        <f t="shared" si="127"/>
        <v>-</v>
      </c>
      <c r="O663" s="202">
        <f t="shared" si="128"/>
        <v>0</v>
      </c>
      <c r="P663" s="41" t="str">
        <f>IF(ISNUMBER(VLOOKUP(B663,[4]CLOSURES!B:BI,16,FALSE)),TEXT(VLOOKUP(B663,[4]CLOSURES!B:BI,16,FALSE),"ddmmm"),IF(F663&lt;=0,0,IF(I663&lt;=0,0,IF(AND(F663&gt;0,O663&lt;=0),"&gt;52",IF(I663/O663&gt;52,"&gt;52", MAX(0,I663/O663-2))))))</f>
        <v>01Jan</v>
      </c>
      <c r="Q663" s="158"/>
      <c r="R663" s="158"/>
    </row>
    <row r="664" spans="2:18" ht="10.5" hidden="1" x14ac:dyDescent="0.25">
      <c r="B664" s="40" t="s">
        <v>69</v>
      </c>
      <c r="C664" s="130">
        <f>'[5]Maj Pel Combined'!$P$22</f>
        <v>0</v>
      </c>
      <c r="D664" s="200">
        <f>F664-VLOOKUP(B664,[4]quotas!$B$85:$AF$120,24,FALSE)</f>
        <v>0</v>
      </c>
      <c r="E664" s="200">
        <f t="shared" si="129"/>
        <v>0</v>
      </c>
      <c r="F664" s="201">
        <f>VLOOKUP(B664,[4]quotas!$B$46:$AF$84,24,FALSE)</f>
        <v>0</v>
      </c>
      <c r="G664" s="202">
        <f>VLOOKUP(B664,[4]Cumulative!$A$56:$AZ$91,25,FALSE)</f>
        <v>0</v>
      </c>
      <c r="H664" s="151">
        <f t="shared" si="130"/>
        <v>0</v>
      </c>
      <c r="I664" s="201">
        <f t="shared" si="131"/>
        <v>0</v>
      </c>
      <c r="J664" s="202">
        <f>VLOOKUP(B664,[4]Weeks!$A$125:$X$161,17,FALSE)-VLOOKUP(B664,[4]Weeks!$A$165:$X$200,17,FALSE)</f>
        <v>0</v>
      </c>
      <c r="K664" s="202">
        <f>VLOOKUP(B664,[4]Weeks!$A$85:$X$121,17,FALSE)-VLOOKUP(B664,[4]Weeks!$A$125:$X$161,17,FALSE)</f>
        <v>0</v>
      </c>
      <c r="L664" s="202">
        <f>VLOOKUP(B664,[4]Weeks!$A$44:$X$81,17,FALSE)-VLOOKUP(B664,[4]Weeks!$A$85:$X$121,17,FALSE)</f>
        <v>0</v>
      </c>
      <c r="M664" s="202">
        <f>VLOOKUP(B664,[4]Weeks!$A$3:$X$39,17,FALSE)-VLOOKUP(B664,[4]Weeks!$A$44:$X$81,17,FALSE)</f>
        <v>0</v>
      </c>
      <c r="N664" s="11" t="str">
        <f t="shared" si="127"/>
        <v>-</v>
      </c>
      <c r="O664" s="202">
        <f t="shared" si="128"/>
        <v>0</v>
      </c>
      <c r="P664" s="41" t="str">
        <f>IF(ISNUMBER(VLOOKUP(B664,[4]CLOSURES!B:BI,16,FALSE)),TEXT(VLOOKUP(B664,[4]CLOSURES!B:BI,16,FALSE),"ddmmm"),IF(F664&lt;=0,0,IF(I664&lt;=0,0,IF(AND(F664&gt;0,O664&lt;=0),"&gt;52",IF(I664/O664&gt;52,"&gt;52", MAX(0,I664/O664-2))))))</f>
        <v>01Jan</v>
      </c>
      <c r="Q664" s="158"/>
      <c r="R664" s="158"/>
    </row>
    <row r="665" spans="2:18" ht="10.5" hidden="1" x14ac:dyDescent="0.25">
      <c r="B665" s="40" t="s">
        <v>70</v>
      </c>
      <c r="C665" s="130">
        <f>'[5]Maj Pel Combined'!$P$21</f>
        <v>0</v>
      </c>
      <c r="D665" s="200">
        <f>F665-VLOOKUP(B665,[4]quotas!$B$85:$AF$120,24,FALSE)</f>
        <v>0</v>
      </c>
      <c r="E665" s="200">
        <f t="shared" si="129"/>
        <v>0</v>
      </c>
      <c r="F665" s="201">
        <f>VLOOKUP(B665,[4]quotas!$B$46:$AF$84,24,FALSE)</f>
        <v>0</v>
      </c>
      <c r="G665" s="202">
        <f>VLOOKUP(B665,[4]Cumulative!$A$56:$AZ$91,25,FALSE)</f>
        <v>0</v>
      </c>
      <c r="H665" s="151">
        <f t="shared" si="130"/>
        <v>0</v>
      </c>
      <c r="I665" s="201">
        <f t="shared" si="131"/>
        <v>0</v>
      </c>
      <c r="J665" s="202">
        <f>VLOOKUP(B665,[4]Weeks!$A$125:$X$161,17,FALSE)-VLOOKUP(B665,[4]Weeks!$A$165:$X$200,17,FALSE)</f>
        <v>0</v>
      </c>
      <c r="K665" s="202">
        <f>VLOOKUP(B665,[4]Weeks!$A$85:$X$121,17,FALSE)-VLOOKUP(B665,[4]Weeks!$A$125:$X$161,17,FALSE)</f>
        <v>0</v>
      </c>
      <c r="L665" s="202">
        <f>VLOOKUP(B665,[4]Weeks!$A$44:$X$81,17,FALSE)-VLOOKUP(B665,[4]Weeks!$A$85:$X$121,17,FALSE)</f>
        <v>0</v>
      </c>
      <c r="M665" s="202">
        <f>VLOOKUP(B665,[4]Weeks!$A$3:$X$39,17,FALSE)-VLOOKUP(B665,[4]Weeks!$A$44:$X$81,17,FALSE)</f>
        <v>0</v>
      </c>
      <c r="N665" s="11" t="str">
        <f t="shared" si="127"/>
        <v>-</v>
      </c>
      <c r="O665" s="202">
        <f t="shared" si="128"/>
        <v>0</v>
      </c>
      <c r="P665" s="41" t="str">
        <f>IF(ISNUMBER(VLOOKUP(B665,[4]CLOSURES!B:BI,16,FALSE)),TEXT(VLOOKUP(B665,[4]CLOSURES!B:BI,16,FALSE),"ddmmm"),IF(F665&lt;=0,0,IF(I665&lt;=0,0,IF(AND(F665&gt;0,O665&lt;=0),"&gt;52",IF(I665/O665&gt;52,"&gt;52", MAX(0,I665/O665-2))))))</f>
        <v>01Jan</v>
      </c>
      <c r="Q665" s="158"/>
      <c r="R665" s="158"/>
    </row>
    <row r="666" spans="2:18" ht="10.5" hidden="1" x14ac:dyDescent="0.25">
      <c r="B666" s="40" t="s">
        <v>71</v>
      </c>
      <c r="C666" s="130">
        <f>'[5]Maj Pel Combined'!$P$18</f>
        <v>0</v>
      </c>
      <c r="D666" s="200">
        <f>F666-VLOOKUP(B666,[4]quotas!$B$85:$AF$120,24,FALSE)</f>
        <v>0</v>
      </c>
      <c r="E666" s="200">
        <f t="shared" si="129"/>
        <v>0</v>
      </c>
      <c r="F666" s="201">
        <f>VLOOKUP(B666,[4]quotas!$B$46:$AF$84,24,FALSE)</f>
        <v>0</v>
      </c>
      <c r="G666" s="202">
        <f>VLOOKUP(B666,[4]Cumulative!$A$56:$AZ$91,25,FALSE)</f>
        <v>0</v>
      </c>
      <c r="H666" s="151">
        <f t="shared" si="130"/>
        <v>0</v>
      </c>
      <c r="I666" s="201">
        <f t="shared" si="131"/>
        <v>0</v>
      </c>
      <c r="J666" s="202">
        <f>VLOOKUP(B666,[4]Weeks!$A$125:$X$161,17,FALSE)-VLOOKUP(B666,[4]Weeks!$A$165:$X$200,17,FALSE)</f>
        <v>0</v>
      </c>
      <c r="K666" s="202">
        <f>VLOOKUP(B666,[4]Weeks!$A$85:$X$121,17,FALSE)-VLOOKUP(B666,[4]Weeks!$A$125:$X$161,17,FALSE)</f>
        <v>0</v>
      </c>
      <c r="L666" s="202">
        <f>VLOOKUP(B666,[4]Weeks!$A$44:$X$81,17,FALSE)-VLOOKUP(B666,[4]Weeks!$A$85:$X$121,17,FALSE)</f>
        <v>0</v>
      </c>
      <c r="M666" s="202">
        <f>VLOOKUP(B666,[4]Weeks!$A$3:$X$39,17,FALSE)-VLOOKUP(B666,[4]Weeks!$A$44:$X$81,17,FALSE)</f>
        <v>0</v>
      </c>
      <c r="N666" s="11" t="str">
        <f t="shared" si="127"/>
        <v>-</v>
      </c>
      <c r="O666" s="202">
        <f t="shared" si="128"/>
        <v>0</v>
      </c>
      <c r="P666" s="41">
        <f>IF(ISNUMBER(VLOOKUP(B666,[4]CLOSURES!B:BI,16,FALSE)),TEXT(VLOOKUP(B666,[4]CLOSURES!B:BI,16,FALSE),"ddmmm"),IF(F666&lt;=0,0,IF(I666&lt;=0,0,IF(AND(F666&gt;0,O666&lt;=0),"&gt;52",IF(I666/O666&gt;52,"&gt;52", MAX(0,I666/O666-2))))))</f>
        <v>0</v>
      </c>
      <c r="Q666" s="158"/>
      <c r="R666" s="158"/>
    </row>
    <row r="667" spans="2:18" ht="10.5" hidden="1" x14ac:dyDescent="0.25">
      <c r="B667" s="40" t="s">
        <v>72</v>
      </c>
      <c r="C667" s="130">
        <f>'[5]Maj Pel Combined'!$P$19</f>
        <v>0</v>
      </c>
      <c r="D667" s="200">
        <f>F667-VLOOKUP(B667,[4]quotas!$B$85:$AF$120,24,FALSE)</f>
        <v>0</v>
      </c>
      <c r="E667" s="200">
        <f t="shared" si="129"/>
        <v>0</v>
      </c>
      <c r="F667" s="201">
        <f>VLOOKUP(B667,[4]quotas!$B$46:$AF$84,24,FALSE)</f>
        <v>0</v>
      </c>
      <c r="G667" s="202">
        <f>VLOOKUP(B667,[4]Cumulative!$A$56:$AZ$91,25,FALSE)</f>
        <v>0</v>
      </c>
      <c r="H667" s="151">
        <f t="shared" si="130"/>
        <v>0</v>
      </c>
      <c r="I667" s="201">
        <f t="shared" si="131"/>
        <v>0</v>
      </c>
      <c r="J667" s="202">
        <f>VLOOKUP(B667,[4]Weeks!$A$125:$X$161,17,FALSE)-VLOOKUP(B667,[4]Weeks!$A$165:$X$200,17,FALSE)</f>
        <v>0</v>
      </c>
      <c r="K667" s="202">
        <f>VLOOKUP(B667,[4]Weeks!$A$85:$X$121,17,FALSE)-VLOOKUP(B667,[4]Weeks!$A$125:$X$161,17,FALSE)</f>
        <v>0</v>
      </c>
      <c r="L667" s="202">
        <f>VLOOKUP(B667,[4]Weeks!$A$44:$X$81,17,FALSE)-VLOOKUP(B667,[4]Weeks!$A$85:$X$121,17,FALSE)</f>
        <v>0</v>
      </c>
      <c r="M667" s="202">
        <f>VLOOKUP(B667,[4]Weeks!$A$3:$X$39,17,FALSE)-VLOOKUP(B667,[4]Weeks!$A$44:$X$81,17,FALSE)</f>
        <v>0</v>
      </c>
      <c r="N667" s="11" t="str">
        <f t="shared" si="127"/>
        <v>-</v>
      </c>
      <c r="O667" s="202">
        <f t="shared" si="128"/>
        <v>0</v>
      </c>
      <c r="P667" s="41">
        <f>IF(ISNUMBER(VLOOKUP(B667,[4]CLOSURES!B:BI,16,FALSE)),TEXT(VLOOKUP(B667,[4]CLOSURES!B:BI,16,FALSE),"ddmmm"),IF(F667&lt;=0,0,IF(I667&lt;=0,0,IF(AND(F667&gt;0,O667&lt;=0),"&gt;52",IF(I667/O667&gt;52,"&gt;52", MAX(0,I667/O667-2))))))</f>
        <v>0</v>
      </c>
      <c r="Q667" s="158"/>
      <c r="R667" s="158"/>
    </row>
    <row r="668" spans="2:18" ht="10.5" hidden="1" x14ac:dyDescent="0.25">
      <c r="B668" s="43" t="s">
        <v>73</v>
      </c>
      <c r="C668" s="130">
        <f>SUM(C658:C667)</f>
        <v>0</v>
      </c>
      <c r="D668" s="200">
        <f>SUM(D658:D667)</f>
        <v>0</v>
      </c>
      <c r="E668" s="200">
        <f t="shared" si="129"/>
        <v>0</v>
      </c>
      <c r="F668" s="201">
        <f>SUM(F658:F667)</f>
        <v>0</v>
      </c>
      <c r="G668" s="202">
        <f>SUM(G658:G667)</f>
        <v>0</v>
      </c>
      <c r="H668" s="151">
        <f t="shared" si="130"/>
        <v>0</v>
      </c>
      <c r="I668" s="201">
        <f t="shared" si="131"/>
        <v>0</v>
      </c>
      <c r="J668" s="202">
        <f t="shared" ref="J668:O668" si="132">SUM(J658:J667)</f>
        <v>0</v>
      </c>
      <c r="K668" s="202">
        <f t="shared" si="132"/>
        <v>0</v>
      </c>
      <c r="L668" s="202">
        <f t="shared" si="132"/>
        <v>0</v>
      </c>
      <c r="M668" s="202">
        <f t="shared" si="132"/>
        <v>0</v>
      </c>
      <c r="N668" s="11">
        <f t="shared" si="132"/>
        <v>0</v>
      </c>
      <c r="O668" s="202">
        <f t="shared" si="132"/>
        <v>0</v>
      </c>
      <c r="P668" s="41">
        <f>IF(ISNUMBER(VLOOKUP(B668,[4]CLOSURES!B:BI,16,FALSE)),TEXT(VLOOKUP(B668,[4]CLOSURES!B:BI,16,FALSE),"ddmmm"),IF(F668&lt;=0,0,IF(I668&lt;=0,0,IF(AND(F668&gt;0,O668&lt;=0),"&gt;52",IF(I668/O668&gt;52,"&gt;52", MAX(0,I668/O668-2))))))</f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f>'[5]Maj Pel Combined'!$P$5</f>
        <v>0</v>
      </c>
      <c r="D670" s="200">
        <f>F670-VLOOKUP(B670,[4]quotas!$B$85:$AF$120,24,FALSE)</f>
        <v>0</v>
      </c>
      <c r="E670" s="200">
        <f>F670-C670</f>
        <v>0</v>
      </c>
      <c r="F670" s="201">
        <f>VLOOKUP(B670,[4]quotas!$B$46:$AF$84,24,FALSE)</f>
        <v>0</v>
      </c>
      <c r="G670" s="202">
        <f>VLOOKUP(B670,[4]Cumulative!$A$56:$AZ$91,25,FALSE)</f>
        <v>0</v>
      </c>
      <c r="H670" s="151">
        <f>IF(AND(F670=0,G670&gt;0),"n/a",IF(F670=0,0,100*G670/F670))</f>
        <v>0</v>
      </c>
      <c r="I670" s="201">
        <f>IF(F670="*","*",F670-G670)</f>
        <v>0</v>
      </c>
      <c r="J670" s="202">
        <f>VLOOKUP(B670,[4]Weeks!$A$125:$X$161,17,FALSE)-VLOOKUP(B670,[4]Weeks!$A$165:$X$200,17,FALSE)</f>
        <v>0</v>
      </c>
      <c r="K670" s="202">
        <f>VLOOKUP(B670,[4]Weeks!$A$85:$X$121,17,FALSE)-VLOOKUP(B670,[4]Weeks!$A$125:$X$161,17,FALSE)</f>
        <v>0</v>
      </c>
      <c r="L670" s="202">
        <f>VLOOKUP(B670,[4]Weeks!$A$44:$X$81,17,FALSE)-VLOOKUP(B670,[4]Weeks!$A$85:$X$121,17,FALSE)</f>
        <v>0</v>
      </c>
      <c r="M670" s="202">
        <f>VLOOKUP(B670,[4]Weeks!$A$3:$X$39,17,FALSE)-VLOOKUP(B670,[4]Weeks!$A$44:$X$81,17,FALSE)</f>
        <v>0</v>
      </c>
      <c r="N670" s="11" t="str">
        <f>IF(C670="*","*",IF(C670&gt;0,M670/C670*100,"-"))</f>
        <v>-</v>
      </c>
      <c r="O670" s="202">
        <f t="shared" ref="O670:O678" si="133">IF(C670="*","*",SUM(J670:M670)/4)</f>
        <v>0</v>
      </c>
      <c r="P670" s="41">
        <f>IF(ISNUMBER(VLOOKUP(B670,[4]CLOSURES!B:BI,16,FALSE)),TEXT(VLOOKUP(B670,[4]CLOSURES!B:BI,16,FALSE),"ddmmm"),IF(F670&lt;=0,0,IF(I670&lt;=0,0,IF(AND(F670&gt;0,O670&lt;=0),"&gt;52",IF(I670/O670&gt;52,"&gt;52", MAX(0,I670/O670-2))))))</f>
        <v>0</v>
      </c>
      <c r="Q670" s="158"/>
      <c r="R670" s="158"/>
    </row>
    <row r="671" spans="2:18" ht="10.5" hidden="1" x14ac:dyDescent="0.25">
      <c r="B671" s="40" t="s">
        <v>75</v>
      </c>
      <c r="C671" s="130">
        <f>'[5]Maj Pel Combined'!$P$7</f>
        <v>0</v>
      </c>
      <c r="D671" s="200">
        <f>F671-VLOOKUP(B671,[4]quotas!$B$85:$AF$120,24,FALSE)</f>
        <v>0</v>
      </c>
      <c r="E671" s="200">
        <f>F671-C671</f>
        <v>0</v>
      </c>
      <c r="F671" s="201">
        <f>VLOOKUP(B671,[4]quotas!$B$46:$AF$84,24,FALSE)</f>
        <v>0</v>
      </c>
      <c r="G671" s="202">
        <f>VLOOKUP(B671,[4]Cumulative!$A$56:$AZ$91,25,FALSE)</f>
        <v>0</v>
      </c>
      <c r="H671" s="151">
        <f>IF(AND(F671=0,G671&gt;0),"n/a",IF(F671=0,0,100*G671/F671))</f>
        <v>0</v>
      </c>
      <c r="I671" s="201">
        <f>IF(F671="*","*",F671-G671)</f>
        <v>0</v>
      </c>
      <c r="J671" s="202">
        <f>VLOOKUP(B671,[4]Weeks!$A$125:$X$161,17,FALSE)-VLOOKUP(B671,[4]Weeks!$A$165:$X$200,17,FALSE)</f>
        <v>0</v>
      </c>
      <c r="K671" s="202">
        <f>VLOOKUP(B671,[4]Weeks!$A$85:$X$121,17,FALSE)-VLOOKUP(B671,[4]Weeks!$A$125:$X$161,17,FALSE)</f>
        <v>0</v>
      </c>
      <c r="L671" s="202">
        <f>VLOOKUP(B671,[4]Weeks!$A$44:$X$81,17,FALSE)-VLOOKUP(B671,[4]Weeks!$A$85:$X$121,17,FALSE)</f>
        <v>0</v>
      </c>
      <c r="M671" s="202">
        <f>VLOOKUP(B671,[4]Weeks!$A$3:$X$39,17,FALSE)-VLOOKUP(B671,[4]Weeks!$A$44:$X$81,17,FALSE)</f>
        <v>0</v>
      </c>
      <c r="N671" s="11" t="str">
        <f>IF(C671="*","*",IF(C671&gt;0,M671/C671*100,"-"))</f>
        <v>-</v>
      </c>
      <c r="O671" s="202">
        <f>IF(C671="*","*",SUM(J671:M671)/4)</f>
        <v>0</v>
      </c>
      <c r="P671" s="41">
        <f>IF(ISNUMBER(VLOOKUP(B671,[4]CLOSURES!B:BI,16,FALSE)),TEXT(VLOOKUP(B671,[4]CLOSURES!B:BI,16,FALSE),"ddmmm"),IF(F671&lt;=0,0,IF(I671&lt;=0,0,IF(AND(F671&gt;0,O671&lt;=0),"&gt;52",IF(I671/O671&gt;52,"&gt;52", MAX(0,I671/O671-2))))))</f>
        <v>0</v>
      </c>
      <c r="Q671" s="158"/>
      <c r="R671" s="158"/>
    </row>
    <row r="672" spans="2:18" ht="10.5" hidden="1" x14ac:dyDescent="0.25">
      <c r="B672" s="40" t="s">
        <v>152</v>
      </c>
      <c r="C672" s="130">
        <f>'[5]Maj Pel Combined'!$P$8</f>
        <v>0</v>
      </c>
      <c r="D672" s="200">
        <f>F672-VLOOKUP(B672,[4]quotas!$B$85:$AF$120,24,FALSE)</f>
        <v>0</v>
      </c>
      <c r="E672" s="200">
        <f>F672-C672</f>
        <v>0</v>
      </c>
      <c r="F672" s="201">
        <f>VLOOKUP(B672,[4]quotas!$B$46:$AF$84,24,FALSE)</f>
        <v>0</v>
      </c>
      <c r="G672" s="202">
        <f>VLOOKUP(B672,[4]Cumulative!$A$56:$AZ$91,25,FALSE)</f>
        <v>0</v>
      </c>
      <c r="H672" s="151">
        <f>IF(AND(F672=0,G672&gt;0),"n/a",IF(F672=0,0,100*G672/F672))</f>
        <v>0</v>
      </c>
      <c r="I672" s="201">
        <f>IF(F672="*","*",F672-G672)</f>
        <v>0</v>
      </c>
      <c r="J672" s="202">
        <f>VLOOKUP(B672,[4]Weeks!$A$125:$X$161,17,FALSE)-VLOOKUP(B672,[4]Weeks!$A$165:$X$200,17,FALSE)</f>
        <v>0</v>
      </c>
      <c r="K672" s="202">
        <f>VLOOKUP(B672,[4]Weeks!$A$85:$X$121,17,FALSE)-VLOOKUP(B672,[4]Weeks!$A$125:$X$161,17,FALSE)</f>
        <v>0</v>
      </c>
      <c r="L672" s="202">
        <f>VLOOKUP(B672,[4]Weeks!$A$44:$X$81,17,FALSE)-VLOOKUP(B672,[4]Weeks!$A$85:$X$121,17,FALSE)</f>
        <v>0</v>
      </c>
      <c r="M672" s="202">
        <f>VLOOKUP(B672,[4]Weeks!$A$3:$X$39,17,FALSE)-VLOOKUP(B672,[4]Weeks!$A$44:$X$81,17,FALSE)</f>
        <v>0</v>
      </c>
      <c r="N672" s="11" t="str">
        <f>IF(C672="*","*",IF(C672&gt;0,M672/C672*100,"-"))</f>
        <v>-</v>
      </c>
      <c r="O672" s="202">
        <f>IF(C672="*","*",SUM(J672:M672)/4)</f>
        <v>0</v>
      </c>
      <c r="P672" s="41" t="str">
        <f>IF(ISNUMBER(VLOOKUP(B672,[4]CLOSURES!B:BI,16,FALSE)),TEXT(VLOOKUP(B672,[4]CLOSURES!B:BI,16,FALSE),"ddmmm"),IF(F672&lt;=0,0,IF(I672&lt;=0,0,IF(AND(F672&gt;0,O672&lt;=0),"&gt;52",IF(I672/O672&gt;52,"&gt;52", MAX(0,I672/O672-2))))))</f>
        <v>01Jan</v>
      </c>
      <c r="Q672" s="158"/>
      <c r="R672" s="158"/>
    </row>
    <row r="673" spans="2:18" ht="10.5" hidden="1" x14ac:dyDescent="0.25">
      <c r="B673" s="40" t="s">
        <v>76</v>
      </c>
      <c r="C673" s="130">
        <f>'[5]Maj Pel Combined'!$P$9</f>
        <v>0</v>
      </c>
      <c r="D673" s="200">
        <f>F673-VLOOKUP(B673,[4]quotas!$B$85:$AF$120,24,FALSE)</f>
        <v>0</v>
      </c>
      <c r="E673" s="200">
        <f t="shared" ref="E673:E679" si="134">F673-C673</f>
        <v>0</v>
      </c>
      <c r="F673" s="201">
        <f>VLOOKUP(B673,[4]quotas!$B$46:$AF$84,24,FALSE)</f>
        <v>0</v>
      </c>
      <c r="G673" s="202">
        <f>VLOOKUP(B673,[4]Cumulative!$A$56:$AZ$91,25,FALSE)</f>
        <v>0</v>
      </c>
      <c r="H673" s="151">
        <f t="shared" ref="H673:H678" si="135">IF(AND(F673=0,G673&gt;0),"n/a",IF(F673=0,0,100*G673/F673))</f>
        <v>0</v>
      </c>
      <c r="I673" s="201">
        <f t="shared" ref="I673:I679" si="136">IF(F673="*","*",F673-G673)</f>
        <v>0</v>
      </c>
      <c r="J673" s="202">
        <f>VLOOKUP(B673,[4]Weeks!$A$125:$X$161,17,FALSE)-VLOOKUP(B673,[4]Weeks!$A$165:$X$200,17,FALSE)</f>
        <v>0</v>
      </c>
      <c r="K673" s="202">
        <f>VLOOKUP(B673,[4]Weeks!$A$85:$X$121,17,FALSE)-VLOOKUP(B673,[4]Weeks!$A$125:$X$161,17,FALSE)</f>
        <v>0</v>
      </c>
      <c r="L673" s="202">
        <f>VLOOKUP(B673,[4]Weeks!$A$44:$X$81,17,FALSE)-VLOOKUP(B673,[4]Weeks!$A$85:$X$121,17,FALSE)</f>
        <v>0</v>
      </c>
      <c r="M673" s="202">
        <f>VLOOKUP(B673,[4]Weeks!$A$3:$X$39,17,FALSE)-VLOOKUP(B673,[4]Weeks!$A$44:$X$81,17,FALSE)</f>
        <v>0</v>
      </c>
      <c r="N673" s="11" t="str">
        <f t="shared" ref="N673:N678" si="137">IF(C673="*","*",IF(C673&gt;0,M673/C673*100,"-"))</f>
        <v>-</v>
      </c>
      <c r="O673" s="202">
        <f t="shared" si="133"/>
        <v>0</v>
      </c>
      <c r="P673" s="41" t="str">
        <f>IF(ISNUMBER(VLOOKUP(B673,[4]CLOSURES!B:BI,16,FALSE)),TEXT(VLOOKUP(B673,[4]CLOSURES!B:BI,16,FALSE),"ddmmm"),IF(F673&lt;=0,0,IF(I673&lt;=0,0,IF(AND(F673&gt;0,O673&lt;=0),"&gt;52",IF(I673/O673&gt;52,"&gt;52", MAX(0,I673/O673-2))))))</f>
        <v>01Jan</v>
      </c>
      <c r="Q673" s="158"/>
      <c r="R673" s="158"/>
    </row>
    <row r="674" spans="2:18" ht="10.5" hidden="1" x14ac:dyDescent="0.25">
      <c r="B674" s="40" t="s">
        <v>77</v>
      </c>
      <c r="C674" s="130">
        <f>'[5]Maj Pel Combined'!$P$27</f>
        <v>0</v>
      </c>
      <c r="D674" s="200">
        <f>F674-VLOOKUP(B674,[4]quotas!$B$85:$AF$120,24,FALSE)</f>
        <v>0</v>
      </c>
      <c r="E674" s="200">
        <f t="shared" si="134"/>
        <v>0</v>
      </c>
      <c r="F674" s="201">
        <f>VLOOKUP(B674,[4]quotas!$B$46:$AF$84,24,FALSE)</f>
        <v>0</v>
      </c>
      <c r="G674" s="202">
        <f>VLOOKUP(B674,[4]Cumulative!$A$56:$AZ$91,25,FALSE)</f>
        <v>0</v>
      </c>
      <c r="H674" s="151">
        <f t="shared" si="135"/>
        <v>0</v>
      </c>
      <c r="I674" s="201">
        <f t="shared" si="136"/>
        <v>0</v>
      </c>
      <c r="J674" s="202">
        <f>VLOOKUP(B674,[4]Weeks!$A$125:$X$161,17,FALSE)-VLOOKUP(B674,[4]Weeks!$A$165:$X$200,17,FALSE)</f>
        <v>0</v>
      </c>
      <c r="K674" s="202">
        <f>VLOOKUP(B674,[4]Weeks!$A$85:$X$121,17,FALSE)-VLOOKUP(B674,[4]Weeks!$A$125:$X$161,17,FALSE)</f>
        <v>0</v>
      </c>
      <c r="L674" s="202">
        <f>VLOOKUP(B674,[4]Weeks!$A$44:$X$81,17,FALSE)-VLOOKUP(B674,[4]Weeks!$A$85:$X$121,17,FALSE)</f>
        <v>0</v>
      </c>
      <c r="M674" s="202">
        <f>VLOOKUP(B674,[4]Weeks!$A$3:$X$39,17,FALSE)-VLOOKUP(B674,[4]Weeks!$A$44:$X$81,17,FALSE)</f>
        <v>0</v>
      </c>
      <c r="N674" s="11" t="str">
        <f t="shared" si="137"/>
        <v>-</v>
      </c>
      <c r="O674" s="202">
        <f t="shared" si="133"/>
        <v>0</v>
      </c>
      <c r="P674" s="41">
        <f>IF(ISNUMBER(VLOOKUP(B674,[4]CLOSURES!B:BI,16,FALSE)),TEXT(VLOOKUP(B674,[4]CLOSURES!B:BI,16,FALSE),"ddmmm"),IF(F674&lt;=0,0,IF(I674&lt;=0,0,IF(AND(F674&gt;0,O674&lt;=0),"&gt;52",IF(I674/O674&gt;52,"&gt;52", MAX(0,I674/O674-2))))))</f>
        <v>0</v>
      </c>
      <c r="Q674" s="158"/>
      <c r="R674" s="158"/>
    </row>
    <row r="675" spans="2:18" ht="10.5" hidden="1" x14ac:dyDescent="0.25">
      <c r="B675" s="40" t="s">
        <v>78</v>
      </c>
      <c r="C675" s="130">
        <f>'[5]Maj Pel Combined'!$P$26</f>
        <v>0</v>
      </c>
      <c r="D675" s="200">
        <f>F675-VLOOKUP(B675,[4]quotas!$B$85:$AF$120,24,FALSE)</f>
        <v>0</v>
      </c>
      <c r="E675" s="200">
        <f t="shared" si="134"/>
        <v>0</v>
      </c>
      <c r="F675" s="201">
        <f>VLOOKUP(B675,[4]quotas!$B$46:$AF$84,24,FALSE)</f>
        <v>0</v>
      </c>
      <c r="G675" s="202">
        <f>VLOOKUP(B675,[4]Cumulative!$A$56:$AZ$91,25,FALSE)</f>
        <v>0</v>
      </c>
      <c r="H675" s="151">
        <f t="shared" si="135"/>
        <v>0</v>
      </c>
      <c r="I675" s="201">
        <f t="shared" si="136"/>
        <v>0</v>
      </c>
      <c r="J675" s="202">
        <f>VLOOKUP(B675,[4]Weeks!$A$125:$X$161,17,FALSE)-VLOOKUP(B675,[4]Weeks!$A$165:$X$200,17,FALSE)</f>
        <v>0</v>
      </c>
      <c r="K675" s="202">
        <f>VLOOKUP(B675,[4]Weeks!$A$85:$X$121,17,FALSE)-VLOOKUP(B675,[4]Weeks!$A$125:$X$161,17,FALSE)</f>
        <v>0</v>
      </c>
      <c r="L675" s="202">
        <f>VLOOKUP(B675,[4]Weeks!$A$44:$X$81,17,FALSE)-VLOOKUP(B675,[4]Weeks!$A$85:$X$121,17,FALSE)</f>
        <v>0</v>
      </c>
      <c r="M675" s="202">
        <f>VLOOKUP(B675,[4]Weeks!$A$3:$X$39,17,FALSE)-VLOOKUP(B675,[4]Weeks!$A$44:$X$81,17,FALSE)</f>
        <v>0</v>
      </c>
      <c r="N675" s="11" t="str">
        <f t="shared" si="137"/>
        <v>-</v>
      </c>
      <c r="O675" s="202">
        <f t="shared" si="133"/>
        <v>0</v>
      </c>
      <c r="P675" s="41">
        <f>IF(ISNUMBER(VLOOKUP(B675,[4]CLOSURES!B:BI,16,FALSE)),TEXT(VLOOKUP(B675,[4]CLOSURES!B:BI,16,FALSE),"ddmmm"),IF(F675&lt;=0,0,IF(I675&lt;=0,0,IF(AND(F675&gt;0,O675&lt;=0),"&gt;52",IF(I675/O675&gt;52,"&gt;52", MAX(0,I675/O675-2))))))</f>
        <v>0</v>
      </c>
      <c r="Q675" s="158"/>
      <c r="R675" s="158"/>
    </row>
    <row r="676" spans="2:18" ht="10.5" hidden="1" x14ac:dyDescent="0.25">
      <c r="B676" s="40" t="s">
        <v>79</v>
      </c>
      <c r="C676" s="130">
        <f>'[5]Maj Pel Combined'!$P$6</f>
        <v>0</v>
      </c>
      <c r="D676" s="200">
        <f>F676-VLOOKUP(B676,[4]quotas!$B$85:$AF$120,24,FALSE)</f>
        <v>0</v>
      </c>
      <c r="E676" s="200">
        <f t="shared" si="134"/>
        <v>0</v>
      </c>
      <c r="F676" s="201">
        <f>VLOOKUP(B676,[4]quotas!$B$46:$AF$84,24,FALSE)</f>
        <v>0</v>
      </c>
      <c r="G676" s="202">
        <f>VLOOKUP(B676,[4]Cumulative!$A$56:$AZ$91,25,FALSE)</f>
        <v>0</v>
      </c>
      <c r="H676" s="151">
        <f t="shared" si="135"/>
        <v>0</v>
      </c>
      <c r="I676" s="201">
        <f t="shared" si="136"/>
        <v>0</v>
      </c>
      <c r="J676" s="202">
        <f>VLOOKUP(B676,[4]Weeks!$A$125:$X$161,17,FALSE)-VLOOKUP(B676,[4]Weeks!$A$165:$X$200,17,FALSE)</f>
        <v>0</v>
      </c>
      <c r="K676" s="202">
        <f>VLOOKUP(B676,[4]Weeks!$A$85:$X$121,17,FALSE)-VLOOKUP(B676,[4]Weeks!$A$125:$X$161,17,FALSE)</f>
        <v>0</v>
      </c>
      <c r="L676" s="202">
        <f>VLOOKUP(B676,[4]Weeks!$A$44:$X$81,17,FALSE)-VLOOKUP(B676,[4]Weeks!$A$85:$X$121,17,FALSE)</f>
        <v>0</v>
      </c>
      <c r="M676" s="202">
        <f>VLOOKUP(B676,[4]Weeks!$A$3:$X$39,17,FALSE)-VLOOKUP(B676,[4]Weeks!$A$44:$X$81,17,FALSE)</f>
        <v>0</v>
      </c>
      <c r="N676" s="11" t="str">
        <f t="shared" si="137"/>
        <v>-</v>
      </c>
      <c r="O676" s="202">
        <f t="shared" si="133"/>
        <v>0</v>
      </c>
      <c r="P676" s="41">
        <f>IF(ISNUMBER(VLOOKUP(B676,[4]CLOSURES!B:BI,16,FALSE)),TEXT(VLOOKUP(B676,[4]CLOSURES!B:BI,16,FALSE),"ddmmm"),IF(F676&lt;=0,0,IF(I676&lt;=0,0,IF(AND(F676&gt;0,O676&lt;=0),"&gt;52",IF(I676/O676&gt;52,"&gt;52", MAX(0,I676/O676-2))))))</f>
        <v>0</v>
      </c>
      <c r="Q676" s="158"/>
      <c r="R676" s="158"/>
    </row>
    <row r="677" spans="2:18" ht="10.5" hidden="1" x14ac:dyDescent="0.25">
      <c r="B677" s="40" t="s">
        <v>80</v>
      </c>
      <c r="C677" s="130">
        <f>'[5]Maj Pel Combined'!$P$14</f>
        <v>0</v>
      </c>
      <c r="D677" s="200">
        <f>F677-VLOOKUP(B677,[4]quotas!$B$85:$AF$120,24,FALSE)</f>
        <v>0</v>
      </c>
      <c r="E677" s="200">
        <f t="shared" si="134"/>
        <v>0</v>
      </c>
      <c r="F677" s="201">
        <f>VLOOKUP(B677,[4]quotas!$B$46:$AF$84,24,FALSE)</f>
        <v>0</v>
      </c>
      <c r="G677" s="202">
        <f>VLOOKUP(B677,[4]Cumulative!$A$56:$AZ$91,25,FALSE)</f>
        <v>0</v>
      </c>
      <c r="H677" s="151">
        <f t="shared" si="135"/>
        <v>0</v>
      </c>
      <c r="I677" s="201">
        <f t="shared" si="136"/>
        <v>0</v>
      </c>
      <c r="J677" s="202">
        <f>VLOOKUP(B677,[4]Weeks!$A$125:$X$161,17,FALSE)-VLOOKUP(B677,[4]Weeks!$A$165:$X$200,17,FALSE)</f>
        <v>0</v>
      </c>
      <c r="K677" s="202">
        <f>VLOOKUP(B677,[4]Weeks!$A$85:$X$121,17,FALSE)-VLOOKUP(B677,[4]Weeks!$A$125:$X$161,17,FALSE)</f>
        <v>0</v>
      </c>
      <c r="L677" s="202">
        <f>VLOOKUP(B677,[4]Weeks!$A$44:$X$81,17,FALSE)-VLOOKUP(B677,[4]Weeks!$A$85:$X$121,17,FALSE)</f>
        <v>0</v>
      </c>
      <c r="M677" s="202">
        <f>VLOOKUP(B677,[4]Weeks!$A$3:$X$39,17,FALSE)-VLOOKUP(B677,[4]Weeks!$A$44:$X$81,17,FALSE)</f>
        <v>0</v>
      </c>
      <c r="N677" s="11" t="str">
        <f t="shared" si="137"/>
        <v>-</v>
      </c>
      <c r="O677" s="202">
        <f t="shared" si="133"/>
        <v>0</v>
      </c>
      <c r="P677" s="41" t="str">
        <f>IF(ISNUMBER(VLOOKUP(B677,[4]CLOSURES!B:BI,16,FALSE)),TEXT(VLOOKUP(B677,[4]CLOSURES!B:BI,16,FALSE),"ddmmm"),IF(F677&lt;=0,0,IF(I677&lt;=0,0,IF(AND(F677&gt;0,O677&lt;=0),"&gt;52",IF(I677/O677&gt;52,"&gt;52", MAX(0,I677/O677-2))))))</f>
        <v>01Jan</v>
      </c>
      <c r="Q677" s="158"/>
      <c r="R677" s="158"/>
    </row>
    <row r="678" spans="2:18" ht="10.5" hidden="1" x14ac:dyDescent="0.25">
      <c r="B678" s="40" t="s">
        <v>81</v>
      </c>
      <c r="C678" s="130">
        <f>'[5]Maj Pel Combined'!$P$13</f>
        <v>0</v>
      </c>
      <c r="D678" s="200">
        <f>F678-VLOOKUP(B678,[4]quotas!$B$85:$AF$120,24,FALSE)</f>
        <v>0</v>
      </c>
      <c r="E678" s="200">
        <f t="shared" si="134"/>
        <v>0</v>
      </c>
      <c r="F678" s="201">
        <f>VLOOKUP(B678,[4]quotas!$B$46:$AF$84,24,FALSE)</f>
        <v>0</v>
      </c>
      <c r="G678" s="202">
        <f>VLOOKUP(B678,[4]Cumulative!$A$56:$AZ$91,25,FALSE)</f>
        <v>0</v>
      </c>
      <c r="H678" s="151">
        <f t="shared" si="135"/>
        <v>0</v>
      </c>
      <c r="I678" s="201">
        <f t="shared" si="136"/>
        <v>0</v>
      </c>
      <c r="J678" s="202">
        <f>VLOOKUP(B678,[4]Weeks!$A$125:$X$161,17,FALSE)-VLOOKUP(B678,[4]Weeks!$A$165:$X$200,17,FALSE)</f>
        <v>0</v>
      </c>
      <c r="K678" s="202">
        <f>VLOOKUP(B678,[4]Weeks!$A$85:$X$121,17,FALSE)-VLOOKUP(B678,[4]Weeks!$A$125:$X$161,17,FALSE)</f>
        <v>0</v>
      </c>
      <c r="L678" s="202">
        <f>VLOOKUP(B678,[4]Weeks!$A$44:$X$81,17,FALSE)-VLOOKUP(B678,[4]Weeks!$A$85:$X$121,17,FALSE)</f>
        <v>0</v>
      </c>
      <c r="M678" s="202">
        <f>VLOOKUP(B678,[4]Weeks!$A$3:$X$39,17,FALSE)-VLOOKUP(B678,[4]Weeks!$A$44:$X$81,17,FALSE)</f>
        <v>0</v>
      </c>
      <c r="N678" s="11" t="str">
        <f t="shared" si="137"/>
        <v>-</v>
      </c>
      <c r="O678" s="202">
        <f t="shared" si="133"/>
        <v>0</v>
      </c>
      <c r="P678" s="41" t="str">
        <f>IF(ISNUMBER(VLOOKUP(B678,[4]CLOSURES!B:BI,16,FALSE)),TEXT(VLOOKUP(B678,[4]CLOSURES!B:BI,16,FALSE),"ddmmm"),IF(F678&lt;=0,0,IF(I678&lt;=0,0,IF(AND(F678&gt;0,O678&lt;=0),"&gt;52",IF(I678/O678&gt;52,"&gt;52", MAX(0,I678/O678-2))))))</f>
        <v>01Jan</v>
      </c>
      <c r="Q678" s="158"/>
      <c r="R678" s="158"/>
    </row>
    <row r="679" spans="2:18" ht="10.5" hidden="1" x14ac:dyDescent="0.25">
      <c r="B679" s="152" t="s">
        <v>82</v>
      </c>
      <c r="C679" s="130">
        <f>'[5]Maj Pel Combined'!$P$11</f>
        <v>0</v>
      </c>
      <c r="D679" s="200">
        <f>F679-VLOOKUP(B679,[4]quotas!$B$85:$AF$120,24,FALSE)</f>
        <v>0</v>
      </c>
      <c r="E679" s="200">
        <f t="shared" si="134"/>
        <v>0</v>
      </c>
      <c r="F679" s="201">
        <f>VLOOKUP(B679,[4]quotas!$B$46:$AF$84,24,FALSE)</f>
        <v>0</v>
      </c>
      <c r="G679" s="202">
        <f>VLOOKUP(B679,[4]Cumulative!$A$56:$AZ$91,25,FALSE)</f>
        <v>0</v>
      </c>
      <c r="H679" s="151">
        <f>IF(AND(F679=0,G679&gt;0),"n/a",IF(F679=0,0,100*G679/F679))</f>
        <v>0</v>
      </c>
      <c r="I679" s="201">
        <f t="shared" si="136"/>
        <v>0</v>
      </c>
      <c r="J679" s="202">
        <f>VLOOKUP(B679,[4]Weeks!$A$125:$X$161,17,FALSE)-VLOOKUP(B679,[4]Weeks!$A$165:$X$200,17,FALSE)</f>
        <v>0</v>
      </c>
      <c r="K679" s="202">
        <f>VLOOKUP(B679,[4]Weeks!$A$85:$X$121,17,FALSE)-VLOOKUP(B679,[4]Weeks!$A$125:$X$161,17,FALSE)</f>
        <v>0</v>
      </c>
      <c r="L679" s="202">
        <f>VLOOKUP(B679,[4]Weeks!$A$44:$X$81,17,FALSE)-VLOOKUP(B679,[4]Weeks!$A$85:$X$121,17,FALSE)</f>
        <v>0</v>
      </c>
      <c r="M679" s="202">
        <f>VLOOKUP(B679,[4]Weeks!$A$3:$X$39,17,FALSE)-VLOOKUP(B679,[4]Weeks!$A$44:$X$81,17,FALSE)</f>
        <v>0</v>
      </c>
      <c r="N679" s="11" t="str">
        <f>IF(C679="*","*",IF(C679&gt;0,M679/C679*100,"-"))</f>
        <v>-</v>
      </c>
      <c r="O679" s="202">
        <f>IF(C679="*","*",SUM(J679:M679)/4)</f>
        <v>0</v>
      </c>
      <c r="P679" s="41" t="str">
        <f>IF(ISNUMBER(VLOOKUP(B679,[4]CLOSURES!B:BI,16,FALSE)),TEXT(VLOOKUP(B679,[4]CLOSURES!B:BI,16,FALSE),"ddmmm"),IF(F679&lt;=0,0,IF(I679&lt;=0,0,IF(AND(F679&gt;0,O679&lt;=0),"&gt;52",IF(I679/O679&gt;52,"&gt;52", MAX(0,I679/O679-2))))))</f>
        <v>01Jan</v>
      </c>
      <c r="Q679" s="158"/>
      <c r="R679" s="158"/>
    </row>
    <row r="680" spans="2:18" ht="10.5" hidden="1" x14ac:dyDescent="0.25">
      <c r="B680" s="152" t="s">
        <v>111</v>
      </c>
      <c r="C680" s="130">
        <f>'[5]Maj Pel Combined'!$P$15</f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f>IF(C680="*","*",SUM(J680:M680)/4)</f>
        <v>0</v>
      </c>
      <c r="P680" s="41">
        <f>IF(ISNUMBER(VLOOKUP(B680,[4]CLOSURES!B:BI,16,FALSE)),TEXT(VLOOKUP(B680,[4]CLOSURES!B:BI,16,FALSE),"ddmmm"),IF(F680&lt;=0,0,IF(I680&lt;=0,0,IF(AND(F680&gt;0,O680&lt;=0),"&gt;52",IF(I680/O680&gt;52,"&gt;52", MAX(0,I680/O680-2))))))</f>
        <v>0</v>
      </c>
      <c r="Q680" s="158"/>
      <c r="R680" s="158"/>
    </row>
    <row r="681" spans="2:18" ht="10.5" hidden="1" x14ac:dyDescent="0.25">
      <c r="B681" s="170" t="s">
        <v>84</v>
      </c>
      <c r="C681" s="130">
        <f>'[5]Maj Pel Combined'!$P$10</f>
        <v>0</v>
      </c>
      <c r="D681" s="200">
        <f>F681-VLOOKUP(B681,[4]quotas!$B$85:$AF$120,24,FALSE)</f>
        <v>0</v>
      </c>
      <c r="E681" s="200">
        <f>F681-C681</f>
        <v>0</v>
      </c>
      <c r="F681" s="201">
        <f>VLOOKUP(B681,[4]quotas!$B$46:$AF$84,24,FALSE)</f>
        <v>0</v>
      </c>
      <c r="G681" s="202">
        <f>VLOOKUP(B681,[4]Cumulative!$A$56:$AZ$91,25,FALSE)</f>
        <v>0</v>
      </c>
      <c r="H681" s="151">
        <f>IF(AND(F681=0,G681&gt;0),"n/a",IF(F681=0,0,100*G681/F681))</f>
        <v>0</v>
      </c>
      <c r="I681" s="201">
        <f>IF(F681="*","*",F681-G681)</f>
        <v>0</v>
      </c>
      <c r="J681" s="202">
        <f>VLOOKUP(B681,[4]Weeks!$A$125:$X$161,17,FALSE)-VLOOKUP(B681,[4]Weeks!$A$165:$X$200,17,FALSE)</f>
        <v>0</v>
      </c>
      <c r="K681" s="202">
        <f>VLOOKUP(B681,[4]Weeks!$A$85:$X$121,17,FALSE)-VLOOKUP(B681,[4]Weeks!$A$125:$X$161,17,FALSE)</f>
        <v>0</v>
      </c>
      <c r="L681" s="202">
        <f>VLOOKUP(B681,[4]Weeks!$A$44:$X$81,17,FALSE)-VLOOKUP(B681,[4]Weeks!$A$85:$X$121,17,FALSE)</f>
        <v>0</v>
      </c>
      <c r="M681" s="202">
        <f>VLOOKUP(B681,[4]Weeks!$A$3:$X$39,17,FALSE)-VLOOKUP(B681,[4]Weeks!$A$44:$X$81,17,FALSE)</f>
        <v>0</v>
      </c>
      <c r="N681" s="11" t="str">
        <f>IF(C681="*","*",IF(C681&gt;0,M681/C681*100,"-"))</f>
        <v>-</v>
      </c>
      <c r="O681" s="202">
        <f>IF(C681="*","*",SUM(J681:M681)/4)</f>
        <v>0</v>
      </c>
      <c r="P681" s="41">
        <f>IF(ISNUMBER(VLOOKUP(B681,[4]CLOSURES!B:BI,16,FALSE)),TEXT(VLOOKUP(B681,[4]CLOSURES!B:BI,16,FALSE),"ddmmm"),IF(F681&lt;=0,0,IF(I681&lt;=0,0,IF(AND(F681&gt;0,O681&lt;=0),"&gt;52",IF(I681/O681&gt;52,"&gt;52", MAX(0,I681/O681-2))))))</f>
        <v>0</v>
      </c>
      <c r="Q681" s="158"/>
      <c r="R681" s="158"/>
    </row>
    <row r="682" spans="2:18" ht="10.5" hidden="1" x14ac:dyDescent="0.25">
      <c r="B682" s="40" t="s">
        <v>85</v>
      </c>
      <c r="C682" s="130">
        <f>'[5]Maj Pel Combined'!$P$12</f>
        <v>0</v>
      </c>
      <c r="D682" s="200">
        <f>F682-VLOOKUP(B682,[4]quotas!$B$85:$AF$120,24,FALSE)</f>
        <v>0</v>
      </c>
      <c r="E682" s="200">
        <f>F682-C682</f>
        <v>0</v>
      </c>
      <c r="F682" s="201">
        <f>VLOOKUP(B682,[4]quotas!$B$46:$AF$84,24,FALSE)</f>
        <v>0</v>
      </c>
      <c r="G682" s="202">
        <f>VLOOKUP(B682,[4]Cumulative!$A$56:$AZ$91,25,FALSE)</f>
        <v>0</v>
      </c>
      <c r="H682" s="151">
        <f>IF(AND(F682=0,G682&gt;0),"n/a",IF(F682=0,0,100*G682/F682))</f>
        <v>0</v>
      </c>
      <c r="I682" s="201">
        <f>IF(F682="*","*",F682-G682)</f>
        <v>0</v>
      </c>
      <c r="J682" s="202">
        <f>VLOOKUP(B682,[4]Weeks!$A$125:$X$161,17,FALSE)-VLOOKUP(B682,[4]Weeks!$A$165:$X$200,17,FALSE)</f>
        <v>0</v>
      </c>
      <c r="K682" s="202">
        <f>VLOOKUP(B682,[4]Weeks!$A$85:$X$121,17,FALSE)-VLOOKUP(B682,[4]Weeks!$A$125:$X$161,17,FALSE)</f>
        <v>0</v>
      </c>
      <c r="L682" s="202">
        <f>VLOOKUP(B682,[4]Weeks!$A$44:$X$81,17,FALSE)-VLOOKUP(B682,[4]Weeks!$A$85:$X$121,17,FALSE)</f>
        <v>0</v>
      </c>
      <c r="M682" s="202">
        <f>VLOOKUP(B682,[4]Weeks!$A$3:$X$39,17,FALSE)-VLOOKUP(B682,[4]Weeks!$A$44:$X$81,17,FALSE)</f>
        <v>0</v>
      </c>
      <c r="N682" s="11" t="str">
        <f>IF(C682="*","*",IF(C682&gt;0,M682/C682*100,"-"))</f>
        <v>-</v>
      </c>
      <c r="O682" s="202">
        <f>IF(C682="*","*",SUM(J682:M682)/4)</f>
        <v>0</v>
      </c>
      <c r="P682" s="41" t="str">
        <f>IF(ISNUMBER(VLOOKUP(B682,[4]CLOSURES!B:BI,16,FALSE)),TEXT(VLOOKUP(B682,[4]CLOSURES!B:BI,16,FALSE),"ddmmm"),IF(F682&lt;=0,0,IF(I682&lt;=0,0,IF(AND(F682&gt;0,O682&lt;=0),"&gt;52",IF(I682/O682&gt;52,"&gt;52", MAX(0,I682/O682-2))))))</f>
        <v>01Jan</v>
      </c>
      <c r="Q682" s="158"/>
      <c r="R682" s="158"/>
    </row>
    <row r="683" spans="2:18" ht="10.5" hidden="1" x14ac:dyDescent="0.25">
      <c r="B683" s="162" t="s">
        <v>86</v>
      </c>
      <c r="C683" s="130">
        <f>SUM(C658:C667)+SUM(C670:C682)</f>
        <v>0</v>
      </c>
      <c r="D683" s="200">
        <f>SUM(D670:D682)+D668</f>
        <v>0</v>
      </c>
      <c r="E683" s="200">
        <f>F683-C683</f>
        <v>0</v>
      </c>
      <c r="F683" s="201">
        <f>SUM(F658:F667)+SUM(F670:F682)</f>
        <v>0</v>
      </c>
      <c r="G683" s="202">
        <f>G668+SUM(G670:G682)</f>
        <v>0</v>
      </c>
      <c r="H683" s="151">
        <f>IF(AND(F683=0,G683&gt;0),"n/a",IF(F683=0,0,100*G683/F683))</f>
        <v>0</v>
      </c>
      <c r="I683" s="201">
        <f>IF(F683="*","*",F683-G683)</f>
        <v>0</v>
      </c>
      <c r="J683" s="202">
        <f>SUM(J658:J667)+SUM(J670:J682)</f>
        <v>0</v>
      </c>
      <c r="K683" s="202">
        <f>SUM(K658:K667)+SUM(K670:K682)</f>
        <v>0</v>
      </c>
      <c r="L683" s="202">
        <f>SUM(L658:L667)+SUM(L670:L682)</f>
        <v>0</v>
      </c>
      <c r="M683" s="202">
        <f>SUM(M658:M667)+SUM(M670:M682)</f>
        <v>0</v>
      </c>
      <c r="N683" s="11" t="str">
        <f>IF(C683="*","*",IF(C683&gt;0,M683/C683*100,"-"))</f>
        <v>-</v>
      </c>
      <c r="O683" s="202">
        <f>IF(C683="*","*",SUM(J683:M683)/4)</f>
        <v>0</v>
      </c>
      <c r="P683" s="41">
        <f>IF(ISNUMBER(VLOOKUP(B683,[4]CLOSURES!B:BI,16,FALSE)),TEXT(VLOOKUP(B683,[4]CLOSURES!B:BI,16,FALSE),"ddmmm"),IF(F683&lt;=0,0,IF(I683&lt;=0,0,IF(AND(F683&gt;0,O683&lt;=0),"&gt;52",IF(I683/O683&gt;52,"&gt;52", MAX(0,I683/O683-2))))))</f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f>SUM([6]Quotas!$BV$185:$BV$189)</f>
        <v>0</v>
      </c>
      <c r="D685" s="200"/>
      <c r="E685" s="200"/>
      <c r="F685" s="201">
        <f>C685</f>
        <v>0</v>
      </c>
      <c r="G685" s="202"/>
      <c r="H685" s="151">
        <f>IF(AND(F685=0,G685&gt;0),"n/a",IF(F685=0,0,100*G685/F685))</f>
        <v>0</v>
      </c>
      <c r="I685" s="201">
        <f>IF(F685="*","*",F685-G685)</f>
        <v>0</v>
      </c>
      <c r="J685" s="202"/>
      <c r="K685" s="202"/>
      <c r="L685" s="202"/>
      <c r="M685" s="202"/>
      <c r="N685" s="11" t="str">
        <f>IF(C685="*","*",IF(C685&gt;0,M685/C685*100,"-"))</f>
        <v>-</v>
      </c>
      <c r="O685" s="202">
        <f>IF(C685="*","*",SUM(J685:M685)/4)</f>
        <v>0</v>
      </c>
      <c r="P685" s="41" t="str">
        <f>IF(ISNUMBER(VLOOKUP(B685,[4]CLOSURES!B:BI,16,FALSE)),TEXT(VLOOKUP(B685,[4]CLOSURES!B:BI,16,FALSE),"ddmmm"),IF(F685&lt;=0,0,IF(I685&lt;=0,0,IF(AND(F685&gt;0,O685&lt;=0),"&gt;52",IF(I685/O685&gt;52,"&gt;52", MAX(0,I685/O685-2))))))</f>
        <v>01Jan</v>
      </c>
      <c r="Q685" s="158"/>
      <c r="R685" s="158"/>
    </row>
    <row r="686" spans="2:18" ht="10.5" hidden="1" x14ac:dyDescent="0.25">
      <c r="B686" s="44" t="s">
        <v>88</v>
      </c>
      <c r="C686" s="130">
        <f>'[5]Maj Pel Combined'!$P$33</f>
        <v>0</v>
      </c>
      <c r="D686" s="200">
        <f>F686-VLOOKUP(B686,[4]quotas!$B$85:$AF$120,24,FALSE)</f>
        <v>0</v>
      </c>
      <c r="E686" s="200">
        <f>F686-C686</f>
        <v>0</v>
      </c>
      <c r="F686" s="201">
        <f>VLOOKUP(B686,[4]quotas!$B$46:$AF$84,24,FALSE)</f>
        <v>0</v>
      </c>
      <c r="G686" s="202">
        <f>VLOOKUP(B686,[4]Cumulative!$A$56:$AZ$91,25,FALSE)</f>
        <v>0</v>
      </c>
      <c r="H686" s="151">
        <f>IF(AND(F686=0,G686&gt;0),"n/a",IF(F686=0,0,100*G686/F686))</f>
        <v>0</v>
      </c>
      <c r="I686" s="201">
        <f>IF(F686="*","*",F686-G686)</f>
        <v>0</v>
      </c>
      <c r="J686" s="202">
        <f>VLOOKUP(B686,[4]Weeks!$A$125:$X$161,17,FALSE)-VLOOKUP(B686,[4]Weeks!$A$165:$X$200,17,FALSE)</f>
        <v>0</v>
      </c>
      <c r="K686" s="202">
        <f>VLOOKUP(B686,[4]Weeks!$A$85:$X$121,17,FALSE)-VLOOKUP(B686,[4]Weeks!$A$125:$X$161,17,FALSE)</f>
        <v>0</v>
      </c>
      <c r="L686" s="202">
        <f>VLOOKUP(B686,[4]Weeks!$A$44:$X$81,17,FALSE)-VLOOKUP(B686,[4]Weeks!$A$85:$X$121,17,FALSE)</f>
        <v>0</v>
      </c>
      <c r="M686" s="202">
        <f>VLOOKUP(B686,[4]Weeks!$A$3:$X$39,17,FALSE)-VLOOKUP(B686,[4]Weeks!$A$44:$X$81,17,FALSE)</f>
        <v>0</v>
      </c>
      <c r="N686" s="11" t="s">
        <v>64</v>
      </c>
      <c r="O686" s="202">
        <f>IF(C686="*","*",SUM(J686:M686)/4)</f>
        <v>0</v>
      </c>
      <c r="P686" s="41" t="str">
        <f>IF(ISNUMBER(VLOOKUP(B686,[4]CLOSURES!B:BI,16,FALSE)),TEXT(VLOOKUP(B686,[4]CLOSURES!B:BI,16,FALSE),"ddmmm"),IF(F686&lt;=0,0,IF(I686&lt;=0,0,IF(AND(F686&gt;0,O686&lt;=0),"&gt;52",IF(I686/O686&gt;52,"&gt;52", MAX(0,I686/O686-2))))))</f>
        <v>01Jan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f>IF(AND(F687=0,G687&gt;0),"n/a",IF(F687=0,0,100*G687/F687))</f>
        <v>0</v>
      </c>
      <c r="I687" s="201">
        <f>IF(F687="*","*",F687-G687)</f>
        <v>0</v>
      </c>
      <c r="J687" s="202"/>
      <c r="K687" s="202"/>
      <c r="L687" s="202"/>
      <c r="M687" s="202"/>
      <c r="N687" s="11" t="str">
        <f>IF(C687="*","*",IF(C687&gt;0,M687/C687*100,"-"))</f>
        <v>-</v>
      </c>
      <c r="O687" s="202">
        <f>IF(C687="*","*",SUM(J687:M687)/4)</f>
        <v>0</v>
      </c>
      <c r="P687" s="41" t="str">
        <f>IF(ISNUMBER(VLOOKUP(B687,[4]CLOSURES!B:BI,16,FALSE)),TEXT(VLOOKUP(B687,[4]CLOSURES!B:BI,16,FALSE),"ddmmm"),IF(F687&lt;=0,0,IF(I687&lt;=0,0,IF(AND(F687&gt;0,O687&lt;=0),"&gt;52",IF(I687/O687&gt;52,"&gt;52", MAX(0,I687/O687-2))))))</f>
        <v>01Jan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f>'[5]Maj Pel Combined'!$P$41</f>
        <v>0</v>
      </c>
      <c r="D689" s="200"/>
      <c r="E689" s="200"/>
      <c r="F689" s="201">
        <f>C689</f>
        <v>0</v>
      </c>
      <c r="G689" s="202"/>
      <c r="H689" s="151"/>
      <c r="I689" s="201">
        <f>F689</f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f>C683+SUM(C685:C689)</f>
        <v>0</v>
      </c>
      <c r="D690" s="131">
        <f>D683+SUM(D685:D689)</f>
        <v>0</v>
      </c>
      <c r="E690" s="131">
        <f>E683+SUM(E685:E689)</f>
        <v>0</v>
      </c>
      <c r="F690" s="132">
        <f>F683+SUM(F685:F689)</f>
        <v>0</v>
      </c>
      <c r="G690" s="131">
        <f>G683+SUM(G685:G689)</f>
        <v>0</v>
      </c>
      <c r="H690" s="156">
        <f>IF(AND(F690=0,G690&gt;0),"n/a",IF(F690=0,0,100*G690/F690))</f>
        <v>0</v>
      </c>
      <c r="I690" s="132">
        <f>IF(F690="*","*",F690-G690)</f>
        <v>0</v>
      </c>
      <c r="J690" s="131">
        <f>VLOOKUP(B690,[4]Weeks!$A$125:$AE$161,25,FALSE)-VLOOKUP(B690,[4]Weeks!$A$165:$AE$200,25,FALSE)</f>
        <v>0</v>
      </c>
      <c r="K690" s="131">
        <f>VLOOKUP(B690,[4]Weeks!$A$85:$AE$121,25,FALSE)-VLOOKUP(B690,[4]Weeks!$A$125:$AE$161,25,FALSE)</f>
        <v>0</v>
      </c>
      <c r="L690" s="131">
        <f>VLOOKUP(B690,[4]Weeks!$A$44:$AE$81,25,FALSE)-VLOOKUP(B690,[4]Weeks!$A$85:$AE121,25,FALSE)</f>
        <v>0</v>
      </c>
      <c r="M690" s="131">
        <f>M683+M685+M687</f>
        <v>0</v>
      </c>
      <c r="N690" s="53" t="str">
        <f>IF(C690="*","*",IF(C690&gt;0,M690/C690*100,"-"))</f>
        <v>-</v>
      </c>
      <c r="O690" s="131">
        <f>IF(C690="*","*",SUM(J690:M690)/4)</f>
        <v>0</v>
      </c>
      <c r="P690" s="49" t="str">
        <f>IF(ISNUMBER(VLOOKUP(B690,[4]CLOSURES!B:BI,16,FALSE)),TEXT(VLOOKUP(B690,[4]CLOSURES!B:BI,16,FALSE),"ddmmm"),IF(F690&lt;=0,0,IF(I690&lt;=0,0,IF(AND(F690&gt;0,O690&lt;=0),"&gt;52",IF(I690/O690&gt;52,"&gt;52", MAX(0,I690/O690-2))))))</f>
        <v>01Jan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f>J655</f>
        <v>44895</v>
      </c>
      <c r="K695" s="33">
        <f>K655</f>
        <v>44902</v>
      </c>
      <c r="L695" s="33">
        <f>L655</f>
        <v>44909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f>'[5]Maj Pel Combined'!$Q$23</f>
        <v>0</v>
      </c>
      <c r="D698" s="200">
        <f>F698-VLOOKUP(B698,[4]quotas!$B$85:$AF$120,25,FALSE)</f>
        <v>0</v>
      </c>
      <c r="E698" s="200">
        <f>F698-C698</f>
        <v>0</v>
      </c>
      <c r="F698" s="201">
        <f>VLOOKUP(B698,[4]quotas!$B$46:$AF$84,25,FALSE)</f>
        <v>0</v>
      </c>
      <c r="G698" s="202">
        <f>VLOOKUP(B698,[4]Cumulative!$A$56:$AZ$91,26,FALSE)</f>
        <v>0</v>
      </c>
      <c r="H698" s="151">
        <f>IF(AND(F698=0,G698&gt;0),"n/a",IF(F698=0,0,100*G698/F698))</f>
        <v>0</v>
      </c>
      <c r="I698" s="201">
        <f>IF(F698="*","*",F698-G698)</f>
        <v>0</v>
      </c>
      <c r="J698" s="202">
        <f>VLOOKUP(B698,[4]Weeks!$A$125:$AE$161,26,FALSE)-VLOOKUP(B698,[4]Weeks!$A$165:$AE$200,26,FALSE)</f>
        <v>0</v>
      </c>
      <c r="K698" s="202">
        <f>VLOOKUP(B698,[4]Weeks!$A$85:$AE$121,26,FALSE)-VLOOKUP(B698,[4]Weeks!$A$125:$AE$161,26,FALSE)</f>
        <v>0</v>
      </c>
      <c r="L698" s="202">
        <f>VLOOKUP(B698,[4]Weeks!$A$44:$AE$81,26,FALSE)-VLOOKUP(B698,[4]Weeks!$A$85:$AE$121,26,FALSE)</f>
        <v>0</v>
      </c>
      <c r="M698" s="202">
        <f>VLOOKUP(B698,[4]Weeks!$A$3:$AE$39,26,FALSE)-VLOOKUP(B698,[4]Weeks!$A$44:$AE$81,26,FALSE)</f>
        <v>0</v>
      </c>
      <c r="N698" s="11" t="str">
        <f>IF(C698="*","*",IF(C698&gt;0,M698/C698*100,"-"))</f>
        <v>-</v>
      </c>
      <c r="O698" s="202">
        <f t="shared" ref="O698:O707" si="138">IF(C698="*","*",SUM(J698:M698)/4)</f>
        <v>0</v>
      </c>
      <c r="P698" s="41">
        <f>IF(ISNUMBER(VLOOKUP(B698,[4]CLOSURES!B:BI,16,FALSE)),TEXT(VLOOKUP(B698,[4]CLOSURES!B:BI,16,FALSE),"ddmmm"),IF(F698&lt;=0,0,IF(I698&lt;=0,0,IF(AND(F698&gt;0,O698&lt;=0),"&gt;52",IF(I698/O698&gt;52,"&gt;52", MAX(0,I698/O698-2))))))</f>
        <v>0</v>
      </c>
      <c r="Q698" s="158"/>
      <c r="R698" s="158"/>
    </row>
    <row r="699" spans="2:18" ht="10.5" hidden="1" x14ac:dyDescent="0.25">
      <c r="B699" s="40" t="s">
        <v>63</v>
      </c>
      <c r="C699" s="130">
        <f>'[5]Maj Pel Combined'!$Q$16</f>
        <v>0</v>
      </c>
      <c r="D699" s="200">
        <f>F699-VLOOKUP(B699,[4]quotas!$B$85:$AF$120,25,FALSE)</f>
        <v>0</v>
      </c>
      <c r="E699" s="200">
        <f>F699-C699</f>
        <v>0</v>
      </c>
      <c r="F699" s="201">
        <f>VLOOKUP(B699,[4]quotas!$B$46:$AF$84,25,FALSE)</f>
        <v>0</v>
      </c>
      <c r="G699" s="202">
        <f>VLOOKUP(B699,[4]Cumulative!$A$56:$AZ$91,26,FALSE)</f>
        <v>0</v>
      </c>
      <c r="H699" s="151">
        <f>IF(AND(F699=0,G699&gt;0),"n/a",IF(F699=0,0,100*G699/F699))</f>
        <v>0</v>
      </c>
      <c r="I699" s="201">
        <f>IF(F699="*","*",F699-G699)</f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f t="shared" si="138"/>
        <v>0</v>
      </c>
      <c r="P699" s="41" t="str">
        <f>IF(ISNUMBER(VLOOKUP(B699,[4]CLOSURES!B:BI,16,FALSE)),TEXT(VLOOKUP(B699,[4]CLOSURES!B:BI,16,FALSE),"ddmmm"),IF(F699&lt;=0,0,IF(I699&lt;=0,0,IF(AND(F699&gt;0,O699&lt;=0),"&gt;52",IF(I699/O699&gt;52,"&gt;52", MAX(0,I699/O699-2))))))</f>
        <v>01Jan</v>
      </c>
      <c r="Q699" s="158"/>
      <c r="R699" s="158"/>
    </row>
    <row r="700" spans="2:18" ht="10.5" hidden="1" x14ac:dyDescent="0.25">
      <c r="B700" s="40" t="s">
        <v>65</v>
      </c>
      <c r="C700" s="130">
        <f>'[5]Maj Pel Combined'!$Q$20</f>
        <v>0</v>
      </c>
      <c r="D700" s="200">
        <f>F700-VLOOKUP(B700,[4]quotas!$B$85:$AF$120,25,FALSE)</f>
        <v>0</v>
      </c>
      <c r="E700" s="200">
        <f>F700-C700</f>
        <v>0</v>
      </c>
      <c r="F700" s="201">
        <f>VLOOKUP(B700,[4]quotas!$B$46:$AF$84,25,FALSE)</f>
        <v>0</v>
      </c>
      <c r="G700" s="202">
        <f>VLOOKUP(B700,[4]Cumulative!$A$56:$AZ$91,26,FALSE)</f>
        <v>0</v>
      </c>
      <c r="H700" s="151">
        <f>IF(AND(F700=0,G700&gt;0),"n/a",IF(F700=0,0,100*G700/F700))</f>
        <v>0</v>
      </c>
      <c r="I700" s="201">
        <f>IF(F700="*","*",F700-G700)</f>
        <v>0</v>
      </c>
      <c r="J700" s="202">
        <f>VLOOKUP(B700,[4]Weeks!$A$125:$X$161,17,FALSE)-VLOOKUP(B700,[4]Weeks!$A$165:$X$200,17,FALSE)</f>
        <v>0</v>
      </c>
      <c r="K700" s="202">
        <f>VLOOKUP(B700,[4]Weeks!$A$85:$X$121,17,FALSE)-VLOOKUP(B700,[4]Weeks!$A$125:$X$161,17,FALSE)</f>
        <v>0</v>
      </c>
      <c r="L700" s="202">
        <f>VLOOKUP(B700,[4]Weeks!$A$44:$X$81,17,FALSE)-VLOOKUP(B700,[4]Weeks!$A$85:$X$121,17,FALSE)</f>
        <v>0</v>
      </c>
      <c r="M700" s="202">
        <f>VLOOKUP(B700,[4]Weeks!$A$3:$X$39,17,FALSE)-VLOOKUP(B700,[4]Weeks!$A$44:$X$81,17,FALSE)</f>
        <v>0</v>
      </c>
      <c r="N700" s="11" t="str">
        <f>IF(C700="*","*",IF(C700&gt;0,M700/C700*100,"-"))</f>
        <v>-</v>
      </c>
      <c r="O700" s="202">
        <f t="shared" si="138"/>
        <v>0</v>
      </c>
      <c r="P700" s="41" t="str">
        <f>IF(ISNUMBER(VLOOKUP(B700,[4]CLOSURES!B:BI,16,FALSE)),TEXT(VLOOKUP(B700,[4]CLOSURES!B:BI,16,FALSE),"ddmmm"),IF(F700&lt;=0,0,IF(I700&lt;=0,0,IF(AND(F700&gt;0,O700&lt;=0),"&gt;52",IF(I700/O700&gt;52,"&gt;52", MAX(0,I700/O700-2))))))</f>
        <v>01Jan</v>
      </c>
      <c r="Q700" s="158"/>
      <c r="R700" s="158"/>
    </row>
    <row r="701" spans="2:18" ht="10.5" hidden="1" x14ac:dyDescent="0.25">
      <c r="B701" s="40" t="s">
        <v>66</v>
      </c>
      <c r="C701" s="130">
        <f>'[5]Maj Pel Combined'!$Q$24</f>
        <v>0</v>
      </c>
      <c r="D701" s="200">
        <f>F701-VLOOKUP(B701,[4]quotas!$B$85:$AF$120,25,FALSE)</f>
        <v>0</v>
      </c>
      <c r="E701" s="200">
        <f>F701-C701</f>
        <v>0</v>
      </c>
      <c r="F701" s="201">
        <f>VLOOKUP(B701,[4]quotas!$B$46:$AF$84,25,FALSE)</f>
        <v>0</v>
      </c>
      <c r="G701" s="202">
        <f>VLOOKUP(B701,[4]Cumulative!$A$56:$AZ$91,26,FALSE)</f>
        <v>0</v>
      </c>
      <c r="H701" s="151">
        <f>IF(AND(F701=0,G701&gt;0),"n/a",IF(F701=0,0,100*G701/F701))</f>
        <v>0</v>
      </c>
      <c r="I701" s="201">
        <f>IF(F701="*","*",F701-G701)</f>
        <v>0</v>
      </c>
      <c r="J701" s="202">
        <f>VLOOKUP(B701,[4]Weeks!$A$125:$X$161,17,FALSE)-VLOOKUP(B701,[4]Weeks!$A$165:$X$200,17,FALSE)</f>
        <v>0</v>
      </c>
      <c r="K701" s="202">
        <f>VLOOKUP(B701,[4]Weeks!$A$85:$X$121,17,FALSE)-VLOOKUP(B701,[4]Weeks!$A$125:$X$161,17,FALSE)</f>
        <v>0</v>
      </c>
      <c r="L701" s="202">
        <f>VLOOKUP(B701,[4]Weeks!$A$44:$X$81,17,FALSE)-VLOOKUP(B701,[4]Weeks!$A$85:$X$121,17,FALSE)</f>
        <v>0</v>
      </c>
      <c r="M701" s="202">
        <f>VLOOKUP(B701,[4]Weeks!$A$3:$X$39,17,FALSE)-VLOOKUP(B701,[4]Weeks!$A$44:$X$81,17,FALSE)</f>
        <v>0</v>
      </c>
      <c r="N701" s="11" t="str">
        <f>IF(C701="*","*",IF(C701&gt;0,M701/C701*100,"-"))</f>
        <v>-</v>
      </c>
      <c r="O701" s="202">
        <f t="shared" si="138"/>
        <v>0</v>
      </c>
      <c r="P701" s="41" t="str">
        <f>IF(ISNUMBER(VLOOKUP(B701,[4]CLOSURES!B:BI,16,FALSE)),TEXT(VLOOKUP(B701,[4]CLOSURES!B:BI,16,FALSE),"ddmmm"),IF(F701&lt;=0,0,IF(I701&lt;=0,0,IF(AND(F701&gt;0,O701&lt;=0),"&gt;52",IF(I701/O701&gt;52,"&gt;52", MAX(0,I701/O701-2))))))</f>
        <v>01Jan</v>
      </c>
      <c r="Q701" s="158"/>
      <c r="R701" s="158"/>
    </row>
    <row r="702" spans="2:18" ht="10.5" hidden="1" x14ac:dyDescent="0.25">
      <c r="B702" s="40" t="s">
        <v>67</v>
      </c>
      <c r="C702" s="130">
        <f>'[5]Maj Pel Combined'!$Q$17</f>
        <v>0</v>
      </c>
      <c r="D702" s="200">
        <f>F702-VLOOKUP(B702,[4]quotas!$B$85:$AF$120,25,FALSE)</f>
        <v>0</v>
      </c>
      <c r="E702" s="200">
        <v>0</v>
      </c>
      <c r="F702" s="201">
        <f>VLOOKUP(B702,[4]quotas!$B$46:$AF$84,25,FALSE)</f>
        <v>0</v>
      </c>
      <c r="G702" s="202">
        <f>VLOOKUP(B702,[4]Cumulative!$A$56:$AZ$91,26,FALSE)</f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f t="shared" si="138"/>
        <v>0</v>
      </c>
      <c r="P702" s="41" t="str">
        <f>IF(ISNUMBER(VLOOKUP(B702,[4]CLOSURES!B:BI,16,FALSE)),TEXT(VLOOKUP(B702,[4]CLOSURES!B:BI,16,FALSE),"ddmmm"),IF(F702&lt;=0,0,IF(I702&lt;=0,0,IF(AND(F702&gt;0,O702&lt;=0),"&gt;52",IF(I702/O702&gt;52,"&gt;52", MAX(0,I702/O702-2))))))</f>
        <v>01Jan</v>
      </c>
      <c r="Q702" s="158"/>
      <c r="R702" s="158"/>
    </row>
    <row r="703" spans="2:18" ht="10.5" hidden="1" x14ac:dyDescent="0.25">
      <c r="B703" s="40" t="s">
        <v>68</v>
      </c>
      <c r="C703" s="130">
        <f>'[5]Maj Pel Combined'!$Q$25</f>
        <v>0</v>
      </c>
      <c r="D703" s="200">
        <f>F703-VLOOKUP(B703,[4]quotas!$B$85:$AF$120,25,FALSE)</f>
        <v>0</v>
      </c>
      <c r="E703" s="200">
        <f t="shared" ref="E703:E708" si="139">F703-C703</f>
        <v>0</v>
      </c>
      <c r="F703" s="201">
        <f>VLOOKUP(B703,[4]quotas!$B$46:$AF$84,25,FALSE)</f>
        <v>0</v>
      </c>
      <c r="G703" s="202">
        <f>VLOOKUP(B703,[4]Cumulative!$A$56:$AZ$91,26,FALSE)</f>
        <v>0</v>
      </c>
      <c r="H703" s="151">
        <f t="shared" ref="H703:H708" si="140">IF(AND(F703=0,G703&gt;0),"n/a",IF(F703=0,0,100*G703/F703))</f>
        <v>0</v>
      </c>
      <c r="I703" s="201">
        <f t="shared" ref="I703:I708" si="141">IF(F703="*","*",F703-G703)</f>
        <v>0</v>
      </c>
      <c r="J703" s="202">
        <f>VLOOKUP(B703,[4]Weeks!$A$125:$X$161,17,FALSE)-VLOOKUP(B703,[4]Weeks!$A$165:$X$200,17,FALSE)</f>
        <v>0</v>
      </c>
      <c r="K703" s="202">
        <f>VLOOKUP(B703,[4]Weeks!$A$85:$X$121,17,FALSE)-VLOOKUP(B703,[4]Weeks!$A$125:$X$161,17,FALSE)</f>
        <v>0</v>
      </c>
      <c r="L703" s="202">
        <f>VLOOKUP(B703,[4]Weeks!$A$44:$X$81,17,FALSE)-VLOOKUP(B703,[4]Weeks!$A$85:$X$121,17,FALSE)</f>
        <v>0</v>
      </c>
      <c r="M703" s="202">
        <f>VLOOKUP(B703,[4]Weeks!$A$3:$X$39,17,FALSE)-VLOOKUP(B703,[4]Weeks!$A$44:$X$81,17,FALSE)</f>
        <v>0</v>
      </c>
      <c r="N703" s="11" t="str">
        <f>IF(C703="*","*",IF(C703&gt;0,M703/C703*100,"-"))</f>
        <v>-</v>
      </c>
      <c r="O703" s="202">
        <f t="shared" si="138"/>
        <v>0</v>
      </c>
      <c r="P703" s="41" t="str">
        <f>IF(ISNUMBER(VLOOKUP(B703,[4]CLOSURES!B:BI,16,FALSE)),TEXT(VLOOKUP(B703,[4]CLOSURES!B:BI,16,FALSE),"ddmmm"),IF(F703&lt;=0,0,IF(I703&lt;=0,0,IF(AND(F703&gt;0,O703&lt;=0),"&gt;52",IF(I703/O703&gt;52,"&gt;52", MAX(0,I703/O703-2))))))</f>
        <v>01Jan</v>
      </c>
      <c r="Q703" s="158"/>
      <c r="R703" s="158"/>
    </row>
    <row r="704" spans="2:18" ht="10.5" hidden="1" x14ac:dyDescent="0.25">
      <c r="B704" s="40" t="s">
        <v>69</v>
      </c>
      <c r="C704" s="130">
        <f>'[5]Maj Pel Combined'!$Q$22</f>
        <v>0</v>
      </c>
      <c r="D704" s="200">
        <f>F704-VLOOKUP(B704,[4]quotas!$B$85:$AF$120,25,FALSE)</f>
        <v>0</v>
      </c>
      <c r="E704" s="200">
        <f t="shared" si="139"/>
        <v>0</v>
      </c>
      <c r="F704" s="201">
        <f>VLOOKUP(B704,[4]quotas!$B$46:$AF$84,25,FALSE)</f>
        <v>0</v>
      </c>
      <c r="G704" s="202">
        <f>VLOOKUP(B704,[4]Cumulative!$A$56:$AZ$91,26,FALSE)</f>
        <v>0</v>
      </c>
      <c r="H704" s="151">
        <f t="shared" si="140"/>
        <v>0</v>
      </c>
      <c r="I704" s="201">
        <f t="shared" si="141"/>
        <v>0</v>
      </c>
      <c r="J704" s="202">
        <f>VLOOKUP(B704,[4]Weeks!$A$125:$X$161,17,FALSE)-VLOOKUP(B704,[4]Weeks!$A$165:$X$200,17,FALSE)</f>
        <v>0</v>
      </c>
      <c r="K704" s="202">
        <f>VLOOKUP(B704,[4]Weeks!$A$85:$X$121,17,FALSE)-VLOOKUP(B704,[4]Weeks!$A$125:$X$161,17,FALSE)</f>
        <v>0</v>
      </c>
      <c r="L704" s="202">
        <f>VLOOKUP(B704,[4]Weeks!$A$44:$X$81,17,FALSE)-VLOOKUP(B704,[4]Weeks!$A$85:$X$121,17,FALSE)</f>
        <v>0</v>
      </c>
      <c r="M704" s="202">
        <f>VLOOKUP(B704,[4]Weeks!$A$3:$X$39,17,FALSE)-VLOOKUP(B704,[4]Weeks!$A$44:$X$81,17,FALSE)</f>
        <v>0</v>
      </c>
      <c r="N704" s="11" t="str">
        <f>IF(C704="*","*",IF(C704&gt;0,M704/C704*100,"-"))</f>
        <v>-</v>
      </c>
      <c r="O704" s="202">
        <f t="shared" si="138"/>
        <v>0</v>
      </c>
      <c r="P704" s="41" t="str">
        <f>IF(ISNUMBER(VLOOKUP(B704,[4]CLOSURES!B:BI,16,FALSE)),TEXT(VLOOKUP(B704,[4]CLOSURES!B:BI,16,FALSE),"ddmmm"),IF(F704&lt;=0,0,IF(I704&lt;=0,0,IF(AND(F704&gt;0,O704&lt;=0),"&gt;52",IF(I704/O704&gt;52,"&gt;52", MAX(0,I704/O704-2))))))</f>
        <v>01Jan</v>
      </c>
      <c r="Q704" s="158"/>
      <c r="R704" s="158"/>
    </row>
    <row r="705" spans="2:18" ht="10.5" hidden="1" x14ac:dyDescent="0.25">
      <c r="B705" s="40" t="s">
        <v>70</v>
      </c>
      <c r="C705" s="130">
        <f>'[5]Maj Pel Combined'!$Q$21</f>
        <v>0</v>
      </c>
      <c r="D705" s="200">
        <f>F705-VLOOKUP(B705,[4]quotas!$B$85:$AF$120,25,FALSE)</f>
        <v>0</v>
      </c>
      <c r="E705" s="200">
        <f t="shared" si="139"/>
        <v>0</v>
      </c>
      <c r="F705" s="201">
        <f>VLOOKUP(B705,[4]quotas!$B$46:$AF$84,25,FALSE)</f>
        <v>0</v>
      </c>
      <c r="G705" s="202">
        <f>VLOOKUP(B705,[4]Cumulative!$A$56:$AZ$91,26,FALSE)</f>
        <v>0</v>
      </c>
      <c r="H705" s="151">
        <f t="shared" si="140"/>
        <v>0</v>
      </c>
      <c r="I705" s="201">
        <f t="shared" si="141"/>
        <v>0</v>
      </c>
      <c r="J705" s="202">
        <f>VLOOKUP(B705,[4]Weeks!$A$125:$X$161,17,FALSE)-VLOOKUP(B705,[4]Weeks!$A$165:$X$200,17,FALSE)</f>
        <v>0</v>
      </c>
      <c r="K705" s="202">
        <f>VLOOKUP(B705,[4]Weeks!$A$85:$X$121,17,FALSE)-VLOOKUP(B705,[4]Weeks!$A$125:$X$161,17,FALSE)</f>
        <v>0</v>
      </c>
      <c r="L705" s="202">
        <f>VLOOKUP(B705,[4]Weeks!$A$44:$X$81,17,FALSE)-VLOOKUP(B705,[4]Weeks!$A$85:$X$121,17,FALSE)</f>
        <v>0</v>
      </c>
      <c r="M705" s="202">
        <f>VLOOKUP(B705,[4]Weeks!$A$3:$X$39,17,FALSE)-VLOOKUP(B705,[4]Weeks!$A$44:$X$81,17,FALSE)</f>
        <v>0</v>
      </c>
      <c r="N705" s="11" t="str">
        <f>IF(C705="*","*",IF(C705&gt;0,M705/C705*100,"-"))</f>
        <v>-</v>
      </c>
      <c r="O705" s="202">
        <f t="shared" si="138"/>
        <v>0</v>
      </c>
      <c r="P705" s="41" t="str">
        <f>IF(ISNUMBER(VLOOKUP(B705,[4]CLOSURES!B:BI,16,FALSE)),TEXT(VLOOKUP(B705,[4]CLOSURES!B:BI,16,FALSE),"ddmmm"),IF(F705&lt;=0,0,IF(I705&lt;=0,0,IF(AND(F705&gt;0,O705&lt;=0),"&gt;52",IF(I705/O705&gt;52,"&gt;52", MAX(0,I705/O705-2))))))</f>
        <v>01Jan</v>
      </c>
      <c r="Q705" s="158"/>
      <c r="R705" s="158"/>
    </row>
    <row r="706" spans="2:18" ht="10.5" hidden="1" x14ac:dyDescent="0.25">
      <c r="B706" s="40" t="s">
        <v>71</v>
      </c>
      <c r="C706" s="130">
        <f>'[5]Maj Pel Combined'!$Q$18</f>
        <v>0</v>
      </c>
      <c r="D706" s="200">
        <f>F706-VLOOKUP(B706,[4]quotas!$B$85:$AF$120,25,FALSE)</f>
        <v>0</v>
      </c>
      <c r="E706" s="200">
        <f t="shared" si="139"/>
        <v>0</v>
      </c>
      <c r="F706" s="201">
        <f>VLOOKUP(B706,[4]quotas!$B$46:$AF$84,25,FALSE)</f>
        <v>0</v>
      </c>
      <c r="G706" s="202">
        <f>VLOOKUP(B706,[4]Cumulative!$A$56:$AZ$91,26,FALSE)</f>
        <v>0</v>
      </c>
      <c r="H706" s="151">
        <f t="shared" si="140"/>
        <v>0</v>
      </c>
      <c r="I706" s="201">
        <f t="shared" si="141"/>
        <v>0</v>
      </c>
      <c r="J706" s="202">
        <f>VLOOKUP(B706,[4]Weeks!$A$125:$X$161,17,FALSE)-VLOOKUP(B706,[4]Weeks!$A$165:$X$200,17,FALSE)</f>
        <v>0</v>
      </c>
      <c r="K706" s="202">
        <f>VLOOKUP(B706,[4]Weeks!$A$85:$X$121,17,FALSE)-VLOOKUP(B706,[4]Weeks!$A$125:$X$161,17,FALSE)</f>
        <v>0</v>
      </c>
      <c r="L706" s="202">
        <f>VLOOKUP(B706,[4]Weeks!$A$44:$X$81,17,FALSE)-VLOOKUP(B706,[4]Weeks!$A$85:$X$121,17,FALSE)</f>
        <v>0</v>
      </c>
      <c r="M706" s="202">
        <f>VLOOKUP(B706,[4]Weeks!$A$3:$X$39,17,FALSE)-VLOOKUP(B706,[4]Weeks!$A$44:$X$81,17,FALSE)</f>
        <v>0</v>
      </c>
      <c r="N706" s="11" t="str">
        <f>IF(C706="*","*",IF(C706&gt;0,M706/C706*100,"-"))</f>
        <v>-</v>
      </c>
      <c r="O706" s="202">
        <f t="shared" si="138"/>
        <v>0</v>
      </c>
      <c r="P706" s="41">
        <f>IF(ISNUMBER(VLOOKUP(B706,[4]CLOSURES!B:BI,16,FALSE)),TEXT(VLOOKUP(B706,[4]CLOSURES!B:BI,16,FALSE),"ddmmm"),IF(F706&lt;=0,0,IF(I706&lt;=0,0,IF(AND(F706&gt;0,O706&lt;=0),"&gt;52",IF(I706/O706&gt;52,"&gt;52", MAX(0,I706/O706-2))))))</f>
        <v>0</v>
      </c>
      <c r="Q706" s="158"/>
      <c r="R706" s="158"/>
    </row>
    <row r="707" spans="2:18" ht="10.5" hidden="1" x14ac:dyDescent="0.25">
      <c r="B707" s="40" t="s">
        <v>72</v>
      </c>
      <c r="C707" s="130">
        <f>'[5]Maj Pel Combined'!$Q$19</f>
        <v>0</v>
      </c>
      <c r="D707" s="200">
        <f>F707-VLOOKUP(B707,[4]quotas!$B$85:$AF$120,25,FALSE)</f>
        <v>0</v>
      </c>
      <c r="E707" s="200">
        <f t="shared" si="139"/>
        <v>0</v>
      </c>
      <c r="F707" s="201">
        <f>VLOOKUP(B707,[4]quotas!$B$46:$AF$84,25,FALSE)</f>
        <v>0</v>
      </c>
      <c r="G707" s="202">
        <f>VLOOKUP(B707,[4]Cumulative!$A$56:$AZ$91,26,FALSE)</f>
        <v>0</v>
      </c>
      <c r="H707" s="151">
        <f t="shared" si="140"/>
        <v>0</v>
      </c>
      <c r="I707" s="201">
        <f t="shared" si="141"/>
        <v>0</v>
      </c>
      <c r="J707" s="202">
        <f>VLOOKUP(B707,[4]Weeks!$A$125:$X$161,17,FALSE)-VLOOKUP(B707,[4]Weeks!$A$165:$X$200,17,FALSE)</f>
        <v>0</v>
      </c>
      <c r="K707" s="202">
        <f>VLOOKUP(B707,[4]Weeks!$A$85:$X$121,17,FALSE)-VLOOKUP(B707,[4]Weeks!$A$125:$X$161,17,FALSE)</f>
        <v>0</v>
      </c>
      <c r="L707" s="202">
        <f>VLOOKUP(B707,[4]Weeks!$A$44:$X$81,17,FALSE)-VLOOKUP(B707,[4]Weeks!$A$85:$X$121,17,FALSE)</f>
        <v>0</v>
      </c>
      <c r="M707" s="202">
        <f>VLOOKUP(B707,[4]Weeks!$A$3:$X$39,17,FALSE)-VLOOKUP(B707,[4]Weeks!$A$44:$X$81,17,FALSE)</f>
        <v>0</v>
      </c>
      <c r="N707" s="11" t="str">
        <f>IF(C707="*","*",IF(C707&gt;0,M707/C707*100,"-"))</f>
        <v>-</v>
      </c>
      <c r="O707" s="202">
        <f t="shared" si="138"/>
        <v>0</v>
      </c>
      <c r="P707" s="41">
        <f>IF(ISNUMBER(VLOOKUP(B707,[4]CLOSURES!B:BI,16,FALSE)),TEXT(VLOOKUP(B707,[4]CLOSURES!B:BI,16,FALSE),"ddmmm"),IF(F707&lt;=0,0,IF(I707&lt;=0,0,IF(AND(F707&gt;0,O707&lt;=0),"&gt;52",IF(I707/O707&gt;52,"&gt;52", MAX(0,I707/O707-2))))))</f>
        <v>0</v>
      </c>
      <c r="Q707" s="158"/>
      <c r="R707" s="158"/>
    </row>
    <row r="708" spans="2:18" ht="10.5" hidden="1" x14ac:dyDescent="0.25">
      <c r="B708" s="43" t="s">
        <v>73</v>
      </c>
      <c r="C708" s="130">
        <f>SUM(C698:C707)</f>
        <v>0</v>
      </c>
      <c r="D708" s="200">
        <f>SUM(D698:D707)</f>
        <v>0</v>
      </c>
      <c r="E708" s="200">
        <f t="shared" si="139"/>
        <v>0</v>
      </c>
      <c r="F708" s="201">
        <f>SUM(F698:F707)</f>
        <v>0</v>
      </c>
      <c r="G708" s="202">
        <f>SUM(G698:G707)</f>
        <v>0</v>
      </c>
      <c r="H708" s="151">
        <f t="shared" si="140"/>
        <v>0</v>
      </c>
      <c r="I708" s="201">
        <f t="shared" si="141"/>
        <v>0</v>
      </c>
      <c r="J708" s="202">
        <f t="shared" ref="J708:O708" si="142">SUM(J698:J707)</f>
        <v>0</v>
      </c>
      <c r="K708" s="202">
        <f t="shared" si="142"/>
        <v>0</v>
      </c>
      <c r="L708" s="202">
        <f t="shared" si="142"/>
        <v>0</v>
      </c>
      <c r="M708" s="202">
        <f t="shared" si="142"/>
        <v>0</v>
      </c>
      <c r="N708" s="11">
        <f t="shared" si="142"/>
        <v>0</v>
      </c>
      <c r="O708" s="202">
        <f t="shared" si="142"/>
        <v>0</v>
      </c>
      <c r="P708" s="41">
        <f>IF(ISNUMBER(VLOOKUP(B708,[4]CLOSURES!B:BI,16,FALSE)),TEXT(VLOOKUP(B708,[4]CLOSURES!B:BI,16,FALSE),"ddmmm"),IF(F708&lt;=0,0,IF(I708&lt;=0,0,IF(AND(F708&gt;0,O708&lt;=0),"&gt;52",IF(I708/O708&gt;52,"&gt;52", MAX(0,I708/O708-2))))))</f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f>'[5]Maj Pel Combined'!$Q$5</f>
        <v>0</v>
      </c>
      <c r="D710" s="200">
        <f>F710-VLOOKUP(B710,[4]quotas!$B$85:$AF$120,25,FALSE)</f>
        <v>0</v>
      </c>
      <c r="E710" s="200">
        <f>F710-C710</f>
        <v>0</v>
      </c>
      <c r="F710" s="201">
        <f>VLOOKUP(B710,[4]quotas!$B$46:$AF$84,25,FALSE)</f>
        <v>0</v>
      </c>
      <c r="G710" s="202">
        <f>VLOOKUP(B710,[4]Cumulative!$A$56:$AZ$91,26,FALSE)</f>
        <v>0</v>
      </c>
      <c r="H710" s="151">
        <f>IF(AND(F710=0,G710&gt;0),"n/a",IF(F710=0,0,100*G710/F710))</f>
        <v>0</v>
      </c>
      <c r="I710" s="201">
        <f>IF(F710="*","*",F710-G710)</f>
        <v>0</v>
      </c>
      <c r="J710" s="202">
        <f>VLOOKUP(B710,[4]Weeks!$A$125:$X$161,17,FALSE)-VLOOKUP(B710,[4]Weeks!$A$165:$X$200,17,FALSE)</f>
        <v>0</v>
      </c>
      <c r="K710" s="202">
        <f>VLOOKUP(B710,[4]Weeks!$A$85:$X$121,17,FALSE)-VLOOKUP(B710,[4]Weeks!$A$125:$X$161,17,FALSE)</f>
        <v>0</v>
      </c>
      <c r="L710" s="202">
        <f>VLOOKUP(B710,[4]Weeks!$A$44:$X$81,17,FALSE)-VLOOKUP(B710,[4]Weeks!$A$85:$X$121,17,FALSE)</f>
        <v>0</v>
      </c>
      <c r="M710" s="202">
        <f>VLOOKUP(B710,[4]Weeks!$A$3:$X$39,17,FALSE)-VLOOKUP(B710,[4]Weeks!$A$44:$X$81,17,FALSE)</f>
        <v>0</v>
      </c>
      <c r="N710" s="11" t="str">
        <f>IF(C710="*","*",IF(C710&gt;0,M710/C710*100,"-"))</f>
        <v>-</v>
      </c>
      <c r="O710" s="202">
        <f t="shared" ref="O710:O718" si="143">IF(C710="*","*",SUM(J710:M710)/4)</f>
        <v>0</v>
      </c>
      <c r="P710" s="41">
        <f>IF(ISNUMBER(VLOOKUP(B710,[4]CLOSURES!B:BI,16,FALSE)),TEXT(VLOOKUP(B710,[4]CLOSURES!B:BI,16,FALSE),"ddmmm"),IF(F710&lt;=0,0,IF(I710&lt;=0,0,IF(AND(F710&gt;0,O710&lt;=0),"&gt;52",IF(I710/O710&gt;52,"&gt;52", MAX(0,I710/O710-2))))))</f>
        <v>0</v>
      </c>
      <c r="Q710" s="158"/>
      <c r="R710" s="158"/>
    </row>
    <row r="711" spans="2:18" ht="10.5" hidden="1" x14ac:dyDescent="0.25">
      <c r="B711" s="40" t="s">
        <v>75</v>
      </c>
      <c r="C711" s="130">
        <f>'[5]Maj Pel Combined'!$Q$7</f>
        <v>0</v>
      </c>
      <c r="D711" s="200">
        <f>F711-VLOOKUP(B711,[4]quotas!$B$85:$AF$120,25,FALSE)</f>
        <v>0</v>
      </c>
      <c r="E711" s="200">
        <f>F711-C711</f>
        <v>0</v>
      </c>
      <c r="F711" s="201">
        <f>VLOOKUP(B711,[4]quotas!$B$46:$AF$84,25,FALSE)</f>
        <v>0</v>
      </c>
      <c r="G711" s="202">
        <f>VLOOKUP(B711,[4]Cumulative!$A$56:$AZ$91,26,FALSE)</f>
        <v>0</v>
      </c>
      <c r="H711" s="151">
        <f>IF(AND(F711=0,G711&gt;0),"n/a",IF(F711=0,0,100*G711/F711))</f>
        <v>0</v>
      </c>
      <c r="I711" s="201">
        <f>IF(F711="*","*",F711-G711)</f>
        <v>0</v>
      </c>
      <c r="J711" s="202">
        <f>VLOOKUP(B711,[4]Weeks!$A$125:$X$161,17,FALSE)-VLOOKUP(B711,[4]Weeks!$A$165:$X$200,17,FALSE)</f>
        <v>0</v>
      </c>
      <c r="K711" s="202">
        <f>VLOOKUP(B711,[4]Weeks!$A$85:$X$121,17,FALSE)-VLOOKUP(B711,[4]Weeks!$A$125:$X$161,17,FALSE)</f>
        <v>0</v>
      </c>
      <c r="L711" s="202">
        <f>VLOOKUP(B711,[4]Weeks!$A$44:$X$81,17,FALSE)-VLOOKUP(B711,[4]Weeks!$A$85:$X$121,17,FALSE)</f>
        <v>0</v>
      </c>
      <c r="M711" s="202">
        <f>VLOOKUP(B711,[4]Weeks!$A$3:$X$39,17,FALSE)-VLOOKUP(B711,[4]Weeks!$A$44:$X$81,17,FALSE)</f>
        <v>0</v>
      </c>
      <c r="N711" s="11" t="str">
        <f>IF(C711="*","*",IF(C711&gt;0,M711/C711*100,"-"))</f>
        <v>-</v>
      </c>
      <c r="O711" s="202">
        <f>IF(C711="*","*",SUM(J711:M711)/4)</f>
        <v>0</v>
      </c>
      <c r="P711" s="41">
        <f>IF(ISNUMBER(VLOOKUP(B711,[4]CLOSURES!B:BI,16,FALSE)),TEXT(VLOOKUP(B711,[4]CLOSURES!B:BI,16,FALSE),"ddmmm"),IF(F711&lt;=0,0,IF(I711&lt;=0,0,IF(AND(F711&gt;0,O711&lt;=0),"&gt;52",IF(I711/O711&gt;52,"&gt;52", MAX(0,I711/O711-2))))))</f>
        <v>0</v>
      </c>
      <c r="Q711" s="158"/>
      <c r="R711" s="158"/>
    </row>
    <row r="712" spans="2:18" ht="10.5" hidden="1" x14ac:dyDescent="0.25">
      <c r="B712" s="40" t="s">
        <v>152</v>
      </c>
      <c r="C712" s="130">
        <f>'[5]Maj Pel Combined'!$Q$8</f>
        <v>0</v>
      </c>
      <c r="D712" s="200">
        <f>F712-VLOOKUP(B712,[4]quotas!$B$85:$AF$120,25,FALSE)</f>
        <v>0</v>
      </c>
      <c r="E712" s="200">
        <f>F712-C712</f>
        <v>0</v>
      </c>
      <c r="F712" s="201">
        <f>VLOOKUP(B712,[4]quotas!$B$46:$AF$84,25,FALSE)</f>
        <v>0</v>
      </c>
      <c r="G712" s="202">
        <f>VLOOKUP(B712,[4]Cumulative!$A$56:$AZ$91,26,FALSE)</f>
        <v>0</v>
      </c>
      <c r="H712" s="151">
        <f>IF(AND(F712=0,G712&gt;0),"n/a",IF(F712=0,0,100*G712/F712))</f>
        <v>0</v>
      </c>
      <c r="I712" s="201">
        <f>IF(F712="*","*",F712-G712)</f>
        <v>0</v>
      </c>
      <c r="J712" s="202">
        <f>VLOOKUP(B712,[4]Weeks!$A$125:$X$161,17,FALSE)-VLOOKUP(B712,[4]Weeks!$A$165:$X$200,17,FALSE)</f>
        <v>0</v>
      </c>
      <c r="K712" s="202">
        <f>VLOOKUP(B712,[4]Weeks!$A$85:$X$121,17,FALSE)-VLOOKUP(B712,[4]Weeks!$A$125:$X$161,17,FALSE)</f>
        <v>0</v>
      </c>
      <c r="L712" s="202">
        <f>VLOOKUP(B712,[4]Weeks!$A$44:$X$81,17,FALSE)-VLOOKUP(B712,[4]Weeks!$A$85:$X$121,17,FALSE)</f>
        <v>0</v>
      </c>
      <c r="M712" s="202">
        <f>VLOOKUP(B712,[4]Weeks!$A$3:$X$39,17,FALSE)-VLOOKUP(B712,[4]Weeks!$A$44:$X$81,17,FALSE)</f>
        <v>0</v>
      </c>
      <c r="N712" s="11" t="str">
        <f>IF(C712="*","*",IF(C712&gt;0,M712/C712*100,"-"))</f>
        <v>-</v>
      </c>
      <c r="O712" s="202">
        <f>IF(C712="*","*",SUM(J712:M712)/4)</f>
        <v>0</v>
      </c>
      <c r="P712" s="41" t="str">
        <f>IF(ISNUMBER(VLOOKUP(B712,[4]CLOSURES!B:BI,16,FALSE)),TEXT(VLOOKUP(B712,[4]CLOSURES!B:BI,16,FALSE),"ddmmm"),IF(F712&lt;=0,0,IF(I712&lt;=0,0,IF(AND(F712&gt;0,O712&lt;=0),"&gt;52",IF(I712/O712&gt;52,"&gt;52", MAX(0,I712/O712-2))))))</f>
        <v>01Jan</v>
      </c>
      <c r="Q712" s="158"/>
      <c r="R712" s="158"/>
    </row>
    <row r="713" spans="2:18" ht="10.5" hidden="1" x14ac:dyDescent="0.25">
      <c r="B713" s="40" t="s">
        <v>76</v>
      </c>
      <c r="C713" s="130">
        <f>'[5]Maj Pel Combined'!$Q$9</f>
        <v>0</v>
      </c>
      <c r="D713" s="200">
        <f>F713-VLOOKUP(B713,[4]quotas!$B$85:$AF$120,25,FALSE)</f>
        <v>0</v>
      </c>
      <c r="E713" s="200">
        <f t="shared" ref="E713:E719" si="144">F713-C713</f>
        <v>0</v>
      </c>
      <c r="F713" s="201">
        <f>VLOOKUP(B713,[4]quotas!$B$46:$AF$84,25,FALSE)</f>
        <v>0</v>
      </c>
      <c r="G713" s="202">
        <f>VLOOKUP(B713,[4]Cumulative!$A$56:$AZ$91,26,FALSE)</f>
        <v>0</v>
      </c>
      <c r="H713" s="151">
        <f t="shared" ref="H713:H718" si="145">IF(AND(F713=0,G713&gt;0),"n/a",IF(F713=0,0,100*G713/F713))</f>
        <v>0</v>
      </c>
      <c r="I713" s="201">
        <f t="shared" ref="I713:I719" si="146">IF(F713="*","*",F713-G713)</f>
        <v>0</v>
      </c>
      <c r="J713" s="202">
        <f>VLOOKUP(B713,[4]Weeks!$A$125:$X$161,17,FALSE)-VLOOKUP(B713,[4]Weeks!$A$165:$X$200,17,FALSE)</f>
        <v>0</v>
      </c>
      <c r="K713" s="202">
        <f>VLOOKUP(B713,[4]Weeks!$A$85:$X$121,17,FALSE)-VLOOKUP(B713,[4]Weeks!$A$125:$X$161,17,FALSE)</f>
        <v>0</v>
      </c>
      <c r="L713" s="202">
        <f>VLOOKUP(B713,[4]Weeks!$A$44:$X$81,17,FALSE)-VLOOKUP(B713,[4]Weeks!$A$85:$X$121,17,FALSE)</f>
        <v>0</v>
      </c>
      <c r="M713" s="202">
        <f>VLOOKUP(B713,[4]Weeks!$A$3:$X$39,17,FALSE)-VLOOKUP(B713,[4]Weeks!$A$44:$X$81,17,FALSE)</f>
        <v>0</v>
      </c>
      <c r="N713" s="11" t="str">
        <f t="shared" ref="N713:N718" si="147">IF(C713="*","*",IF(C713&gt;0,M713/C713*100,"-"))</f>
        <v>-</v>
      </c>
      <c r="O713" s="202">
        <f t="shared" si="143"/>
        <v>0</v>
      </c>
      <c r="P713" s="41" t="str">
        <f>IF(ISNUMBER(VLOOKUP(B713,[4]CLOSURES!B:BI,16,FALSE)),TEXT(VLOOKUP(B713,[4]CLOSURES!B:BI,16,FALSE),"ddmmm"),IF(F713&lt;=0,0,IF(I713&lt;=0,0,IF(AND(F713&gt;0,O713&lt;=0),"&gt;52",IF(I713/O713&gt;52,"&gt;52", MAX(0,I713/O713-2))))))</f>
        <v>01Jan</v>
      </c>
      <c r="Q713" s="158"/>
      <c r="R713" s="158"/>
    </row>
    <row r="714" spans="2:18" ht="10.5" hidden="1" x14ac:dyDescent="0.25">
      <c r="B714" s="40" t="s">
        <v>77</v>
      </c>
      <c r="C714" s="130">
        <f>'[5]Maj Pel Combined'!$Q$27</f>
        <v>0</v>
      </c>
      <c r="D714" s="200">
        <f>F714-VLOOKUP(B714,[4]quotas!$B$85:$AF$120,25,FALSE)</f>
        <v>0</v>
      </c>
      <c r="E714" s="200">
        <f t="shared" si="144"/>
        <v>0</v>
      </c>
      <c r="F714" s="201">
        <f>VLOOKUP(B714,[4]quotas!$B$46:$AF$84,25,FALSE)</f>
        <v>0</v>
      </c>
      <c r="G714" s="202">
        <f>VLOOKUP(B714,[4]Cumulative!$A$56:$AZ$91,26,FALSE)</f>
        <v>0</v>
      </c>
      <c r="H714" s="151">
        <f t="shared" si="145"/>
        <v>0</v>
      </c>
      <c r="I714" s="201">
        <f t="shared" si="146"/>
        <v>0</v>
      </c>
      <c r="J714" s="202">
        <f>VLOOKUP(B714,[4]Weeks!$A$125:$X$161,17,FALSE)-VLOOKUP(B714,[4]Weeks!$A$165:$X$200,17,FALSE)</f>
        <v>0</v>
      </c>
      <c r="K714" s="202">
        <f>VLOOKUP(B714,[4]Weeks!$A$85:$X$121,17,FALSE)-VLOOKUP(B714,[4]Weeks!$A$125:$X$161,17,FALSE)</f>
        <v>0</v>
      </c>
      <c r="L714" s="202">
        <f>VLOOKUP(B714,[4]Weeks!$A$44:$X$81,17,FALSE)-VLOOKUP(B714,[4]Weeks!$A$85:$X$121,17,FALSE)</f>
        <v>0</v>
      </c>
      <c r="M714" s="202">
        <f>VLOOKUP(B714,[4]Weeks!$A$3:$X$39,17,FALSE)-VLOOKUP(B714,[4]Weeks!$A$44:$X$81,17,FALSE)</f>
        <v>0</v>
      </c>
      <c r="N714" s="11" t="str">
        <f t="shared" si="147"/>
        <v>-</v>
      </c>
      <c r="O714" s="202">
        <f t="shared" si="143"/>
        <v>0</v>
      </c>
      <c r="P714" s="41">
        <f>IF(ISNUMBER(VLOOKUP(B714,[4]CLOSURES!B:BI,16,FALSE)),TEXT(VLOOKUP(B714,[4]CLOSURES!B:BI,16,FALSE),"ddmmm"),IF(F714&lt;=0,0,IF(I714&lt;=0,0,IF(AND(F714&gt;0,O714&lt;=0),"&gt;52",IF(I714/O714&gt;52,"&gt;52", MAX(0,I714/O714-2))))))</f>
        <v>0</v>
      </c>
      <c r="Q714" s="158"/>
      <c r="R714" s="158"/>
    </row>
    <row r="715" spans="2:18" ht="10.5" hidden="1" x14ac:dyDescent="0.25">
      <c r="B715" s="40" t="s">
        <v>78</v>
      </c>
      <c r="C715" s="130">
        <f>'[5]Maj Pel Combined'!$Q$26</f>
        <v>0</v>
      </c>
      <c r="D715" s="200">
        <f>F715-VLOOKUP(B715,[4]quotas!$B$85:$AF$120,25,FALSE)</f>
        <v>0</v>
      </c>
      <c r="E715" s="200">
        <f t="shared" si="144"/>
        <v>0</v>
      </c>
      <c r="F715" s="201">
        <f>VLOOKUP(B715,[4]quotas!$B$46:$AF$84,25,FALSE)</f>
        <v>0</v>
      </c>
      <c r="G715" s="202">
        <f>VLOOKUP(B715,[4]Cumulative!$A$56:$AZ$91,26,FALSE)</f>
        <v>0</v>
      </c>
      <c r="H715" s="151">
        <f t="shared" si="145"/>
        <v>0</v>
      </c>
      <c r="I715" s="201">
        <f t="shared" si="146"/>
        <v>0</v>
      </c>
      <c r="J715" s="202">
        <f>VLOOKUP(B715,[4]Weeks!$A$125:$X$161,17,FALSE)-VLOOKUP(B715,[4]Weeks!$A$165:$X$200,17,FALSE)</f>
        <v>0</v>
      </c>
      <c r="K715" s="202">
        <f>VLOOKUP(B715,[4]Weeks!$A$85:$X$121,17,FALSE)-VLOOKUP(B715,[4]Weeks!$A$125:$X$161,17,FALSE)</f>
        <v>0</v>
      </c>
      <c r="L715" s="202">
        <f>VLOOKUP(B715,[4]Weeks!$A$44:$X$81,17,FALSE)-VLOOKUP(B715,[4]Weeks!$A$85:$X$121,17,FALSE)</f>
        <v>0</v>
      </c>
      <c r="M715" s="202">
        <f>VLOOKUP(B715,[4]Weeks!$A$3:$X$39,17,FALSE)-VLOOKUP(B715,[4]Weeks!$A$44:$X$81,17,FALSE)</f>
        <v>0</v>
      </c>
      <c r="N715" s="11" t="str">
        <f t="shared" si="147"/>
        <v>-</v>
      </c>
      <c r="O715" s="202">
        <f t="shared" si="143"/>
        <v>0</v>
      </c>
      <c r="P715" s="41">
        <f>IF(ISNUMBER(VLOOKUP(B715,[4]CLOSURES!B:BI,16,FALSE)),TEXT(VLOOKUP(B715,[4]CLOSURES!B:BI,16,FALSE),"ddmmm"),IF(F715&lt;=0,0,IF(I715&lt;=0,0,IF(AND(F715&gt;0,O715&lt;=0),"&gt;52",IF(I715/O715&gt;52,"&gt;52", MAX(0,I715/O715-2))))))</f>
        <v>0</v>
      </c>
      <c r="Q715" s="158"/>
      <c r="R715" s="158"/>
    </row>
    <row r="716" spans="2:18" ht="10.5" hidden="1" x14ac:dyDescent="0.25">
      <c r="B716" s="40" t="s">
        <v>79</v>
      </c>
      <c r="C716" s="130">
        <f>'[5]Maj Pel Combined'!$Q$6</f>
        <v>0</v>
      </c>
      <c r="D716" s="200">
        <f>F716-VLOOKUP(B716,[4]quotas!$B$85:$AF$120,25,FALSE)</f>
        <v>0</v>
      </c>
      <c r="E716" s="200">
        <f t="shared" si="144"/>
        <v>0</v>
      </c>
      <c r="F716" s="201">
        <f>VLOOKUP(B716,[4]quotas!$B$46:$AF$84,25,FALSE)</f>
        <v>0</v>
      </c>
      <c r="G716" s="202">
        <f>VLOOKUP(B716,[4]Cumulative!$A$56:$AZ$91,26,FALSE)</f>
        <v>0</v>
      </c>
      <c r="H716" s="151">
        <f t="shared" si="145"/>
        <v>0</v>
      </c>
      <c r="I716" s="201">
        <f t="shared" si="146"/>
        <v>0</v>
      </c>
      <c r="J716" s="202">
        <f>VLOOKUP(B716,[4]Weeks!$A$125:$X$161,17,FALSE)-VLOOKUP(B716,[4]Weeks!$A$165:$X$200,17,FALSE)</f>
        <v>0</v>
      </c>
      <c r="K716" s="202">
        <f>VLOOKUP(B716,[4]Weeks!$A$85:$X$121,17,FALSE)-VLOOKUP(B716,[4]Weeks!$A$125:$X$161,17,FALSE)</f>
        <v>0</v>
      </c>
      <c r="L716" s="202">
        <f>VLOOKUP(B716,[4]Weeks!$A$44:$X$81,17,FALSE)-VLOOKUP(B716,[4]Weeks!$A$85:$X$121,17,FALSE)</f>
        <v>0</v>
      </c>
      <c r="M716" s="202">
        <f>VLOOKUP(B716,[4]Weeks!$A$3:$X$39,17,FALSE)-VLOOKUP(B716,[4]Weeks!$A$44:$X$81,17,FALSE)</f>
        <v>0</v>
      </c>
      <c r="N716" s="11" t="str">
        <f t="shared" si="147"/>
        <v>-</v>
      </c>
      <c r="O716" s="202">
        <f t="shared" si="143"/>
        <v>0</v>
      </c>
      <c r="P716" s="41">
        <f>IF(ISNUMBER(VLOOKUP(B716,[4]CLOSURES!B:BI,16,FALSE)),TEXT(VLOOKUP(B716,[4]CLOSURES!B:BI,16,FALSE),"ddmmm"),IF(F716&lt;=0,0,IF(I716&lt;=0,0,IF(AND(F716&gt;0,O716&lt;=0),"&gt;52",IF(I716/O716&gt;52,"&gt;52", MAX(0,I716/O716-2))))))</f>
        <v>0</v>
      </c>
      <c r="Q716" s="158"/>
      <c r="R716" s="158"/>
    </row>
    <row r="717" spans="2:18" ht="10.5" hidden="1" x14ac:dyDescent="0.25">
      <c r="B717" s="40" t="s">
        <v>80</v>
      </c>
      <c r="C717" s="130">
        <f>'[5]Maj Pel Combined'!$Q$14</f>
        <v>0</v>
      </c>
      <c r="D717" s="200">
        <f>F717-VLOOKUP(B717,[4]quotas!$B$85:$AF$120,25,FALSE)</f>
        <v>0</v>
      </c>
      <c r="E717" s="200">
        <f t="shared" si="144"/>
        <v>0</v>
      </c>
      <c r="F717" s="201">
        <f>VLOOKUP(B717,[4]quotas!$B$46:$AF$84,25,FALSE)</f>
        <v>0</v>
      </c>
      <c r="G717" s="202">
        <f>VLOOKUP(B717,[4]Cumulative!$A$56:$AZ$91,26,FALSE)</f>
        <v>0</v>
      </c>
      <c r="H717" s="151">
        <f t="shared" si="145"/>
        <v>0</v>
      </c>
      <c r="I717" s="201">
        <f t="shared" si="146"/>
        <v>0</v>
      </c>
      <c r="J717" s="202">
        <f>VLOOKUP(B717,[4]Weeks!$A$125:$X$161,17,FALSE)-VLOOKUP(B717,[4]Weeks!$A$165:$X$200,17,FALSE)</f>
        <v>0</v>
      </c>
      <c r="K717" s="202">
        <f>VLOOKUP(B717,[4]Weeks!$A$85:$X$121,17,FALSE)-VLOOKUP(B717,[4]Weeks!$A$125:$X$161,17,FALSE)</f>
        <v>0</v>
      </c>
      <c r="L717" s="202">
        <f>VLOOKUP(B717,[4]Weeks!$A$44:$X$81,17,FALSE)-VLOOKUP(B717,[4]Weeks!$A$85:$X$121,17,FALSE)</f>
        <v>0</v>
      </c>
      <c r="M717" s="202">
        <f>VLOOKUP(B717,[4]Weeks!$A$3:$X$39,17,FALSE)-VLOOKUP(B717,[4]Weeks!$A$44:$X$81,17,FALSE)</f>
        <v>0</v>
      </c>
      <c r="N717" s="11" t="str">
        <f t="shared" si="147"/>
        <v>-</v>
      </c>
      <c r="O717" s="202">
        <f t="shared" si="143"/>
        <v>0</v>
      </c>
      <c r="P717" s="41" t="str">
        <f>IF(ISNUMBER(VLOOKUP(B717,[4]CLOSURES!B:BI,16,FALSE)),TEXT(VLOOKUP(B717,[4]CLOSURES!B:BI,16,FALSE),"ddmmm"),IF(F717&lt;=0,0,IF(I717&lt;=0,0,IF(AND(F717&gt;0,O717&lt;=0),"&gt;52",IF(I717/O717&gt;52,"&gt;52", MAX(0,I717/O717-2))))))</f>
        <v>01Jan</v>
      </c>
      <c r="Q717" s="158"/>
      <c r="R717" s="158"/>
    </row>
    <row r="718" spans="2:18" ht="10.5" hidden="1" x14ac:dyDescent="0.25">
      <c r="B718" s="40" t="s">
        <v>81</v>
      </c>
      <c r="C718" s="130">
        <f>'[5]Maj Pel Combined'!$Q$13</f>
        <v>0</v>
      </c>
      <c r="D718" s="200">
        <f>F718-VLOOKUP(B718,[4]quotas!$B$85:$AF$120,25,FALSE)</f>
        <v>0</v>
      </c>
      <c r="E718" s="200">
        <f t="shared" si="144"/>
        <v>0</v>
      </c>
      <c r="F718" s="201">
        <f>VLOOKUP(B718,[4]quotas!$B$46:$AF$84,25,FALSE)</f>
        <v>0</v>
      </c>
      <c r="G718" s="202">
        <f>VLOOKUP(B718,[4]Cumulative!$A$56:$AZ$91,26,FALSE)</f>
        <v>0</v>
      </c>
      <c r="H718" s="151">
        <f t="shared" si="145"/>
        <v>0</v>
      </c>
      <c r="I718" s="201">
        <f t="shared" si="146"/>
        <v>0</v>
      </c>
      <c r="J718" s="202">
        <f>VLOOKUP(B718,[4]Weeks!$A$125:$X$161,17,FALSE)-VLOOKUP(B718,[4]Weeks!$A$165:$X$200,17,FALSE)</f>
        <v>0</v>
      </c>
      <c r="K718" s="202">
        <f>VLOOKUP(B718,[4]Weeks!$A$85:$X$121,17,FALSE)-VLOOKUP(B718,[4]Weeks!$A$125:$X$161,17,FALSE)</f>
        <v>0</v>
      </c>
      <c r="L718" s="202">
        <f>VLOOKUP(B718,[4]Weeks!$A$44:$X$81,17,FALSE)-VLOOKUP(B718,[4]Weeks!$A$85:$X$121,17,FALSE)</f>
        <v>0</v>
      </c>
      <c r="M718" s="202">
        <f>VLOOKUP(B718,[4]Weeks!$A$3:$X$39,17,FALSE)-VLOOKUP(B718,[4]Weeks!$A$44:$X$81,17,FALSE)</f>
        <v>0</v>
      </c>
      <c r="N718" s="11" t="str">
        <f t="shared" si="147"/>
        <v>-</v>
      </c>
      <c r="O718" s="202">
        <f t="shared" si="143"/>
        <v>0</v>
      </c>
      <c r="P718" s="41" t="str">
        <f>IF(ISNUMBER(VLOOKUP(B718,[4]CLOSURES!B:BI,16,FALSE)),TEXT(VLOOKUP(B718,[4]CLOSURES!B:BI,16,FALSE),"ddmmm"),IF(F718&lt;=0,0,IF(I718&lt;=0,0,IF(AND(F718&gt;0,O718&lt;=0),"&gt;52",IF(I718/O718&gt;52,"&gt;52", MAX(0,I718/O718-2))))))</f>
        <v>01Jan</v>
      </c>
      <c r="Q718" s="158"/>
      <c r="R718" s="158"/>
    </row>
    <row r="719" spans="2:18" ht="10.5" hidden="1" x14ac:dyDescent="0.25">
      <c r="B719" s="152" t="s">
        <v>82</v>
      </c>
      <c r="C719" s="130">
        <f>'[5]Maj Pel Combined'!$Q$11</f>
        <v>0</v>
      </c>
      <c r="D719" s="200">
        <f>F719-VLOOKUP(B719,[4]quotas!$B$85:$AF$120,25,FALSE)</f>
        <v>0</v>
      </c>
      <c r="E719" s="200">
        <f t="shared" si="144"/>
        <v>0</v>
      </c>
      <c r="F719" s="201">
        <f>VLOOKUP(B719,[4]quotas!$B$46:$AF$84,25,FALSE)</f>
        <v>0</v>
      </c>
      <c r="G719" s="202">
        <f>VLOOKUP(B719,[4]Cumulative!$A$56:$AZ$91,26,FALSE)</f>
        <v>0</v>
      </c>
      <c r="H719" s="151">
        <f>IF(AND(F719=0,G719&gt;0),"n/a",IF(F719=0,0,100*G719/F719))</f>
        <v>0</v>
      </c>
      <c r="I719" s="201">
        <f t="shared" si="146"/>
        <v>0</v>
      </c>
      <c r="J719" s="202">
        <f>VLOOKUP(B719,[4]Weeks!$A$125:$X$161,17,FALSE)-VLOOKUP(B719,[4]Weeks!$A$165:$X$200,17,FALSE)</f>
        <v>0</v>
      </c>
      <c r="K719" s="202">
        <f>VLOOKUP(B719,[4]Weeks!$A$85:$X$121,17,FALSE)-VLOOKUP(B719,[4]Weeks!$A$125:$X$161,17,FALSE)</f>
        <v>0</v>
      </c>
      <c r="L719" s="202">
        <f>VLOOKUP(B719,[4]Weeks!$A$44:$X$81,17,FALSE)-VLOOKUP(B719,[4]Weeks!$A$85:$X$121,17,FALSE)</f>
        <v>0</v>
      </c>
      <c r="M719" s="202">
        <f>VLOOKUP(B719,[4]Weeks!$A$3:$X$39,17,FALSE)-VLOOKUP(B719,[4]Weeks!$A$44:$X$81,17,FALSE)</f>
        <v>0</v>
      </c>
      <c r="N719" s="11" t="str">
        <f>IF(C719="*","*",IF(C719&gt;0,M719/C719*100,"-"))</f>
        <v>-</v>
      </c>
      <c r="O719" s="202">
        <f>IF(C719="*","*",SUM(J719:M719)/4)</f>
        <v>0</v>
      </c>
      <c r="P719" s="41" t="str">
        <f>IF(ISNUMBER(VLOOKUP(B719,[4]CLOSURES!B:BI,16,FALSE)),TEXT(VLOOKUP(B719,[4]CLOSURES!B:BI,16,FALSE),"ddmmm"),IF(F719&lt;=0,0,IF(I719&lt;=0,0,IF(AND(F719&gt;0,O719&lt;=0),"&gt;52",IF(I719/O719&gt;52,"&gt;52", MAX(0,I719/O719-2))))))</f>
        <v>01Jan</v>
      </c>
      <c r="Q719" s="158"/>
      <c r="R719" s="158"/>
    </row>
    <row r="720" spans="2:18" ht="10.5" hidden="1" x14ac:dyDescent="0.25">
      <c r="B720" s="152" t="s">
        <v>111</v>
      </c>
      <c r="C720" s="130">
        <f>'[5]Maj Pel Combined'!$Q$15</f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f>IF(C720="*","*",SUM(J720:M720)/4)</f>
        <v>0</v>
      </c>
      <c r="P720" s="41">
        <f>IF(ISNUMBER(VLOOKUP(B720,[4]CLOSURES!B:BI,16,FALSE)),TEXT(VLOOKUP(B720,[4]CLOSURES!B:BI,16,FALSE),"ddmmm"),IF(F720&lt;=0,0,IF(I720&lt;=0,0,IF(AND(F720&gt;0,O720&lt;=0),"&gt;52",IF(I720/O720&gt;52,"&gt;52", MAX(0,I720/O720-2))))))</f>
        <v>0</v>
      </c>
      <c r="Q720" s="158"/>
      <c r="R720" s="158"/>
    </row>
    <row r="721" spans="2:18" ht="10.5" hidden="1" x14ac:dyDescent="0.25">
      <c r="B721" s="170" t="s">
        <v>84</v>
      </c>
      <c r="C721" s="130">
        <f>'[5]Maj Pel Combined'!$Q$10</f>
        <v>0</v>
      </c>
      <c r="D721" s="200">
        <f>F721-VLOOKUP(B721,[4]quotas!$B$85:$AF$120,25,FALSE)</f>
        <v>0</v>
      </c>
      <c r="E721" s="200">
        <f>F721-C721</f>
        <v>0</v>
      </c>
      <c r="F721" s="201">
        <f>VLOOKUP(B721,[4]quotas!$B$46:$AF$84,25,FALSE)</f>
        <v>0</v>
      </c>
      <c r="G721" s="202">
        <f>VLOOKUP(B721,[4]Cumulative!$A$56:$AZ$91,26,FALSE)</f>
        <v>0</v>
      </c>
      <c r="H721" s="151">
        <f>IF(AND(F721=0,G721&gt;0),"n/a",IF(F721=0,0,100*G721/F721))</f>
        <v>0</v>
      </c>
      <c r="I721" s="201">
        <f>IF(F721="*","*",F721-G721)</f>
        <v>0</v>
      </c>
      <c r="J721" s="202">
        <f>VLOOKUP(B721,[4]Weeks!$A$125:$X$161,17,FALSE)-VLOOKUP(B721,[4]Weeks!$A$165:$X$200,17,FALSE)</f>
        <v>0</v>
      </c>
      <c r="K721" s="202">
        <f>VLOOKUP(B721,[4]Weeks!$A$85:$X$121,17,FALSE)-VLOOKUP(B721,[4]Weeks!$A$125:$X$161,17,FALSE)</f>
        <v>0</v>
      </c>
      <c r="L721" s="202">
        <f>VLOOKUP(B721,[4]Weeks!$A$44:$X$81,17,FALSE)-VLOOKUP(B721,[4]Weeks!$A$85:$X$121,17,FALSE)</f>
        <v>0</v>
      </c>
      <c r="M721" s="202">
        <f>VLOOKUP(B721,[4]Weeks!$A$3:$X$39,17,FALSE)-VLOOKUP(B721,[4]Weeks!$A$44:$X$81,17,FALSE)</f>
        <v>0</v>
      </c>
      <c r="N721" s="11" t="str">
        <f>IF(C721="*","*",IF(C721&gt;0,M721/C721*100,"-"))</f>
        <v>-</v>
      </c>
      <c r="O721" s="202">
        <f>IF(C721="*","*",SUM(J721:M721)/4)</f>
        <v>0</v>
      </c>
      <c r="P721" s="41">
        <f>IF(ISNUMBER(VLOOKUP(B721,[4]CLOSURES!B:BI,16,FALSE)),TEXT(VLOOKUP(B721,[4]CLOSURES!B:BI,16,FALSE),"ddmmm"),IF(F721&lt;=0,0,IF(I721&lt;=0,0,IF(AND(F721&gt;0,O721&lt;=0),"&gt;52",IF(I721/O721&gt;52,"&gt;52", MAX(0,I721/O721-2))))))</f>
        <v>0</v>
      </c>
      <c r="Q721" s="158"/>
      <c r="R721" s="158"/>
    </row>
    <row r="722" spans="2:18" ht="10.5" hidden="1" x14ac:dyDescent="0.25">
      <c r="B722" s="40" t="s">
        <v>85</v>
      </c>
      <c r="C722" s="130">
        <f>'[5]Maj Pel Combined'!$Q$12</f>
        <v>0</v>
      </c>
      <c r="D722" s="200">
        <f>F722-VLOOKUP(B722,[4]quotas!$B$85:$AF$120,25,FALSE)</f>
        <v>0</v>
      </c>
      <c r="E722" s="200">
        <f>F722-C722</f>
        <v>0</v>
      </c>
      <c r="F722" s="201">
        <f>VLOOKUP(B722,[4]quotas!$B$46:$AF$84,25,FALSE)</f>
        <v>0</v>
      </c>
      <c r="G722" s="202">
        <f>VLOOKUP(B722,[4]Cumulative!$A$56:$AZ$91,26,FALSE)</f>
        <v>0</v>
      </c>
      <c r="H722" s="151">
        <f>IF(AND(F722=0,G722&gt;0),"n/a",IF(F722=0,0,100*G722/F722))</f>
        <v>0</v>
      </c>
      <c r="I722" s="201">
        <f>IF(F722="*","*",F722-G722)</f>
        <v>0</v>
      </c>
      <c r="J722" s="202">
        <f>VLOOKUP(B722,[4]Weeks!$A$125:$X$161,17,FALSE)-VLOOKUP(B722,[4]Weeks!$A$165:$X$200,17,FALSE)</f>
        <v>0</v>
      </c>
      <c r="K722" s="202">
        <f>VLOOKUP(B722,[4]Weeks!$A$85:$X$121,17,FALSE)-VLOOKUP(B722,[4]Weeks!$A$125:$X$161,17,FALSE)</f>
        <v>0</v>
      </c>
      <c r="L722" s="202">
        <f>VLOOKUP(B722,[4]Weeks!$A$44:$X$81,17,FALSE)-VLOOKUP(B722,[4]Weeks!$A$85:$X$121,17,FALSE)</f>
        <v>0</v>
      </c>
      <c r="M722" s="202">
        <f>VLOOKUP(B722,[4]Weeks!$A$3:$X$39,17,FALSE)-VLOOKUP(B722,[4]Weeks!$A$44:$X$81,17,FALSE)</f>
        <v>0</v>
      </c>
      <c r="N722" s="11" t="str">
        <f>IF(C722="*","*",IF(C722&gt;0,M722/C722*100,"-"))</f>
        <v>-</v>
      </c>
      <c r="O722" s="202">
        <f>IF(C722="*","*",SUM(J722:M722)/4)</f>
        <v>0</v>
      </c>
      <c r="P722" s="41" t="str">
        <f>IF(ISNUMBER(VLOOKUP(B722,[4]CLOSURES!B:BI,16,FALSE)),TEXT(VLOOKUP(B722,[4]CLOSURES!B:BI,16,FALSE),"ddmmm"),IF(F722&lt;=0,0,IF(I722&lt;=0,0,IF(AND(F722&gt;0,O722&lt;=0),"&gt;52",IF(I722/O722&gt;52,"&gt;52", MAX(0,I722/O722-2))))))</f>
        <v>01Jan</v>
      </c>
      <c r="Q722" s="158"/>
      <c r="R722" s="158"/>
    </row>
    <row r="723" spans="2:18" ht="10.5" hidden="1" x14ac:dyDescent="0.25">
      <c r="B723" s="162" t="s">
        <v>86</v>
      </c>
      <c r="C723" s="130">
        <f>SUM(C698:C707)+SUM(C710:C722)</f>
        <v>0</v>
      </c>
      <c r="D723" s="202">
        <f>SUM(D698:D707)+SUM(D710:D722)</f>
        <v>0</v>
      </c>
      <c r="E723" s="200">
        <f>F723-C723</f>
        <v>0</v>
      </c>
      <c r="F723" s="201">
        <f>SUM(F698:F707)+SUM(F710:F722)</f>
        <v>0</v>
      </c>
      <c r="G723" s="202">
        <f>SUM(G698:G707)+SUM(G710:G722)</f>
        <v>0</v>
      </c>
      <c r="H723" s="151">
        <f>IF(AND(F723=0,G723&gt;0),"n/a",IF(F723=0,0,100*G723/F723))</f>
        <v>0</v>
      </c>
      <c r="I723" s="201">
        <f>IF(F723="*","*",F723-G723)</f>
        <v>0</v>
      </c>
      <c r="J723" s="202">
        <f>SUM(J698:J707)+SUM(J710:J722)</f>
        <v>0</v>
      </c>
      <c r="K723" s="202">
        <f>SUM(K698:K707)+SUM(K710:K722)</f>
        <v>0</v>
      </c>
      <c r="L723" s="202">
        <f>SUM(L698:L707)+SUM(L710:L722)</f>
        <v>0</v>
      </c>
      <c r="M723" s="202">
        <f>SUM(M698:M707)+SUM(M710:M722)</f>
        <v>0</v>
      </c>
      <c r="N723" s="11" t="str">
        <f>IF(C723="*","*",IF(C723&gt;0,M723/C723*100,"-"))</f>
        <v>-</v>
      </c>
      <c r="O723" s="202">
        <f>IF(C723="*","*",SUM(J723:M723)/4)</f>
        <v>0</v>
      </c>
      <c r="P723" s="41">
        <f>IF(ISNUMBER(VLOOKUP(B723,[4]CLOSURES!B:BI,16,FALSE)),TEXT(VLOOKUP(B723,[4]CLOSURES!B:BI,16,FALSE),"ddmmm"),IF(F723&lt;=0,0,IF(I723&lt;=0,0,IF(AND(F723&gt;0,O723&lt;=0),"&gt;52",IF(I723/O723&gt;52,"&gt;52", MAX(0,I723/O723-2))))))</f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f>SUM([6]Quotas!$BW$185:$BW$189)</f>
        <v>0</v>
      </c>
      <c r="D725" s="200"/>
      <c r="E725" s="200"/>
      <c r="F725" s="201">
        <f>C725</f>
        <v>0</v>
      </c>
      <c r="G725" s="202"/>
      <c r="H725" s="151">
        <f>IF(AND(F725=0,G725&gt;0),"n/a",IF(F725=0,0,100*G725/F725))</f>
        <v>0</v>
      </c>
      <c r="I725" s="201">
        <f>IF(F725="*","*",F725-G725)</f>
        <v>0</v>
      </c>
      <c r="J725" s="202"/>
      <c r="K725" s="202"/>
      <c r="L725" s="202"/>
      <c r="M725" s="202"/>
      <c r="N725" s="11" t="str">
        <f>IF(C725="*","*",IF(C725&gt;0,M725/C725*100,"-"))</f>
        <v>-</v>
      </c>
      <c r="O725" s="202">
        <f>IF(C725="*","*",SUM(J725:M725)/4)</f>
        <v>0</v>
      </c>
      <c r="P725" s="41" t="str">
        <f>IF(ISNUMBER(VLOOKUP(B725,[4]CLOSURES!B:BI,16,FALSE)),TEXT(VLOOKUP(B725,[4]CLOSURES!B:BI,16,FALSE),"ddmmm"),IF(F725&lt;=0,0,IF(I725&lt;=0,0,IF(AND(F725&gt;0,O725&lt;=0),"&gt;52",IF(I725/O725&gt;52,"&gt;52", MAX(0,I725/O725-2))))))</f>
        <v>01Jan</v>
      </c>
      <c r="Q725" s="158"/>
      <c r="R725" s="158"/>
    </row>
    <row r="726" spans="2:18" ht="10.5" hidden="1" x14ac:dyDescent="0.25">
      <c r="B726" s="44" t="s">
        <v>88</v>
      </c>
      <c r="C726" s="130">
        <f>'[5]Maj Pel Combined'!$Q$33</f>
        <v>0</v>
      </c>
      <c r="D726" s="200">
        <f>F726-VLOOKUP(B726,[4]quotas!$B$85:$AF$120,25,FALSE)</f>
        <v>0</v>
      </c>
      <c r="E726" s="200">
        <f>F726-C726</f>
        <v>0</v>
      </c>
      <c r="F726" s="201">
        <f>VLOOKUP(B726,[4]quotas!$B$46:$AF$84,25,FALSE)</f>
        <v>0</v>
      </c>
      <c r="G726" s="202">
        <f>VLOOKUP(B726,[4]Cumulative!$A$56:$AZ$91,26,FALSE)</f>
        <v>0</v>
      </c>
      <c r="H726" s="151">
        <f>IF(AND(F726=0,G726&gt;0),"n/a",IF(F726=0,0,100*G726/F726))</f>
        <v>0</v>
      </c>
      <c r="I726" s="201">
        <f>IF(F726="*","*",F726-G726)</f>
        <v>0</v>
      </c>
      <c r="J726" s="202">
        <f>VLOOKUP(B726,[4]Weeks!$A$125:$X$161,17,FALSE)-VLOOKUP(B726,[4]Weeks!$A$165:$X$200,17,FALSE)</f>
        <v>0</v>
      </c>
      <c r="K726" s="202">
        <f>VLOOKUP(B726,[4]Weeks!$A$85:$X$121,17,FALSE)-VLOOKUP(B726,[4]Weeks!$A$125:$X$161,17,FALSE)</f>
        <v>0</v>
      </c>
      <c r="L726" s="202">
        <f>VLOOKUP(B726,[4]Weeks!$A$44:$X$81,17,FALSE)-VLOOKUP(B726,[4]Weeks!$A$85:$X$121,17,FALSE)</f>
        <v>0</v>
      </c>
      <c r="M726" s="202">
        <f>VLOOKUP(B726,[4]Weeks!$A$3:$X$39,17,FALSE)-VLOOKUP(B726,[4]Weeks!$A$44:$X$81,17,FALSE)</f>
        <v>0</v>
      </c>
      <c r="N726" s="11" t="s">
        <v>64</v>
      </c>
      <c r="O726" s="202">
        <f>IF(C726="*","*",SUM(J726:M726)/4)</f>
        <v>0</v>
      </c>
      <c r="P726" s="41" t="str">
        <f>IF(ISNUMBER(VLOOKUP(B726,[4]CLOSURES!B:BI,16,FALSE)),TEXT(VLOOKUP(B726,[4]CLOSURES!B:BI,16,FALSE),"ddmmm"),IF(F726&lt;=0,0,IF(I726&lt;=0,0,IF(AND(F726&gt;0,O726&lt;=0),"&gt;52",IF(I726/O726&gt;52,"&gt;52", MAX(0,I726/O726-2))))))</f>
        <v>01Jan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f>IF(AND(F727=0,G727&gt;0),"n/a",IF(F727=0,0,100*G727/F727))</f>
        <v>0</v>
      </c>
      <c r="I727" s="201">
        <f>IF(F727="*","*",F727-G727)</f>
        <v>0</v>
      </c>
      <c r="J727" s="202"/>
      <c r="K727" s="202"/>
      <c r="L727" s="202"/>
      <c r="M727" s="202"/>
      <c r="N727" s="11" t="str">
        <f>IF(C727="*","*",IF(C727&gt;0,M727/C727*100,"-"))</f>
        <v>-</v>
      </c>
      <c r="O727" s="202">
        <f>IF(C727="*","*",SUM(J727:M727)/4)</f>
        <v>0</v>
      </c>
      <c r="P727" s="41" t="str">
        <f>IF(ISNUMBER(VLOOKUP(B727,[4]CLOSURES!B:BI,16,FALSE)),TEXT(VLOOKUP(B727,[4]CLOSURES!B:BI,16,FALSE),"ddmmm"),IF(F727&lt;=0,0,IF(I727&lt;=0,0,IF(AND(F727&gt;0,O727&lt;=0),"&gt;52",IF(I727/O727&gt;52,"&gt;52", MAX(0,I727/O727-2))))))</f>
        <v>01Jan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f>'[5]Maj Pel Combined'!$Q$41</f>
        <v>0</v>
      </c>
      <c r="D729" s="200"/>
      <c r="E729" s="200"/>
      <c r="F729" s="201">
        <f>'[5]Maj Pel Combined'!$Q$41</f>
        <v>0</v>
      </c>
      <c r="G729" s="202"/>
      <c r="H729" s="151"/>
      <c r="I729" s="201">
        <f>F729</f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f>C723+SUM(C725:C729)</f>
        <v>0</v>
      </c>
      <c r="D730" s="135">
        <f>D723+SUM(D725:D727)</f>
        <v>0</v>
      </c>
      <c r="E730" s="135">
        <f>E723+SUM(E725:E727)</f>
        <v>0</v>
      </c>
      <c r="F730" s="142">
        <f>F723+SUM(F725:F729)</f>
        <v>0</v>
      </c>
      <c r="G730" s="131">
        <f>VLOOKUP(B730,[4]Cumulative!$A$56:$AZ$91,26,FALSE)</f>
        <v>0</v>
      </c>
      <c r="H730" s="156">
        <f>IF(AND(F730=0,G730&gt;0),"n/a",IF(F730=0,0,100*G730/F730))</f>
        <v>0</v>
      </c>
      <c r="I730" s="132">
        <f>IF(F730="*","*",F730-G730)</f>
        <v>0</v>
      </c>
      <c r="J730" s="131">
        <f>VLOOKUP(B730,[4]Weeks!$A$125:$AE$161,26,FALSE)-VLOOKUP(B730,[4]Weeks!$A$165:$AE$200,26,FALSE)</f>
        <v>0</v>
      </c>
      <c r="K730" s="131">
        <f>VLOOKUP(B730,[4]Weeks!$A$85:$AE121,26,FALSE)-VLOOKUP(B730,[4]Weeks!$A$125:$AE$161,26,FALSE)</f>
        <v>0</v>
      </c>
      <c r="L730" s="131">
        <f>VLOOKUP(B730,[4]Weeks!$A$44:$AE$81,26,FALSE)-VLOOKUP(B730,[4]Weeks!$A$85:$AE$121,26,FALSE)</f>
        <v>0</v>
      </c>
      <c r="M730" s="131">
        <f>M723+M725+M727</f>
        <v>0</v>
      </c>
      <c r="N730" s="53" t="str">
        <f>IF(C730="*","*",IF(C730&gt;0,M730/C730*100,"-"))</f>
        <v>-</v>
      </c>
      <c r="O730" s="131">
        <f>IF(C730="*","*",SUM(J730:M730)/4)</f>
        <v>0</v>
      </c>
      <c r="P730" s="49" t="str">
        <f>IF(ISNUMBER(VLOOKUP(B730,[4]CLOSURES!B:BI,16,FALSE)),TEXT(VLOOKUP(B730,[4]CLOSURES!B:BI,16,FALSE),"ddmmm"),IF(F730&lt;=0,0,IF(I730&lt;=0,0,IF(AND(F730&gt;0,O730&lt;=0),"&gt;52",IF(I730/O730&gt;52,"&gt;52", MAX(0,I730/O730-2))))))</f>
        <v>01Jan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f>J695</f>
        <v>44895</v>
      </c>
      <c r="K735" s="33">
        <f>K695</f>
        <v>44902</v>
      </c>
      <c r="L735" s="33">
        <f>L695</f>
        <v>44909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f>'[5]Maj Pel Combined'!$R$23</f>
        <v>0</v>
      </c>
      <c r="D738" s="200">
        <f>F738-VLOOKUP(B738,[4]quotas!$B$85:$AF$120,26,FALSE)</f>
        <v>0</v>
      </c>
      <c r="E738" s="200">
        <f>F738-C738</f>
        <v>0</v>
      </c>
      <c r="F738" s="201">
        <f>VLOOKUP(B738,[4]quotas!$B$46:$AF$84,26,FALSE)</f>
        <v>0</v>
      </c>
      <c r="G738" s="202">
        <f>VLOOKUP(B738,[4]Cumulative!$A$56:$AZ$91,27,FALSE)</f>
        <v>0</v>
      </c>
      <c r="H738" s="151">
        <f>IF(AND(F738=0,G738&gt;0),"n/a",IF(F738=0,0,100*G738/F738))</f>
        <v>0</v>
      </c>
      <c r="I738" s="201">
        <f>IF(F738="*","*",F738-G738)</f>
        <v>0</v>
      </c>
      <c r="J738" s="202">
        <f>VLOOKUP(B738,[4]Weeks!$A$125:$AE$161,27,FALSE)-VLOOKUP(B738,[4]Weeks!$A$165:$AE$200,27,FALSE)</f>
        <v>0</v>
      </c>
      <c r="K738" s="202">
        <f>VLOOKUP(B738,[4]Weeks!$A$85:$AE$121,27,FALSE)-VLOOKUP(B738,[4]Weeks!$A$125:$AE$161,27,FALSE)</f>
        <v>0</v>
      </c>
      <c r="L738" s="202">
        <f>VLOOKUP(B738,[4]Weeks!$A$44:$AE$81,27,FALSE)-VLOOKUP(B738,[4]Weeks!$A$85:$AE$121,27,FALSE)</f>
        <v>0</v>
      </c>
      <c r="M738" s="202">
        <f>VLOOKUP(B738,[4]Weeks!$A$3:$AE$39,27,FALSE)-VLOOKUP(B738,[4]Weeks!$A$44:$AE$81,27,FALSE)</f>
        <v>0</v>
      </c>
      <c r="N738" s="11" t="str">
        <f>IF(C738="*","*",IF(C738&gt;0,M738/C738*100,"-"))</f>
        <v>-</v>
      </c>
      <c r="O738" s="202">
        <f t="shared" ref="O738:O747" si="148">IF(C738="*","*",SUM(J738:M738)/4)</f>
        <v>0</v>
      </c>
      <c r="P738" s="41">
        <f>IF(ISNUMBER(VLOOKUP(B738,[4]CLOSURES!B:BI,16,FALSE)),TEXT(VLOOKUP(B738,[4]CLOSURES!B:BI,16,FALSE),"ddmmm"),IF(F738&lt;=0,0,IF(I738&lt;=0,0,IF(AND(F738&gt;0,O738&lt;=0),"&gt;52",IF(I738/O738&gt;52,"&gt;52", MAX(0,I738/O738-2))))))</f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f>'[5]Maj Pel Combined'!$R$16</f>
        <v>0</v>
      </c>
      <c r="D739" s="200">
        <f>F739-VLOOKUP(B739,[4]quotas!$B$85:$AF$120,26,FALSE)</f>
        <v>0</v>
      </c>
      <c r="E739" s="200">
        <v>0</v>
      </c>
      <c r="F739" s="201">
        <f>VLOOKUP(B739,[4]quotas!$B$46:$AF$84,26,FALSE)</f>
        <v>0</v>
      </c>
      <c r="G739" s="202">
        <f>VLOOKUP(B739,[4]Cumulative!$A$56:$AZ$91,27,FALSE)</f>
        <v>0</v>
      </c>
      <c r="H739" s="151">
        <f>IF(AND(F739=0,G739&gt;0),"n/a",IF(F739=0,0,100*G739/F739))</f>
        <v>0</v>
      </c>
      <c r="I739" s="201">
        <f>IF(F739="*","*",F739-G739)</f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f t="shared" si="148"/>
        <v>0</v>
      </c>
      <c r="P739" s="41" t="str">
        <f>IF(ISNUMBER(VLOOKUP(B739,[4]CLOSURES!B:BI,16,FALSE)),TEXT(VLOOKUP(B739,[4]CLOSURES!B:BI,16,FALSE),"ddmmm"),IF(F739&lt;=0,0,IF(I739&lt;=0,0,IF(AND(F739&gt;0,O739&lt;=0),"&gt;52",IF(I739/O739&gt;52,"&gt;52", MAX(0,I739/O739-2))))))</f>
        <v>01Jan</v>
      </c>
      <c r="Q739" s="158"/>
      <c r="R739" s="158"/>
    </row>
    <row r="740" spans="2:18" ht="10.75" hidden="1" customHeight="1" x14ac:dyDescent="0.25">
      <c r="B740" s="40" t="s">
        <v>65</v>
      </c>
      <c r="C740" s="130">
        <f>'[5]Maj Pel Combined'!$R$20</f>
        <v>0</v>
      </c>
      <c r="D740" s="200">
        <f>F740-VLOOKUP(B740,[4]quotas!$B$85:$AF$120,26,FALSE)</f>
        <v>0</v>
      </c>
      <c r="E740" s="200">
        <f>F740-C740</f>
        <v>0</v>
      </c>
      <c r="F740" s="201">
        <f>VLOOKUP(B740,[4]quotas!$B$46:$AF$84,26,FALSE)</f>
        <v>0</v>
      </c>
      <c r="G740" s="202">
        <f>VLOOKUP(B740,[4]Cumulative!$A$56:$AZ$91,27,FALSE)</f>
        <v>0</v>
      </c>
      <c r="H740" s="151">
        <f>IF(AND(F740=0,G740&gt;0),"n/a",IF(F740=0,0,100*G740/F740))</f>
        <v>0</v>
      </c>
      <c r="I740" s="201">
        <f>IF(F740="*","*",F740-G740)</f>
        <v>0</v>
      </c>
      <c r="J740" s="202">
        <f>VLOOKUP(B740,[4]Weeks!$A$125:$X$161,17,FALSE)-VLOOKUP(B740,[4]Weeks!$A$165:$X$200,17,FALSE)</f>
        <v>0</v>
      </c>
      <c r="K740" s="202">
        <f>VLOOKUP(B740,[4]Weeks!$A$85:$X$121,17,FALSE)-VLOOKUP(B740,[4]Weeks!$A$125:$X$161,17,FALSE)</f>
        <v>0</v>
      </c>
      <c r="L740" s="202">
        <f>VLOOKUP(B740,[4]Weeks!$A$44:$X$81,17,FALSE)-VLOOKUP(B740,[4]Weeks!$A$85:$X$121,17,FALSE)</f>
        <v>0</v>
      </c>
      <c r="M740" s="202">
        <f>VLOOKUP(B740,[4]Weeks!$A$3:$X$39,17,FALSE)-VLOOKUP(B740,[4]Weeks!$A$44:$X$81,17,FALSE)</f>
        <v>0</v>
      </c>
      <c r="N740" s="11" t="str">
        <f>IF(C740="*","*",IF(C740&gt;0,M740/C740*100,"-"))</f>
        <v>-</v>
      </c>
      <c r="O740" s="202">
        <f t="shared" si="148"/>
        <v>0</v>
      </c>
      <c r="P740" s="41" t="str">
        <f>IF(ISNUMBER(VLOOKUP(B740,[4]CLOSURES!B:BI,16,FALSE)),TEXT(VLOOKUP(B740,[4]CLOSURES!B:BI,16,FALSE),"ddmmm"),IF(F740&lt;=0,0,IF(I740&lt;=0,0,IF(AND(F740&gt;0,O740&lt;=0),"&gt;52",IF(I740/O740&gt;52,"&gt;52", MAX(0,I740/O740-2))))))</f>
        <v>01Jan</v>
      </c>
      <c r="Q740" s="158"/>
      <c r="R740" s="158"/>
    </row>
    <row r="741" spans="2:18" ht="10.75" hidden="1" customHeight="1" x14ac:dyDescent="0.25">
      <c r="B741" s="40" t="s">
        <v>66</v>
      </c>
      <c r="C741" s="130">
        <f>'[5]Maj Pel Combined'!$R$24</f>
        <v>0</v>
      </c>
      <c r="D741" s="200">
        <f>F741-VLOOKUP(B741,[4]quotas!$B$85:$AF$120,26,FALSE)</f>
        <v>0</v>
      </c>
      <c r="E741" s="200">
        <f>F741-C741</f>
        <v>0</v>
      </c>
      <c r="F741" s="201">
        <f>VLOOKUP(B741,[4]quotas!$B$46:$AF$84,26,FALSE)</f>
        <v>0</v>
      </c>
      <c r="G741" s="202">
        <f>VLOOKUP(B741,[4]Cumulative!$A$56:$AZ$91,27,FALSE)</f>
        <v>0</v>
      </c>
      <c r="H741" s="151">
        <f>IF(AND(F741=0,G741&gt;0),"n/a",IF(F741=0,0,100*G741/F741))</f>
        <v>0</v>
      </c>
      <c r="I741" s="201">
        <f>IF(F741="*","*",F741-G741)</f>
        <v>0</v>
      </c>
      <c r="J741" s="202">
        <f>VLOOKUP(B741,[4]Weeks!$A$125:$X$161,17,FALSE)-VLOOKUP(B741,[4]Weeks!$A$165:$X$200,17,FALSE)</f>
        <v>0</v>
      </c>
      <c r="K741" s="202">
        <f>VLOOKUP(B741,[4]Weeks!$A$85:$X$121,17,FALSE)-VLOOKUP(B741,[4]Weeks!$A$125:$X$161,17,FALSE)</f>
        <v>0</v>
      </c>
      <c r="L741" s="202">
        <f>VLOOKUP(B741,[4]Weeks!$A$44:$X$81,17,FALSE)-VLOOKUP(B741,[4]Weeks!$A$85:$X$121,17,FALSE)</f>
        <v>0</v>
      </c>
      <c r="M741" s="202">
        <f>VLOOKUP(B741,[4]Weeks!$A$3:$X$39,17,FALSE)-VLOOKUP(B741,[4]Weeks!$A$44:$X$81,17,FALSE)</f>
        <v>0</v>
      </c>
      <c r="N741" s="11" t="str">
        <f>IF(C741="*","*",IF(C741&gt;0,M741/C741*100,"-"))</f>
        <v>-</v>
      </c>
      <c r="O741" s="202">
        <f t="shared" si="148"/>
        <v>0</v>
      </c>
      <c r="P741" s="41" t="str">
        <f>IF(ISNUMBER(VLOOKUP(B741,[4]CLOSURES!B:BI,16,FALSE)),TEXT(VLOOKUP(B741,[4]CLOSURES!B:BI,16,FALSE),"ddmmm"),IF(F741&lt;=0,0,IF(I741&lt;=0,0,IF(AND(F741&gt;0,O741&lt;=0),"&gt;52",IF(I741/O741&gt;52,"&gt;52", MAX(0,I741/O741-2))))))</f>
        <v>01Jan</v>
      </c>
      <c r="Q741" s="158"/>
      <c r="R741" s="158"/>
    </row>
    <row r="742" spans="2:18" ht="10.75" hidden="1" customHeight="1" x14ac:dyDescent="0.25">
      <c r="B742" s="40" t="s">
        <v>67</v>
      </c>
      <c r="C742" s="130">
        <f>'[5]Maj Pel Combined'!$R$17</f>
        <v>0</v>
      </c>
      <c r="D742" s="200">
        <f>F742-VLOOKUP(B742,[4]quotas!$B$85:$AF$120,26,FALSE)</f>
        <v>0</v>
      </c>
      <c r="E742" s="200">
        <v>0</v>
      </c>
      <c r="F742" s="201">
        <f>VLOOKUP(B742,[4]quotas!$B$46:$AF$84,26,FALSE)</f>
        <v>0</v>
      </c>
      <c r="G742" s="202">
        <f>VLOOKUP(B742,[4]Cumulative!$A$56:$AZ$91,27,FALSE)</f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f t="shared" si="148"/>
        <v>0</v>
      </c>
      <c r="P742" s="41" t="str">
        <f>IF(ISNUMBER(VLOOKUP(B742,[4]CLOSURES!B:BI,16,FALSE)),TEXT(VLOOKUP(B742,[4]CLOSURES!B:BI,16,FALSE),"ddmmm"),IF(F742&lt;=0,0,IF(I742&lt;=0,0,IF(AND(F742&gt;0,O742&lt;=0),"&gt;52",IF(I742/O742&gt;52,"&gt;52", MAX(0,I742/O742-2))))))</f>
        <v>01Jan</v>
      </c>
      <c r="Q742" s="158"/>
      <c r="R742" s="158"/>
    </row>
    <row r="743" spans="2:18" ht="10.75" hidden="1" customHeight="1" x14ac:dyDescent="0.25">
      <c r="B743" s="40" t="s">
        <v>68</v>
      </c>
      <c r="C743" s="130">
        <f>'[5]Maj Pel Combined'!$R$25</f>
        <v>0</v>
      </c>
      <c r="D743" s="200">
        <f>F743-VLOOKUP(B743,[4]quotas!$B$85:$AF$120,26,FALSE)</f>
        <v>0</v>
      </c>
      <c r="E743" s="200">
        <f t="shared" ref="E743:E748" si="149">F743-C743</f>
        <v>0</v>
      </c>
      <c r="F743" s="201">
        <f>VLOOKUP(B743,[4]quotas!$B$46:$AF$84,26,FALSE)</f>
        <v>0</v>
      </c>
      <c r="G743" s="202">
        <f>VLOOKUP(B743,[4]Cumulative!$A$56:$AZ$91,27,FALSE)</f>
        <v>0</v>
      </c>
      <c r="H743" s="151">
        <f t="shared" ref="H743:H748" si="150">IF(AND(F743=0,G743&gt;0),"n/a",IF(F743=0,0,100*G743/F743))</f>
        <v>0</v>
      </c>
      <c r="I743" s="201">
        <f t="shared" ref="I743:I748" si="151">IF(F743="*","*",F743-G743)</f>
        <v>0</v>
      </c>
      <c r="J743" s="202">
        <f>VLOOKUP(B743,[4]Weeks!$A$125:$X$161,17,FALSE)-VLOOKUP(B743,[4]Weeks!$A$165:$X$200,17,FALSE)</f>
        <v>0</v>
      </c>
      <c r="K743" s="202">
        <f>VLOOKUP(B743,[4]Weeks!$A$85:$X$121,17,FALSE)-VLOOKUP(B743,[4]Weeks!$A$125:$X$161,17,FALSE)</f>
        <v>0</v>
      </c>
      <c r="L743" s="202">
        <f>VLOOKUP(B743,[4]Weeks!$A$44:$X$81,17,FALSE)-VLOOKUP(B743,[4]Weeks!$A$85:$X$121,17,FALSE)</f>
        <v>0</v>
      </c>
      <c r="M743" s="202">
        <f>VLOOKUP(B743,[4]Weeks!$A$3:$X$39,17,FALSE)-VLOOKUP(B743,[4]Weeks!$A$44:$X$81,17,FALSE)</f>
        <v>0</v>
      </c>
      <c r="N743" s="11" t="str">
        <f>IF(C743="*","*",IF(C743&gt;0,M743/C743*100,"-"))</f>
        <v>-</v>
      </c>
      <c r="O743" s="202">
        <f t="shared" si="148"/>
        <v>0</v>
      </c>
      <c r="P743" s="41" t="str">
        <f>IF(ISNUMBER(VLOOKUP(B743,[4]CLOSURES!B:BI,16,FALSE)),TEXT(VLOOKUP(B743,[4]CLOSURES!B:BI,16,FALSE),"ddmmm"),IF(F743&lt;=0,0,IF(I743&lt;=0,0,IF(AND(F743&gt;0,O743&lt;=0),"&gt;52",IF(I743/O743&gt;52,"&gt;52", MAX(0,I743/O743-2))))))</f>
        <v>01Jan</v>
      </c>
      <c r="Q743" s="158"/>
      <c r="R743" s="158"/>
    </row>
    <row r="744" spans="2:18" ht="10.75" hidden="1" customHeight="1" x14ac:dyDescent="0.25">
      <c r="B744" s="40" t="s">
        <v>69</v>
      </c>
      <c r="C744" s="130">
        <f>'[5]Maj Pel Combined'!$R$22</f>
        <v>0</v>
      </c>
      <c r="D744" s="200">
        <f>F744-VLOOKUP(B744,[4]quotas!$B$85:$AF$120,26,FALSE)</f>
        <v>0</v>
      </c>
      <c r="E744" s="200">
        <f t="shared" si="149"/>
        <v>0</v>
      </c>
      <c r="F744" s="201">
        <f>VLOOKUP(B744,[4]quotas!$B$46:$AF$84,26,FALSE)</f>
        <v>0</v>
      </c>
      <c r="G744" s="202">
        <f>VLOOKUP(B744,[4]Cumulative!$A$56:$AZ$91,27,FALSE)</f>
        <v>0</v>
      </c>
      <c r="H744" s="151">
        <f t="shared" si="150"/>
        <v>0</v>
      </c>
      <c r="I744" s="201">
        <f t="shared" si="151"/>
        <v>0</v>
      </c>
      <c r="J744" s="202">
        <f>VLOOKUP(B744,[4]Weeks!$A$125:$X$161,17,FALSE)-VLOOKUP(B744,[4]Weeks!$A$165:$X$200,17,FALSE)</f>
        <v>0</v>
      </c>
      <c r="K744" s="202">
        <f>VLOOKUP(B744,[4]Weeks!$A$85:$X$121,17,FALSE)-VLOOKUP(B744,[4]Weeks!$A$125:$X$161,17,FALSE)</f>
        <v>0</v>
      </c>
      <c r="L744" s="202">
        <f>VLOOKUP(B744,[4]Weeks!$A$44:$X$81,17,FALSE)-VLOOKUP(B744,[4]Weeks!$A$85:$X$121,17,FALSE)</f>
        <v>0</v>
      </c>
      <c r="M744" s="202">
        <f>VLOOKUP(B744,[4]Weeks!$A$3:$X$39,17,FALSE)-VLOOKUP(B744,[4]Weeks!$A$44:$X$81,17,FALSE)</f>
        <v>0</v>
      </c>
      <c r="N744" s="11" t="str">
        <f>IF(C744="*","*",IF(C744&gt;0,M744/C744*100,"-"))</f>
        <v>-</v>
      </c>
      <c r="O744" s="202">
        <f t="shared" si="148"/>
        <v>0</v>
      </c>
      <c r="P744" s="41" t="str">
        <f>IF(ISNUMBER(VLOOKUP(B744,[4]CLOSURES!B:BI,16,FALSE)),TEXT(VLOOKUP(B744,[4]CLOSURES!B:BI,16,FALSE),"ddmmm"),IF(F744&lt;=0,0,IF(I744&lt;=0,0,IF(AND(F744&gt;0,O744&lt;=0),"&gt;52",IF(I744/O744&gt;52,"&gt;52", MAX(0,I744/O744-2))))))</f>
        <v>01Jan</v>
      </c>
      <c r="Q744" s="158"/>
      <c r="R744" s="158"/>
    </row>
    <row r="745" spans="2:18" ht="10.75" hidden="1" customHeight="1" x14ac:dyDescent="0.25">
      <c r="B745" s="40" t="s">
        <v>70</v>
      </c>
      <c r="C745" s="130">
        <f>'[5]Maj Pel Combined'!$R$21</f>
        <v>0</v>
      </c>
      <c r="D745" s="200">
        <f>F745-VLOOKUP(B745,[4]quotas!$B$85:$AF$120,26,FALSE)</f>
        <v>0</v>
      </c>
      <c r="E745" s="200">
        <f t="shared" si="149"/>
        <v>0</v>
      </c>
      <c r="F745" s="201">
        <f>VLOOKUP(B745,[4]quotas!$B$46:$AF$84,26,FALSE)</f>
        <v>0</v>
      </c>
      <c r="G745" s="202">
        <f>VLOOKUP(B745,[4]Cumulative!$A$56:$AZ$91,27,FALSE)</f>
        <v>0</v>
      </c>
      <c r="H745" s="151">
        <f t="shared" si="150"/>
        <v>0</v>
      </c>
      <c r="I745" s="201">
        <f t="shared" si="151"/>
        <v>0</v>
      </c>
      <c r="J745" s="202">
        <f>VLOOKUP(B745,[4]Weeks!$A$125:$X$161,17,FALSE)-VLOOKUP(B745,[4]Weeks!$A$165:$X$200,17,FALSE)</f>
        <v>0</v>
      </c>
      <c r="K745" s="202">
        <f>VLOOKUP(B745,[4]Weeks!$A$85:$X$121,17,FALSE)-VLOOKUP(B745,[4]Weeks!$A$125:$X$161,17,FALSE)</f>
        <v>0</v>
      </c>
      <c r="L745" s="202">
        <f>VLOOKUP(B745,[4]Weeks!$A$44:$X$81,17,FALSE)-VLOOKUP(B745,[4]Weeks!$A$85:$X$121,17,FALSE)</f>
        <v>0</v>
      </c>
      <c r="M745" s="202">
        <f>VLOOKUP(B745,[4]Weeks!$A$3:$X$39,17,FALSE)-VLOOKUP(B745,[4]Weeks!$A$44:$X$81,17,FALSE)</f>
        <v>0</v>
      </c>
      <c r="N745" s="11" t="str">
        <f>IF(C745="*","*",IF(C745&gt;0,M745/C745*100,"-"))</f>
        <v>-</v>
      </c>
      <c r="O745" s="202">
        <f t="shared" si="148"/>
        <v>0</v>
      </c>
      <c r="P745" s="41" t="str">
        <f>IF(ISNUMBER(VLOOKUP(B745,[4]CLOSURES!B:BI,16,FALSE)),TEXT(VLOOKUP(B745,[4]CLOSURES!B:BI,16,FALSE),"ddmmm"),IF(F745&lt;=0,0,IF(I745&lt;=0,0,IF(AND(F745&gt;0,O745&lt;=0),"&gt;52",IF(I745/O745&gt;52,"&gt;52", MAX(0,I745/O745-2))))))</f>
        <v>01Jan</v>
      </c>
      <c r="Q745" s="158"/>
      <c r="R745" s="158"/>
    </row>
    <row r="746" spans="2:18" ht="10.75" hidden="1" customHeight="1" x14ac:dyDescent="0.25">
      <c r="B746" s="40" t="s">
        <v>71</v>
      </c>
      <c r="C746" s="130">
        <f>'[5]Maj Pel Combined'!$R$18</f>
        <v>0</v>
      </c>
      <c r="D746" s="200">
        <f>F746-VLOOKUP(B746,[4]quotas!$B$85:$AF$120,26,FALSE)</f>
        <v>0</v>
      </c>
      <c r="E746" s="200">
        <f t="shared" si="149"/>
        <v>0</v>
      </c>
      <c r="F746" s="201">
        <f>VLOOKUP(B746,[4]quotas!$B$46:$AF$84,26,FALSE)</f>
        <v>0</v>
      </c>
      <c r="G746" s="202">
        <f>VLOOKUP(B746,[4]Cumulative!$A$56:$AZ$91,27,FALSE)</f>
        <v>0</v>
      </c>
      <c r="H746" s="151">
        <f t="shared" si="150"/>
        <v>0</v>
      </c>
      <c r="I746" s="201">
        <f t="shared" si="151"/>
        <v>0</v>
      </c>
      <c r="J746" s="202">
        <f>VLOOKUP(B746,[4]Weeks!$A$125:$X$161,17,FALSE)-VLOOKUP(B746,[4]Weeks!$A$165:$X$200,17,FALSE)</f>
        <v>0</v>
      </c>
      <c r="K746" s="202">
        <f>VLOOKUP(B746,[4]Weeks!$A$85:$X$121,17,FALSE)-VLOOKUP(B746,[4]Weeks!$A$125:$X$161,17,FALSE)</f>
        <v>0</v>
      </c>
      <c r="L746" s="202">
        <f>VLOOKUP(B746,[4]Weeks!$A$44:$X$81,17,FALSE)-VLOOKUP(B746,[4]Weeks!$A$85:$X$121,17,FALSE)</f>
        <v>0</v>
      </c>
      <c r="M746" s="202">
        <f>VLOOKUP(B746,[4]Weeks!$A$3:$X$39,17,FALSE)-VLOOKUP(B746,[4]Weeks!$A$44:$X$81,17,FALSE)</f>
        <v>0</v>
      </c>
      <c r="N746" s="11" t="str">
        <f>IF(C746="*","*",IF(C746&gt;0,M746/C746*100,"-"))</f>
        <v>-</v>
      </c>
      <c r="O746" s="202">
        <f t="shared" si="148"/>
        <v>0</v>
      </c>
      <c r="P746" s="41">
        <f>IF(ISNUMBER(VLOOKUP(B746,[4]CLOSURES!B:BI,16,FALSE)),TEXT(VLOOKUP(B746,[4]CLOSURES!B:BI,16,FALSE),"ddmmm"),IF(F746&lt;=0,0,IF(I746&lt;=0,0,IF(AND(F746&gt;0,O746&lt;=0),"&gt;52",IF(I746/O746&gt;52,"&gt;52", MAX(0,I746/O746-2))))))</f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f>'[5]Maj Pel Combined'!$R$19</f>
        <v>0</v>
      </c>
      <c r="D747" s="200">
        <f>F747-VLOOKUP(B747,[4]quotas!$B$85:$AF$120,26,FALSE)</f>
        <v>0</v>
      </c>
      <c r="E747" s="200">
        <f t="shared" si="149"/>
        <v>0</v>
      </c>
      <c r="F747" s="201">
        <f>VLOOKUP(B747,[4]quotas!$B$46:$AF$84,26,FALSE)</f>
        <v>0</v>
      </c>
      <c r="G747" s="202">
        <f>VLOOKUP(B747,[4]Cumulative!$A$56:$AZ$91,27,FALSE)</f>
        <v>0</v>
      </c>
      <c r="H747" s="151">
        <f t="shared" si="150"/>
        <v>0</v>
      </c>
      <c r="I747" s="201">
        <f t="shared" si="151"/>
        <v>0</v>
      </c>
      <c r="J747" s="202">
        <f>VLOOKUP(B747,[4]Weeks!$A$125:$X$161,17,FALSE)-VLOOKUP(B747,[4]Weeks!$A$165:$X$200,17,FALSE)</f>
        <v>0</v>
      </c>
      <c r="K747" s="202">
        <f>VLOOKUP(B747,[4]Weeks!$A$85:$X$121,17,FALSE)-VLOOKUP(B747,[4]Weeks!$A$125:$X$161,17,FALSE)</f>
        <v>0</v>
      </c>
      <c r="L747" s="202">
        <f>VLOOKUP(B747,[4]Weeks!$A$44:$X$81,17,FALSE)-VLOOKUP(B747,[4]Weeks!$A$85:$X$121,17,FALSE)</f>
        <v>0</v>
      </c>
      <c r="M747" s="202">
        <f>VLOOKUP(B747,[4]Weeks!$A$3:$X$39,17,FALSE)-VLOOKUP(B747,[4]Weeks!$A$44:$X$81,17,FALSE)</f>
        <v>0</v>
      </c>
      <c r="N747" s="11" t="str">
        <f>IF(C747="*","*",IF(C747&gt;0,M747/C747*100,"-"))</f>
        <v>-</v>
      </c>
      <c r="O747" s="202">
        <f t="shared" si="148"/>
        <v>0</v>
      </c>
      <c r="P747" s="41">
        <f>IF(ISNUMBER(VLOOKUP(B747,[4]CLOSURES!B:BI,16,FALSE)),TEXT(VLOOKUP(B747,[4]CLOSURES!B:BI,16,FALSE),"ddmmm"),IF(F747&lt;=0,0,IF(I747&lt;=0,0,IF(AND(F747&gt;0,O747&lt;=0),"&gt;52",IF(I747/O747&gt;52,"&gt;52", MAX(0,I747/O747-2))))))</f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f>SUM(C738:C747)</f>
        <v>0</v>
      </c>
      <c r="D748" s="200">
        <f>SUM(D738:D747)</f>
        <v>0</v>
      </c>
      <c r="E748" s="200">
        <f t="shared" si="149"/>
        <v>0</v>
      </c>
      <c r="F748" s="201">
        <f>SUM(F738:F747)</f>
        <v>0</v>
      </c>
      <c r="G748" s="202">
        <f>SUM(G738:G747)</f>
        <v>0</v>
      </c>
      <c r="H748" s="151">
        <f t="shared" si="150"/>
        <v>0</v>
      </c>
      <c r="I748" s="201">
        <f t="shared" si="151"/>
        <v>0</v>
      </c>
      <c r="J748" s="202">
        <f t="shared" ref="J748:O748" si="152">SUM(J738:J747)</f>
        <v>0</v>
      </c>
      <c r="K748" s="202">
        <f t="shared" si="152"/>
        <v>0</v>
      </c>
      <c r="L748" s="202">
        <f t="shared" si="152"/>
        <v>0</v>
      </c>
      <c r="M748" s="202">
        <f t="shared" si="152"/>
        <v>0</v>
      </c>
      <c r="N748" s="11">
        <f t="shared" si="152"/>
        <v>0</v>
      </c>
      <c r="O748" s="202">
        <f t="shared" si="152"/>
        <v>0</v>
      </c>
      <c r="P748" s="41">
        <f>IF(ISNUMBER(VLOOKUP(B748,[4]CLOSURES!B:BI,16,FALSE)),TEXT(VLOOKUP(B748,[4]CLOSURES!B:BI,16,FALSE),"ddmmm"),IF(F748&lt;=0,0,IF(I748&lt;=0,0,IF(AND(F748&gt;0,O748&lt;=0),"&gt;52",IF(I748/O748&gt;52,"&gt;52", MAX(0,I748/O748-2))))))</f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f>'[5]Maj Pel Combined'!$R$5</f>
        <v>0</v>
      </c>
      <c r="D750" s="200">
        <f>F750-VLOOKUP(B750,[4]quotas!$B$85:$AF$120,26,FALSE)</f>
        <v>0</v>
      </c>
      <c r="E750" s="200">
        <f>F750-C750</f>
        <v>0</v>
      </c>
      <c r="F750" s="201">
        <f>VLOOKUP(B750,[4]quotas!$B$46:$AF$84,26,FALSE)</f>
        <v>0</v>
      </c>
      <c r="G750" s="202">
        <f>VLOOKUP(B750,[4]Cumulative!$A$56:$AZ$91,27,FALSE)</f>
        <v>0</v>
      </c>
      <c r="H750" s="151">
        <f>IF(AND(F750=0,G750&gt;0),"n/a",IF(F750=0,0,100*G750/F750))</f>
        <v>0</v>
      </c>
      <c r="I750" s="201">
        <f>IF(F750="*","*",F750-G750)</f>
        <v>0</v>
      </c>
      <c r="J750" s="202">
        <f>VLOOKUP(B750,[4]Weeks!$A$125:$X$161,17,FALSE)-VLOOKUP(B750,[4]Weeks!$A$165:$X$200,17,FALSE)</f>
        <v>0</v>
      </c>
      <c r="K750" s="202">
        <f>VLOOKUP(B750,[4]Weeks!$A$85:$X$121,17,FALSE)-VLOOKUP(B750,[4]Weeks!$A$125:$X$161,17,FALSE)</f>
        <v>0</v>
      </c>
      <c r="L750" s="202">
        <f>VLOOKUP(B750,[4]Weeks!$A$44:$X$81,17,FALSE)-VLOOKUP(B750,[4]Weeks!$A$85:$X$121,17,FALSE)</f>
        <v>0</v>
      </c>
      <c r="M750" s="202">
        <f>VLOOKUP(B750,[4]Weeks!$A$3:$X$39,17,FALSE)-VLOOKUP(B750,[4]Weeks!$A$44:$X$81,17,FALSE)</f>
        <v>0</v>
      </c>
      <c r="N750" s="11" t="str">
        <f>IF(C750="*","*",IF(C750&gt;0,M750/C750*100,"-"))</f>
        <v>-</v>
      </c>
      <c r="O750" s="202">
        <f t="shared" ref="O750:O758" si="153">IF(C750="*","*",SUM(J750:M750)/4)</f>
        <v>0</v>
      </c>
      <c r="P750" s="41">
        <f>IF(ISNUMBER(VLOOKUP(B750,[4]CLOSURES!B:BI,16,FALSE)),TEXT(VLOOKUP(B750,[4]CLOSURES!B:BI,16,FALSE),"ddmmm"),IF(F750&lt;=0,0,IF(I750&lt;=0,0,IF(AND(F750&gt;0,O750&lt;=0),"&gt;52",IF(I750/O750&gt;52,"&gt;52", MAX(0,I750/O750-2))))))</f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f>'[5]Maj Pel Combined'!$R$7</f>
        <v>0</v>
      </c>
      <c r="D751" s="200">
        <f>F751-VLOOKUP(B751,[4]quotas!$B$85:$AF$120,26,FALSE)</f>
        <v>0</v>
      </c>
      <c r="E751" s="200">
        <f>F751-C751</f>
        <v>0</v>
      </c>
      <c r="F751" s="201">
        <f>VLOOKUP(B751,[4]quotas!$B$46:$AF$84,26,FALSE)</f>
        <v>0</v>
      </c>
      <c r="G751" s="202">
        <f>VLOOKUP(B751,[4]Cumulative!$A$56:$AZ$91,27,FALSE)</f>
        <v>0</v>
      </c>
      <c r="H751" s="151">
        <f>IF(AND(F751=0,G751&gt;0),"n/a",IF(F751=0,0,100*G751/F751))</f>
        <v>0</v>
      </c>
      <c r="I751" s="201">
        <f>IF(F751="*","*",F751-G751)</f>
        <v>0</v>
      </c>
      <c r="J751" s="202">
        <f>VLOOKUP(B751,[4]Weeks!$A$125:$X$161,17,FALSE)-VLOOKUP(B751,[4]Weeks!$A$165:$X$200,17,FALSE)</f>
        <v>0</v>
      </c>
      <c r="K751" s="202">
        <f>VLOOKUP(B751,[4]Weeks!$A$85:$X$121,17,FALSE)-VLOOKUP(B751,[4]Weeks!$A$125:$X$161,17,FALSE)</f>
        <v>0</v>
      </c>
      <c r="L751" s="202">
        <f>VLOOKUP(B751,[4]Weeks!$A$44:$X$81,17,FALSE)-VLOOKUP(B751,[4]Weeks!$A$85:$X$121,17,FALSE)</f>
        <v>0</v>
      </c>
      <c r="M751" s="202">
        <f>VLOOKUP(B751,[4]Weeks!$A$3:$X$39,17,FALSE)-VLOOKUP(B751,[4]Weeks!$A$44:$X$81,17,FALSE)</f>
        <v>0</v>
      </c>
      <c r="N751" s="11" t="str">
        <f>IF(C751="*","*",IF(C751&gt;0,M751/C751*100,"-"))</f>
        <v>-</v>
      </c>
      <c r="O751" s="202">
        <f>IF(C751="*","*",SUM(J751:M751)/4)</f>
        <v>0</v>
      </c>
      <c r="P751" s="41">
        <f>IF(ISNUMBER(VLOOKUP(B751,[4]CLOSURES!B:BI,16,FALSE)),TEXT(VLOOKUP(B751,[4]CLOSURES!B:BI,16,FALSE),"ddmmm"),IF(F751&lt;=0,0,IF(I751&lt;=0,0,IF(AND(F751&gt;0,O751&lt;=0),"&gt;52",IF(I751/O751&gt;52,"&gt;52", MAX(0,I751/O751-2))))))</f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f>'[5]Maj Pel Combined'!$R$8</f>
        <v>0</v>
      </c>
      <c r="D752" s="200">
        <f>F752-VLOOKUP(B752,[4]quotas!$B$85:$AF$120,26,FALSE)</f>
        <v>0</v>
      </c>
      <c r="E752" s="200">
        <f>F752-C752</f>
        <v>0</v>
      </c>
      <c r="F752" s="201">
        <f>VLOOKUP(B752,[4]quotas!$B$46:$AF$84,26,FALSE)</f>
        <v>0</v>
      </c>
      <c r="G752" s="202">
        <f>VLOOKUP(B752,[4]Cumulative!$A$56:$AZ$91,27,FALSE)</f>
        <v>0</v>
      </c>
      <c r="H752" s="151">
        <f>IF(AND(F752=0,G752&gt;0),"n/a",IF(F752=0,0,100*G752/F752))</f>
        <v>0</v>
      </c>
      <c r="I752" s="201">
        <f>IF(F752="*","*",F752-G752)</f>
        <v>0</v>
      </c>
      <c r="J752" s="202">
        <f>VLOOKUP(B752,[4]Weeks!$A$125:$X$161,17,FALSE)-VLOOKUP(B752,[4]Weeks!$A$165:$X$200,17,FALSE)</f>
        <v>0</v>
      </c>
      <c r="K752" s="202">
        <f>VLOOKUP(B752,[4]Weeks!$A$85:$X$121,17,FALSE)-VLOOKUP(B752,[4]Weeks!$A$125:$X$161,17,FALSE)</f>
        <v>0</v>
      </c>
      <c r="L752" s="202">
        <f>VLOOKUP(B752,[4]Weeks!$A$44:$X$81,17,FALSE)-VLOOKUP(B752,[4]Weeks!$A$85:$X$121,17,FALSE)</f>
        <v>0</v>
      </c>
      <c r="M752" s="202">
        <f>VLOOKUP(B752,[4]Weeks!$A$3:$X$39,17,FALSE)-VLOOKUP(B752,[4]Weeks!$A$44:$X$81,17,FALSE)</f>
        <v>0</v>
      </c>
      <c r="N752" s="11" t="str">
        <f>IF(C752="*","*",IF(C752&gt;0,M752/C752*100,"-"))</f>
        <v>-</v>
      </c>
      <c r="O752" s="202">
        <f>IF(C752="*","*",SUM(J752:M752)/4)</f>
        <v>0</v>
      </c>
      <c r="P752" s="41" t="str">
        <f>IF(ISNUMBER(VLOOKUP(B752,[4]CLOSURES!B:BI,16,FALSE)),TEXT(VLOOKUP(B752,[4]CLOSURES!B:BI,16,FALSE),"ddmmm"),IF(F752&lt;=0,0,IF(I752&lt;=0,0,IF(AND(F752&gt;0,O752&lt;=0),"&gt;52",IF(I752/O752&gt;52,"&gt;52", MAX(0,I752/O752-2))))))</f>
        <v>01Jan</v>
      </c>
      <c r="Q752" s="158"/>
      <c r="R752" s="158"/>
    </row>
    <row r="753" spans="2:18" ht="10.75" hidden="1" customHeight="1" x14ac:dyDescent="0.25">
      <c r="B753" s="40" t="s">
        <v>76</v>
      </c>
      <c r="C753" s="130">
        <f>'[5]Maj Pel Combined'!$R$9</f>
        <v>0</v>
      </c>
      <c r="D753" s="200">
        <f>F753-VLOOKUP(B753,[4]quotas!$B$85:$AF$120,26,FALSE)</f>
        <v>0</v>
      </c>
      <c r="E753" s="200">
        <f t="shared" ref="E753:E759" si="154">F753-C753</f>
        <v>0</v>
      </c>
      <c r="F753" s="201">
        <f>VLOOKUP(B753,[4]quotas!$B$46:$AF$84,26,FALSE)</f>
        <v>0</v>
      </c>
      <c r="G753" s="202">
        <f>VLOOKUP(B753,[4]Cumulative!$A$56:$AZ$91,27,FALSE)</f>
        <v>0</v>
      </c>
      <c r="H753" s="151">
        <f t="shared" ref="H753:H758" si="155">IF(AND(F753=0,G753&gt;0),"n/a",IF(F753=0,0,100*G753/F753))</f>
        <v>0</v>
      </c>
      <c r="I753" s="201">
        <f t="shared" ref="I753:I759" si="156">IF(F753="*","*",F753-G753)</f>
        <v>0</v>
      </c>
      <c r="J753" s="202">
        <f>VLOOKUP(B753,[4]Weeks!$A$125:$X$161,17,FALSE)-VLOOKUP(B753,[4]Weeks!$A$165:$X$200,17,FALSE)</f>
        <v>0</v>
      </c>
      <c r="K753" s="202">
        <f>VLOOKUP(B753,[4]Weeks!$A$85:$X$121,17,FALSE)-VLOOKUP(B753,[4]Weeks!$A$125:$X$161,17,FALSE)</f>
        <v>0</v>
      </c>
      <c r="L753" s="202">
        <f>VLOOKUP(B753,[4]Weeks!$A$44:$X$81,17,FALSE)-VLOOKUP(B753,[4]Weeks!$A$85:$X$121,17,FALSE)</f>
        <v>0</v>
      </c>
      <c r="M753" s="202">
        <f>VLOOKUP(B753,[4]Weeks!$A$3:$X$39,17,FALSE)-VLOOKUP(B753,[4]Weeks!$A$44:$X$81,17,FALSE)</f>
        <v>0</v>
      </c>
      <c r="N753" s="11" t="str">
        <f t="shared" ref="N753:N758" si="157">IF(C753="*","*",IF(C753&gt;0,M753/C753*100,"-"))</f>
        <v>-</v>
      </c>
      <c r="O753" s="202">
        <f t="shared" si="153"/>
        <v>0</v>
      </c>
      <c r="P753" s="41" t="str">
        <f>IF(ISNUMBER(VLOOKUP(B753,[4]CLOSURES!B:BI,16,FALSE)),TEXT(VLOOKUP(B753,[4]CLOSURES!B:BI,16,FALSE),"ddmmm"),IF(F753&lt;=0,0,IF(I753&lt;=0,0,IF(AND(F753&gt;0,O753&lt;=0),"&gt;52",IF(I753/O753&gt;52,"&gt;52", MAX(0,I753/O753-2))))))</f>
        <v>01Jan</v>
      </c>
      <c r="Q753" s="158"/>
      <c r="R753" s="158"/>
    </row>
    <row r="754" spans="2:18" ht="10.75" hidden="1" customHeight="1" x14ac:dyDescent="0.25">
      <c r="B754" s="40" t="s">
        <v>77</v>
      </c>
      <c r="C754" s="130">
        <f>'[5]Maj Pel Combined'!$R$27</f>
        <v>0</v>
      </c>
      <c r="D754" s="200">
        <f>F754-VLOOKUP(B754,[4]quotas!$B$85:$AF$120,26,FALSE)</f>
        <v>0</v>
      </c>
      <c r="E754" s="200">
        <f t="shared" si="154"/>
        <v>0</v>
      </c>
      <c r="F754" s="201">
        <f>VLOOKUP(B754,[4]quotas!$B$46:$AF$84,26,FALSE)</f>
        <v>0</v>
      </c>
      <c r="G754" s="202">
        <f>VLOOKUP(B754,[4]Cumulative!$A$56:$AZ$91,27,FALSE)</f>
        <v>0</v>
      </c>
      <c r="H754" s="151">
        <f t="shared" si="155"/>
        <v>0</v>
      </c>
      <c r="I754" s="201">
        <f t="shared" si="156"/>
        <v>0</v>
      </c>
      <c r="J754" s="202">
        <f>VLOOKUP(B754,[4]Weeks!$A$125:$X$161,17,FALSE)-VLOOKUP(B754,[4]Weeks!$A$165:$X$200,17,FALSE)</f>
        <v>0</v>
      </c>
      <c r="K754" s="202">
        <f>VLOOKUP(B754,[4]Weeks!$A$85:$X$121,17,FALSE)-VLOOKUP(B754,[4]Weeks!$A$125:$X$161,17,FALSE)</f>
        <v>0</v>
      </c>
      <c r="L754" s="202">
        <f>VLOOKUP(B754,[4]Weeks!$A$44:$X$81,17,FALSE)-VLOOKUP(B754,[4]Weeks!$A$85:$X$121,17,FALSE)</f>
        <v>0</v>
      </c>
      <c r="M754" s="202">
        <f>VLOOKUP(B754,[4]Weeks!$A$3:$X$39,17,FALSE)-VLOOKUP(B754,[4]Weeks!$A$44:$X$81,17,FALSE)</f>
        <v>0</v>
      </c>
      <c r="N754" s="11" t="str">
        <f t="shared" si="157"/>
        <v>-</v>
      </c>
      <c r="O754" s="202">
        <f t="shared" si="153"/>
        <v>0</v>
      </c>
      <c r="P754" s="41">
        <f>IF(ISNUMBER(VLOOKUP(B754,[4]CLOSURES!B:BI,16,FALSE)),TEXT(VLOOKUP(B754,[4]CLOSURES!B:BI,16,FALSE),"ddmmm"),IF(F754&lt;=0,0,IF(I754&lt;=0,0,IF(AND(F754&gt;0,O754&lt;=0),"&gt;52",IF(I754/O754&gt;52,"&gt;52", MAX(0,I754/O754-2))))))</f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f>'[5]Maj Pel Combined'!$R$26</f>
        <v>0</v>
      </c>
      <c r="D755" s="200">
        <f>F755-VLOOKUP(B755,[4]quotas!$B$85:$AF$120,26,FALSE)</f>
        <v>0</v>
      </c>
      <c r="E755" s="200">
        <f t="shared" si="154"/>
        <v>0</v>
      </c>
      <c r="F755" s="201">
        <f>VLOOKUP(B755,[4]quotas!$B$46:$AF$84,26,FALSE)</f>
        <v>0</v>
      </c>
      <c r="G755" s="202">
        <f>VLOOKUP(B755,[4]Cumulative!$A$56:$AZ$91,27,FALSE)</f>
        <v>0</v>
      </c>
      <c r="H755" s="151">
        <f t="shared" si="155"/>
        <v>0</v>
      </c>
      <c r="I755" s="201">
        <f t="shared" si="156"/>
        <v>0</v>
      </c>
      <c r="J755" s="202">
        <f>VLOOKUP(B755,[4]Weeks!$A$125:$X$161,17,FALSE)-VLOOKUP(B755,[4]Weeks!$A$165:$X$200,17,FALSE)</f>
        <v>0</v>
      </c>
      <c r="K755" s="202">
        <f>VLOOKUP(B755,[4]Weeks!$A$85:$X$121,17,FALSE)-VLOOKUP(B755,[4]Weeks!$A$125:$X$161,17,FALSE)</f>
        <v>0</v>
      </c>
      <c r="L755" s="202">
        <f>VLOOKUP(B755,[4]Weeks!$A$44:$X$81,17,FALSE)-VLOOKUP(B755,[4]Weeks!$A$85:$X$121,17,FALSE)</f>
        <v>0</v>
      </c>
      <c r="M755" s="202">
        <f>VLOOKUP(B755,[4]Weeks!$A$3:$X$39,17,FALSE)-VLOOKUP(B755,[4]Weeks!$A$44:$X$81,17,FALSE)</f>
        <v>0</v>
      </c>
      <c r="N755" s="11" t="str">
        <f t="shared" si="157"/>
        <v>-</v>
      </c>
      <c r="O755" s="202">
        <f t="shared" si="153"/>
        <v>0</v>
      </c>
      <c r="P755" s="41">
        <f>IF(ISNUMBER(VLOOKUP(B755,[4]CLOSURES!B:BI,16,FALSE)),TEXT(VLOOKUP(B755,[4]CLOSURES!B:BI,16,FALSE),"ddmmm"),IF(F755&lt;=0,0,IF(I755&lt;=0,0,IF(AND(F755&gt;0,O755&lt;=0),"&gt;52",IF(I755/O755&gt;52,"&gt;52", MAX(0,I755/O755-2))))))</f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f>'[5]Maj Pel Combined'!$R$6</f>
        <v>0</v>
      </c>
      <c r="D756" s="200">
        <f>F756-VLOOKUP(B756,[4]quotas!$B$85:$AF$120,26,FALSE)</f>
        <v>0</v>
      </c>
      <c r="E756" s="200">
        <f t="shared" si="154"/>
        <v>0</v>
      </c>
      <c r="F756" s="201">
        <f>VLOOKUP(B756,[4]quotas!$B$46:$AF$84,26,FALSE)</f>
        <v>0</v>
      </c>
      <c r="G756" s="202">
        <f>VLOOKUP(B756,[4]Cumulative!$A$56:$AZ$91,27,FALSE)</f>
        <v>0</v>
      </c>
      <c r="H756" s="151">
        <f t="shared" si="155"/>
        <v>0</v>
      </c>
      <c r="I756" s="201">
        <f t="shared" si="156"/>
        <v>0</v>
      </c>
      <c r="J756" s="202">
        <f>VLOOKUP(B756,[4]Weeks!$A$125:$X$161,17,FALSE)-VLOOKUP(B756,[4]Weeks!$A$165:$X$200,17,FALSE)</f>
        <v>0</v>
      </c>
      <c r="K756" s="202">
        <f>VLOOKUP(B756,[4]Weeks!$A$85:$X$121,17,FALSE)-VLOOKUP(B756,[4]Weeks!$A$125:$X$161,17,FALSE)</f>
        <v>0</v>
      </c>
      <c r="L756" s="202">
        <f>VLOOKUP(B756,[4]Weeks!$A$44:$X$81,17,FALSE)-VLOOKUP(B756,[4]Weeks!$A$85:$X$121,17,FALSE)</f>
        <v>0</v>
      </c>
      <c r="M756" s="202">
        <f>VLOOKUP(B756,[4]Weeks!$A$3:$X$39,17,FALSE)-VLOOKUP(B756,[4]Weeks!$A$44:$X$81,17,FALSE)</f>
        <v>0</v>
      </c>
      <c r="N756" s="11" t="str">
        <f t="shared" si="157"/>
        <v>-</v>
      </c>
      <c r="O756" s="202">
        <f t="shared" si="153"/>
        <v>0</v>
      </c>
      <c r="P756" s="41">
        <f>IF(ISNUMBER(VLOOKUP(B756,[4]CLOSURES!B:BI,16,FALSE)),TEXT(VLOOKUP(B756,[4]CLOSURES!B:BI,16,FALSE),"ddmmm"),IF(F756&lt;=0,0,IF(I756&lt;=0,0,IF(AND(F756&gt;0,O756&lt;=0),"&gt;52",IF(I756/O756&gt;52,"&gt;52", MAX(0,I756/O756-2))))))</f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f>'[5]Maj Pel Combined'!$R$14</f>
        <v>0</v>
      </c>
      <c r="D757" s="200">
        <f>F757-VLOOKUP(B757,[4]quotas!$B$85:$AF$120,26,FALSE)</f>
        <v>0</v>
      </c>
      <c r="E757" s="200">
        <f t="shared" si="154"/>
        <v>0</v>
      </c>
      <c r="F757" s="201">
        <f>VLOOKUP(B757,[4]quotas!$B$46:$AF$84,26,FALSE)</f>
        <v>0</v>
      </c>
      <c r="G757" s="202">
        <f>VLOOKUP(B757,[4]Cumulative!$A$56:$AZ$91,27,FALSE)</f>
        <v>0</v>
      </c>
      <c r="H757" s="151">
        <f t="shared" si="155"/>
        <v>0</v>
      </c>
      <c r="I757" s="201">
        <f t="shared" si="156"/>
        <v>0</v>
      </c>
      <c r="J757" s="202">
        <f>VLOOKUP(B757,[4]Weeks!$A$125:$X$161,17,FALSE)-VLOOKUP(B757,[4]Weeks!$A$165:$X$200,17,FALSE)</f>
        <v>0</v>
      </c>
      <c r="K757" s="202">
        <f>VLOOKUP(B757,[4]Weeks!$A$85:$X$121,17,FALSE)-VLOOKUP(B757,[4]Weeks!$A$125:$X$161,17,FALSE)</f>
        <v>0</v>
      </c>
      <c r="L757" s="202">
        <f>VLOOKUP(B757,[4]Weeks!$A$44:$X$81,17,FALSE)-VLOOKUP(B757,[4]Weeks!$A$85:$X$121,17,FALSE)</f>
        <v>0</v>
      </c>
      <c r="M757" s="202">
        <f>VLOOKUP(B757,[4]Weeks!$A$3:$X$39,17,FALSE)-VLOOKUP(B757,[4]Weeks!$A$44:$X$81,17,FALSE)</f>
        <v>0</v>
      </c>
      <c r="N757" s="11" t="str">
        <f t="shared" si="157"/>
        <v>-</v>
      </c>
      <c r="O757" s="202">
        <f t="shared" si="153"/>
        <v>0</v>
      </c>
      <c r="P757" s="41" t="str">
        <f>IF(ISNUMBER(VLOOKUP(B757,[4]CLOSURES!B:BI,16,FALSE)),TEXT(VLOOKUP(B757,[4]CLOSURES!B:BI,16,FALSE),"ddmmm"),IF(F757&lt;=0,0,IF(I757&lt;=0,0,IF(AND(F757&gt;0,O757&lt;=0),"&gt;52",IF(I757/O757&gt;52,"&gt;52", MAX(0,I757/O757-2))))))</f>
        <v>01Jan</v>
      </c>
      <c r="Q757" s="158"/>
      <c r="R757" s="158"/>
    </row>
    <row r="758" spans="2:18" ht="10.75" hidden="1" customHeight="1" x14ac:dyDescent="0.25">
      <c r="B758" s="40" t="s">
        <v>81</v>
      </c>
      <c r="C758" s="130">
        <f>'[5]Maj Pel Combined'!$R$13</f>
        <v>0</v>
      </c>
      <c r="D758" s="200">
        <f>F758-VLOOKUP(B758,[4]quotas!$B$85:$AF$120,26,FALSE)</f>
        <v>0</v>
      </c>
      <c r="E758" s="200">
        <f t="shared" si="154"/>
        <v>0</v>
      </c>
      <c r="F758" s="201">
        <f>VLOOKUP(B758,[4]quotas!$B$46:$AF$84,26,FALSE)</f>
        <v>0</v>
      </c>
      <c r="G758" s="202">
        <f>VLOOKUP(B758,[4]Cumulative!$A$56:$AZ$91,27,FALSE)</f>
        <v>0</v>
      </c>
      <c r="H758" s="151">
        <f t="shared" si="155"/>
        <v>0</v>
      </c>
      <c r="I758" s="201">
        <f t="shared" si="156"/>
        <v>0</v>
      </c>
      <c r="J758" s="202">
        <f>VLOOKUP(B758,[4]Weeks!$A$125:$X$161,17,FALSE)-VLOOKUP(B758,[4]Weeks!$A$165:$X$200,17,FALSE)</f>
        <v>0</v>
      </c>
      <c r="K758" s="202">
        <f>VLOOKUP(B758,[4]Weeks!$A$85:$X$121,17,FALSE)-VLOOKUP(B758,[4]Weeks!$A$125:$X$161,17,FALSE)</f>
        <v>0</v>
      </c>
      <c r="L758" s="202">
        <f>VLOOKUP(B758,[4]Weeks!$A$44:$X$81,17,FALSE)-VLOOKUP(B758,[4]Weeks!$A$85:$X$121,17,FALSE)</f>
        <v>0</v>
      </c>
      <c r="M758" s="202">
        <f>VLOOKUP(B758,[4]Weeks!$A$3:$X$39,17,FALSE)-VLOOKUP(B758,[4]Weeks!$A$44:$X$81,17,FALSE)</f>
        <v>0</v>
      </c>
      <c r="N758" s="11" t="str">
        <f t="shared" si="157"/>
        <v>-</v>
      </c>
      <c r="O758" s="202">
        <f t="shared" si="153"/>
        <v>0</v>
      </c>
      <c r="P758" s="41" t="str">
        <f>IF(ISNUMBER(VLOOKUP(B758,[4]CLOSURES!B:BI,16,FALSE)),TEXT(VLOOKUP(B758,[4]CLOSURES!B:BI,16,FALSE),"ddmmm"),IF(F758&lt;=0,0,IF(I758&lt;=0,0,IF(AND(F758&gt;0,O758&lt;=0),"&gt;52",IF(I758/O758&gt;52,"&gt;52", MAX(0,I758/O758-2))))))</f>
        <v>01Jan</v>
      </c>
      <c r="Q758" s="158"/>
      <c r="R758" s="158"/>
    </row>
    <row r="759" spans="2:18" ht="10.75" hidden="1" customHeight="1" x14ac:dyDescent="0.25">
      <c r="B759" s="152" t="s">
        <v>82</v>
      </c>
      <c r="C759" s="130">
        <f>'[5]Maj Pel Combined'!$R$11</f>
        <v>0</v>
      </c>
      <c r="D759" s="200">
        <f>F759-VLOOKUP(B759,[4]quotas!$B$85:$AF$120,26,FALSE)</f>
        <v>0</v>
      </c>
      <c r="E759" s="200">
        <f t="shared" si="154"/>
        <v>0</v>
      </c>
      <c r="F759" s="201">
        <f>VLOOKUP(B759,[4]quotas!$B$46:$AF$84,26,FALSE)</f>
        <v>0</v>
      </c>
      <c r="G759" s="202">
        <f>VLOOKUP(B759,[4]Cumulative!$A$56:$AZ$91,27,FALSE)</f>
        <v>0</v>
      </c>
      <c r="H759" s="151">
        <f>IF(AND(F759=0,G759&gt;0),"n/a",IF(F759=0,0,100*G759/F759))</f>
        <v>0</v>
      </c>
      <c r="I759" s="201">
        <f t="shared" si="156"/>
        <v>0</v>
      </c>
      <c r="J759" s="202">
        <f>VLOOKUP(B759,[4]Weeks!$A$125:$X$161,17,FALSE)-VLOOKUP(B759,[4]Weeks!$A$165:$X$200,17,FALSE)</f>
        <v>0</v>
      </c>
      <c r="K759" s="202">
        <f>VLOOKUP(B759,[4]Weeks!$A$85:$X$121,17,FALSE)-VLOOKUP(B759,[4]Weeks!$A$125:$X$161,17,FALSE)</f>
        <v>0</v>
      </c>
      <c r="L759" s="202">
        <f>VLOOKUP(B759,[4]Weeks!$A$44:$X$81,17,FALSE)-VLOOKUP(B759,[4]Weeks!$A$85:$X$121,17,FALSE)</f>
        <v>0</v>
      </c>
      <c r="M759" s="202">
        <f>VLOOKUP(B759,[4]Weeks!$A$3:$X$39,17,FALSE)-VLOOKUP(B759,[4]Weeks!$A$44:$X$81,17,FALSE)</f>
        <v>0</v>
      </c>
      <c r="N759" s="11" t="str">
        <f>IF(C759="*","*",IF(C759&gt;0,M759/C759*100,"-"))</f>
        <v>-</v>
      </c>
      <c r="O759" s="202">
        <f>IF(C759="*","*",SUM(J759:M759)/4)</f>
        <v>0</v>
      </c>
      <c r="P759" s="41" t="str">
        <f>IF(ISNUMBER(VLOOKUP(B759,[4]CLOSURES!B:BI,16,FALSE)),TEXT(VLOOKUP(B759,[4]CLOSURES!B:BI,16,FALSE),"ddmmm"),IF(F759&lt;=0,0,IF(I759&lt;=0,0,IF(AND(F759&gt;0,O759&lt;=0),"&gt;52",IF(I759/O759&gt;52,"&gt;52", MAX(0,I759/O759-2))))))</f>
        <v>01Jan</v>
      </c>
      <c r="Q759" s="158"/>
      <c r="R759" s="158"/>
    </row>
    <row r="760" spans="2:18" ht="10.75" hidden="1" customHeight="1" x14ac:dyDescent="0.25">
      <c r="B760" s="152" t="s">
        <v>111</v>
      </c>
      <c r="C760" s="130">
        <f>'[5]Maj Pel Combined'!$R$15</f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f>IF(C760="*","*",SUM(J760:M760)/4)</f>
        <v>0</v>
      </c>
      <c r="P760" s="41">
        <f>IF(ISNUMBER(VLOOKUP(B760,[4]CLOSURES!B:BI,16,FALSE)),TEXT(VLOOKUP(B760,[4]CLOSURES!B:BI,16,FALSE),"ddmmm"),IF(F760&lt;=0,0,IF(I760&lt;=0,0,IF(AND(F760&gt;0,O760&lt;=0),"&gt;52",IF(I760/O760&gt;52,"&gt;52", MAX(0,I760/O760-2))))))</f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f>'[5]Maj Pel Combined'!$R$10</f>
        <v>0</v>
      </c>
      <c r="D761" s="200">
        <f>F761-VLOOKUP(B761,[4]quotas!$B$85:$AF$120,26,FALSE)</f>
        <v>0</v>
      </c>
      <c r="E761" s="200">
        <f>F761-C761</f>
        <v>0</v>
      </c>
      <c r="F761" s="201">
        <f>VLOOKUP(B761,[4]quotas!$B$46:$AF$84,26,FALSE)</f>
        <v>0</v>
      </c>
      <c r="G761" s="202">
        <f>VLOOKUP(B761,[4]Cumulative!$A$56:$AZ$91,27,FALSE)</f>
        <v>0</v>
      </c>
      <c r="H761" s="151">
        <f>IF(AND(F761=0,G761&gt;0),"n/a",IF(F761=0,0,100*G761/F761))</f>
        <v>0</v>
      </c>
      <c r="I761" s="201">
        <f>IF(F761="*","*",F761-G761)</f>
        <v>0</v>
      </c>
      <c r="J761" s="202">
        <f>VLOOKUP(B761,[4]Weeks!$A$125:$X$161,17,FALSE)-VLOOKUP(B761,[4]Weeks!$A$165:$X$200,17,FALSE)</f>
        <v>0</v>
      </c>
      <c r="K761" s="202">
        <f>VLOOKUP(B761,[4]Weeks!$A$85:$X$121,17,FALSE)-VLOOKUP(B761,[4]Weeks!$A$125:$X$161,17,FALSE)</f>
        <v>0</v>
      </c>
      <c r="L761" s="202">
        <f>VLOOKUP(B761,[4]Weeks!$A$44:$X$81,17,FALSE)-VLOOKUP(B761,[4]Weeks!$A$85:$X$121,17,FALSE)</f>
        <v>0</v>
      </c>
      <c r="M761" s="202">
        <f>VLOOKUP(B761,[4]Weeks!$A$3:$X$39,17,FALSE)-VLOOKUP(B761,[4]Weeks!$A$44:$X$81,17,FALSE)</f>
        <v>0</v>
      </c>
      <c r="N761" s="11" t="str">
        <f>IF(C761="*","*",IF(C761&gt;0,M761/C761*100,"-"))</f>
        <v>-</v>
      </c>
      <c r="O761" s="202">
        <f>IF(C761="*","*",SUM(J761:M761)/4)</f>
        <v>0</v>
      </c>
      <c r="P761" s="41">
        <f>IF(ISNUMBER(VLOOKUP(B761,[4]CLOSURES!B:BI,16,FALSE)),TEXT(VLOOKUP(B761,[4]CLOSURES!B:BI,16,FALSE),"ddmmm"),IF(F761&lt;=0,0,IF(I761&lt;=0,0,IF(AND(F761&gt;0,O761&lt;=0),"&gt;52",IF(I761/O761&gt;52,"&gt;52", MAX(0,I761/O761-2))))))</f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f>'[5]Maj Pel Combined'!$R$12</f>
        <v>0</v>
      </c>
      <c r="D762" s="200">
        <f>F762-VLOOKUP(B762,[4]quotas!$B$85:$AF$120,26,FALSE)</f>
        <v>0</v>
      </c>
      <c r="E762" s="200">
        <f>F762-C762</f>
        <v>0</v>
      </c>
      <c r="F762" s="201">
        <f>VLOOKUP(B762,[4]quotas!$B$46:$AF$84,26,FALSE)</f>
        <v>0</v>
      </c>
      <c r="G762" s="202">
        <f>VLOOKUP(B762,[4]Cumulative!$A$56:$AZ$91,27,FALSE)</f>
        <v>0</v>
      </c>
      <c r="H762" s="151">
        <f>IF(AND(F762=0,G762&gt;0),"n/a",IF(F762=0,0,100*G762/F762))</f>
        <v>0</v>
      </c>
      <c r="I762" s="201">
        <f>IF(F762="*","*",F762-G762)</f>
        <v>0</v>
      </c>
      <c r="J762" s="202">
        <f>VLOOKUP(B762,[4]Weeks!$A$125:$X$161,17,FALSE)-VLOOKUP(B762,[4]Weeks!$A$165:$X$200,17,FALSE)</f>
        <v>0</v>
      </c>
      <c r="K762" s="202">
        <f>VLOOKUP(B762,[4]Weeks!$A$85:$X$121,17,FALSE)-VLOOKUP(B762,[4]Weeks!$A$125:$X$161,17,FALSE)</f>
        <v>0</v>
      </c>
      <c r="L762" s="202">
        <f>VLOOKUP(B762,[4]Weeks!$A$44:$X$81,17,FALSE)-VLOOKUP(B762,[4]Weeks!$A$85:$X$121,17,FALSE)</f>
        <v>0</v>
      </c>
      <c r="M762" s="202">
        <f>VLOOKUP(B762,[4]Weeks!$A$3:$X$39,17,FALSE)-VLOOKUP(B762,[4]Weeks!$A$44:$X$81,17,FALSE)</f>
        <v>0</v>
      </c>
      <c r="N762" s="11" t="str">
        <f>IF(C762="*","*",IF(C762&gt;0,M762/C762*100,"-"))</f>
        <v>-</v>
      </c>
      <c r="O762" s="202">
        <f>IF(C762="*","*",SUM(J762:M762)/4)</f>
        <v>0</v>
      </c>
      <c r="P762" s="41" t="str">
        <f>IF(ISNUMBER(VLOOKUP(B762,[4]CLOSURES!B:BI,16,FALSE)),TEXT(VLOOKUP(B762,[4]CLOSURES!B:BI,16,FALSE),"ddmmm"),IF(F762&lt;=0,0,IF(I762&lt;=0,0,IF(AND(F762&gt;0,O762&lt;=0),"&gt;52",IF(I762/O762&gt;52,"&gt;52", MAX(0,I762/O762-2))))))</f>
        <v>01Jan</v>
      </c>
      <c r="Q762" s="158"/>
      <c r="R762" s="158"/>
    </row>
    <row r="763" spans="2:18" ht="10.75" hidden="1" customHeight="1" x14ac:dyDescent="0.25">
      <c r="B763" s="162" t="s">
        <v>86</v>
      </c>
      <c r="C763" s="130">
        <f>SUM(C738:C747)+SUM(C750:C762)</f>
        <v>0</v>
      </c>
      <c r="D763" s="202">
        <f>SUM(D738:D747)+SUM(D750:D762)</f>
        <v>0</v>
      </c>
      <c r="E763" s="200">
        <f>F763-C763</f>
        <v>0</v>
      </c>
      <c r="F763" s="201">
        <f>SUM(F738:F747)+SUM(F750:F762)</f>
        <v>0</v>
      </c>
      <c r="G763" s="202">
        <f>SUM(G738:G747)+SUM(G750:G762)</f>
        <v>0</v>
      </c>
      <c r="H763" s="151">
        <f>IF(AND(F763=0,G763&gt;0),"n/a",IF(F763=0,0,100*G763/F763))</f>
        <v>0</v>
      </c>
      <c r="I763" s="201">
        <f>IF(F763="*","*",F763-G763)</f>
        <v>0</v>
      </c>
      <c r="J763" s="202">
        <f>SUM(J738:J747)+SUM(J750:J762)</f>
        <v>0</v>
      </c>
      <c r="K763" s="202">
        <f>SUM(K738:K747)+SUM(K750:K762)</f>
        <v>0</v>
      </c>
      <c r="L763" s="202">
        <f>SUM(L738:L747)+SUM(L750:L762)</f>
        <v>0</v>
      </c>
      <c r="M763" s="202">
        <f>SUM(M738:M747)+SUM(M750:M762)</f>
        <v>0</v>
      </c>
      <c r="N763" s="11" t="str">
        <f>IF(C763="*","*",IF(C763&gt;0,M763/C763*100,"-"))</f>
        <v>-</v>
      </c>
      <c r="O763" s="202">
        <f>IF(C763="*","*",SUM(J763:M763)/4)</f>
        <v>0</v>
      </c>
      <c r="P763" s="41">
        <f>IF(ISNUMBER(VLOOKUP(B763,[4]CLOSURES!B:BI,16,FALSE)),TEXT(VLOOKUP(B763,[4]CLOSURES!B:BI,16,FALSE),"ddmmm"),IF(F763&lt;=0,0,IF(I763&lt;=0,0,IF(AND(F763&gt;0,O763&lt;=0),"&gt;52",IF(I763/O763&gt;52,"&gt;52", MAX(0,I763/O763-2))))))</f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f>C765</f>
        <v>0</v>
      </c>
      <c r="G765" s="202"/>
      <c r="H765" s="151">
        <f>IF(AND(F765=0,G765&gt;0),"n/a",IF(F765=0,0,100*G765/F765))</f>
        <v>0</v>
      </c>
      <c r="I765" s="201">
        <f>IF(F765="*","*",F765-G765)</f>
        <v>0</v>
      </c>
      <c r="J765" s="202"/>
      <c r="K765" s="202"/>
      <c r="L765" s="202"/>
      <c r="M765" s="202"/>
      <c r="N765" s="11" t="str">
        <f>IF(C765="*","*",IF(C765&gt;0,M765/C765*100,"-"))</f>
        <v>-</v>
      </c>
      <c r="O765" s="202">
        <f>IF(C765="*","*",SUM(J765:M765)/4)</f>
        <v>0</v>
      </c>
      <c r="P765" s="41" t="str">
        <f>IF(ISNUMBER(VLOOKUP(B765,[4]CLOSURES!B:BI,16,FALSE)),TEXT(VLOOKUP(B765,[4]CLOSURES!B:BI,16,FALSE),"ddmmm"),IF(F765&lt;=0,0,IF(I765&lt;=0,0,IF(AND(F765&gt;0,O765&lt;=0),"&gt;52",IF(I765/O765&gt;52,"&gt;52", MAX(0,I765/O765-2))))))</f>
        <v>01Jan</v>
      </c>
      <c r="Q765" s="158"/>
      <c r="R765" s="158"/>
    </row>
    <row r="766" spans="2:18" ht="10.75" hidden="1" customHeight="1" x14ac:dyDescent="0.25">
      <c r="B766" s="44" t="s">
        <v>88</v>
      </c>
      <c r="C766" s="130">
        <f>'[5]Maj Pel Combined'!$R$33</f>
        <v>0</v>
      </c>
      <c r="D766" s="200">
        <f>F766-VLOOKUP(B766,[4]quotas!$B$85:$AF$120,26,FALSE)</f>
        <v>0</v>
      </c>
      <c r="E766" s="200">
        <f>F766-C766</f>
        <v>0</v>
      </c>
      <c r="F766" s="201">
        <f>VLOOKUP(B766,[4]quotas!$B$46:$AF$84,26,FALSE)</f>
        <v>0</v>
      </c>
      <c r="G766" s="202">
        <f>VLOOKUP(B766,[4]Cumulative!$A$56:$AZ$91,27,FALSE)</f>
        <v>0</v>
      </c>
      <c r="H766" s="151">
        <f>IF(AND(F766=0,G766&gt;0),"n/a",IF(F766=0,0,100*G766/F766))</f>
        <v>0</v>
      </c>
      <c r="I766" s="201">
        <f>IF(F766="*","*",F766-G766)</f>
        <v>0</v>
      </c>
      <c r="J766" s="202">
        <f>VLOOKUP(B766,[4]Weeks!$A$125:$X$161,17,FALSE)-VLOOKUP(B766,[4]Weeks!$A$165:$X$200,17,FALSE)</f>
        <v>0</v>
      </c>
      <c r="K766" s="202">
        <f>VLOOKUP(B766,[4]Weeks!$A$85:$X$121,17,FALSE)-VLOOKUP(B766,[4]Weeks!$A$125:$X$161,17,FALSE)</f>
        <v>0</v>
      </c>
      <c r="L766" s="202">
        <f>VLOOKUP(B766,[4]Weeks!$A$44:$X$81,17,FALSE)-VLOOKUP(B766,[4]Weeks!$A$85:$X$121,17,FALSE)</f>
        <v>0</v>
      </c>
      <c r="M766" s="202">
        <f>VLOOKUP(B766,[4]Weeks!$A$3:$X$39,17,FALSE)-VLOOKUP(B766,[4]Weeks!$A$44:$X$81,17,FALSE)</f>
        <v>0</v>
      </c>
      <c r="N766" s="11" t="s">
        <v>64</v>
      </c>
      <c r="O766" s="202">
        <f>IF(C766="*","*",SUM(J766:M766)/4)</f>
        <v>0</v>
      </c>
      <c r="P766" s="41" t="str">
        <f>IF(ISNUMBER(VLOOKUP(B766,[4]CLOSURES!B:BI,16,FALSE)),TEXT(VLOOKUP(B766,[4]CLOSURES!B:BI,16,FALSE),"ddmmm"),IF(F766&lt;=0,0,IF(I766&lt;=0,0,IF(AND(F766&gt;0,O766&lt;=0),"&gt;52",IF(I766/O766&gt;52,"&gt;52", MAX(0,I766/O766-2))))))</f>
        <v>01Jan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f>IF(AND(F767=0,G767&gt;0),"n/a",IF(F767=0,0,100*G767/F767))</f>
        <v>0</v>
      </c>
      <c r="I767" s="201">
        <f>IF(F767="*","*",F767-G767)</f>
        <v>0</v>
      </c>
      <c r="J767" s="202"/>
      <c r="K767" s="202"/>
      <c r="L767" s="202"/>
      <c r="M767" s="202"/>
      <c r="N767" s="11" t="str">
        <f>IF(C767="*","*",IF(C767&gt;0,M767/C767*100,"-"))</f>
        <v>-</v>
      </c>
      <c r="O767" s="202">
        <f>IF(C767="*","*",SUM(J767:M767)/4)</f>
        <v>0</v>
      </c>
      <c r="P767" s="41" t="str">
        <f>IF(ISNUMBER(VLOOKUP(B767,[4]CLOSURES!B:BI,16,FALSE)),TEXT(VLOOKUP(B767,[4]CLOSURES!B:BI,16,FALSE),"ddmmm"),IF(F767&lt;=0,0,IF(I767&lt;=0,0,IF(AND(F767&gt;0,O767&lt;=0),"&gt;52",IF(I767/O767&gt;52,"&gt;52", MAX(0,I767/O767-2))))))</f>
        <v>01Jan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f>'[5]Maj Pel Combined'!$R$41</f>
        <v>0</v>
      </c>
      <c r="D769" s="200"/>
      <c r="E769" s="200"/>
      <c r="F769" s="201">
        <f>'[5]Maj Pel Combined'!$R$41</f>
        <v>0</v>
      </c>
      <c r="G769" s="202"/>
      <c r="H769" s="151"/>
      <c r="I769" s="201">
        <f>F769</f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f>C763+SUM(C765:C769)</f>
        <v>0</v>
      </c>
      <c r="D770" s="135">
        <f>D763+SUM(D765:D767)</f>
        <v>0</v>
      </c>
      <c r="E770" s="135">
        <f>E763+SUM(E765:E767)</f>
        <v>0</v>
      </c>
      <c r="F770" s="142">
        <f>F763+SUM(F765:F769)</f>
        <v>0</v>
      </c>
      <c r="G770" s="131">
        <f>VLOOKUP(B770,[4]Cumulative!$A$56:$AE$91,27,FALSE)</f>
        <v>0</v>
      </c>
      <c r="H770" s="156">
        <f>IF(AND(F770=0,G770&gt;0),"n/a",IF(F770=0,0,100*G770/F770))</f>
        <v>0</v>
      </c>
      <c r="I770" s="132">
        <f>IF(F770="*","*",F770-G770)</f>
        <v>0</v>
      </c>
      <c r="J770" s="131">
        <f>VLOOKUP(B770,[4]Weeks!$A$125:$AE$161,27,FALSE)-VLOOKUP(B770,[4]Weeks!$A$165:$AE$200,27,FALSE)</f>
        <v>0</v>
      </c>
      <c r="K770" s="131">
        <f>VLOOKUP(B770,[4]Weeks!$A$85:$AE$121,27,FALSE)-VLOOKUP(B770,[4]Weeks!$A$125:$AE$161,27,FALSE)</f>
        <v>0</v>
      </c>
      <c r="L770" s="131">
        <f>VLOOKUP(B770,[4]Weeks!$A$44:$AE$81,27,FALSE)-VLOOKUP(B770,[4]Weeks!$A$85:$AE$121,27,FALSE)</f>
        <v>0</v>
      </c>
      <c r="M770" s="131">
        <f>M763+M765+M767</f>
        <v>0</v>
      </c>
      <c r="N770" s="53" t="str">
        <f>IF(C770="*","*",IF(C770&gt;0,M770/C770*100,"-"))</f>
        <v>-</v>
      </c>
      <c r="O770" s="131">
        <f>IF(C770="*","*",SUM(J770:M770)/4)</f>
        <v>0</v>
      </c>
      <c r="P770" s="49" t="str">
        <f>IF(ISNUMBER(VLOOKUP(B770,[4]CLOSURES!B:BI,16,FALSE)),TEXT(VLOOKUP(B770,[4]CLOSURES!B:BI,16,FALSE),"ddmmm"),IF(F770&lt;=0,0,IF(I770&lt;=0,0,IF(AND(F770&gt;0,O770&lt;=0),"&gt;52",IF(I770/O770&gt;52,"&gt;52", MAX(0,I770/O770-2))))))</f>
        <v>01Jan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f>J735</f>
        <v>44895</v>
      </c>
      <c r="K775" s="33">
        <f>K735</f>
        <v>44902</v>
      </c>
      <c r="L775" s="33">
        <f>L735</f>
        <v>44909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f>'[5]Maj Pel Combined'!$S$23</f>
        <v>0</v>
      </c>
      <c r="D778" s="200">
        <f>F778-VLOOKUP(B778,[4]quotas!$B$85:$AF$120,27,FALSE)</f>
        <v>0</v>
      </c>
      <c r="E778" s="200">
        <f>F778-C778</f>
        <v>0</v>
      </c>
      <c r="F778" s="201">
        <f>VLOOKUP(B778,[4]quotas!$B$46:$AF$84,27,FALSE)</f>
        <v>0</v>
      </c>
      <c r="G778" s="202">
        <f>VLOOKUP(B778,[4]Cumulative!$A$56:$AZ$91,28,FALSE)</f>
        <v>0</v>
      </c>
      <c r="H778" s="151">
        <f>IF(AND(F778=0,G778&gt;0),"n/a",IF(F778=0,0,100*G778/F778))</f>
        <v>0</v>
      </c>
      <c r="I778" s="201">
        <f>IF(F778="*","*",F778-G778)</f>
        <v>0</v>
      </c>
      <c r="J778" s="202">
        <f>VLOOKUP(B778,[4]Weeks!$A$125:$AE$161,28,FALSE)-VLOOKUP(B778,[4]Weeks!$A$165:$AE$200,28,FALSE)</f>
        <v>0</v>
      </c>
      <c r="K778" s="202">
        <f>VLOOKUP(B778,[4]Weeks!$A$85:$AE$121,28,FALSE)-VLOOKUP(B778,[4]Weeks!$A$125:$AE$161,28,FALSE)</f>
        <v>0</v>
      </c>
      <c r="L778" s="202">
        <f>VLOOKUP(B778,[4]Weeks!$A$44:$AE$81,28,FALSE)-VLOOKUP(B778,[4]Weeks!$A$85:$AE$121,28,FALSE)</f>
        <v>0</v>
      </c>
      <c r="M778" s="202">
        <f>VLOOKUP(B778,[4]Weeks!$A$3:$AE$39,28,FALSE)-VLOOKUP(B778,[4]Weeks!$A$44:$AE$81,28,FALSE)</f>
        <v>0</v>
      </c>
      <c r="N778" s="11" t="str">
        <f>IF(C778="*","*",IF(C778&gt;0,M778/C778*100,"-"))</f>
        <v>-</v>
      </c>
      <c r="O778" s="202">
        <f t="shared" ref="O778:O787" si="158">IF(C778="*","*",SUM(J778:M778)/4)</f>
        <v>0</v>
      </c>
      <c r="P778" s="41">
        <f>IF(ISNUMBER(VLOOKUP(B778,[4]CLOSURES!B:BI,16,FALSE)),TEXT(VLOOKUP(B778,[4]CLOSURES!B:BI,16,FALSE),"ddmmm"),IF(F778&lt;=0,0,IF(I778&lt;=0,0,IF(AND(F778&gt;0,O778&lt;=0),"&gt;52",IF(I778/O778&gt;52,"&gt;52", MAX(0,I778/O778-2))))))</f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f>'[5]Maj Pel Combined'!$S$16</f>
        <v>0</v>
      </c>
      <c r="D779" s="200">
        <f>F779-VLOOKUP(B779,[4]quotas!$B$85:$AF$120,27,FALSE)</f>
        <v>0</v>
      </c>
      <c r="E779" s="200">
        <v>0</v>
      </c>
      <c r="F779" s="201">
        <f>VLOOKUP(B779,[4]quotas!$B$46:$AF$84,27,FALSE)</f>
        <v>0</v>
      </c>
      <c r="G779" s="202">
        <f>VLOOKUP(B779,[4]Cumulative!$A$56:$AZ$91,28,FALSE)</f>
        <v>0</v>
      </c>
      <c r="H779" s="151">
        <f>IF(AND(F779=0,G779&gt;0),"n/a",IF(F779=0,0,100*G779/F779))</f>
        <v>0</v>
      </c>
      <c r="I779" s="201">
        <f>IF(F779="*","*",F779-G779)</f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f t="shared" si="158"/>
        <v>0</v>
      </c>
      <c r="P779" s="41" t="str">
        <f>IF(ISNUMBER(VLOOKUP(B779,[4]CLOSURES!B:BI,16,FALSE)),TEXT(VLOOKUP(B779,[4]CLOSURES!B:BI,16,FALSE),"ddmmm"),IF(F779&lt;=0,0,IF(I779&lt;=0,0,IF(AND(F779&gt;0,O779&lt;=0),"&gt;52",IF(I779/O779&gt;52,"&gt;52", MAX(0,I779/O779-2))))))</f>
        <v>01Jan</v>
      </c>
      <c r="Q779" s="158"/>
      <c r="R779" s="158"/>
    </row>
    <row r="780" spans="2:18" ht="10.75" hidden="1" customHeight="1" x14ac:dyDescent="0.25">
      <c r="B780" s="40" t="s">
        <v>65</v>
      </c>
      <c r="C780" s="130">
        <f>'[5]Maj Pel Combined'!$S$20</f>
        <v>0</v>
      </c>
      <c r="D780" s="200">
        <f>F780-VLOOKUP(B780,[4]quotas!$B$85:$AF$120,27,FALSE)</f>
        <v>0</v>
      </c>
      <c r="E780" s="200">
        <f>F780-C780</f>
        <v>0</v>
      </c>
      <c r="F780" s="201">
        <f>VLOOKUP(B780,[4]quotas!$B$46:$AF$84,27,FALSE)</f>
        <v>0</v>
      </c>
      <c r="G780" s="202">
        <f>VLOOKUP(B780,[4]Cumulative!$A$56:$AZ$91,28,FALSE)</f>
        <v>0</v>
      </c>
      <c r="H780" s="151">
        <f>IF(AND(F780=0,G780&gt;0),"n/a",IF(F780=0,0,100*G780/F780))</f>
        <v>0</v>
      </c>
      <c r="I780" s="201">
        <f>IF(F780="*","*",F780-G780)</f>
        <v>0</v>
      </c>
      <c r="J780" s="202">
        <f>VLOOKUP(B780,[4]Weeks!$A$125:$X$161,17,FALSE)-VLOOKUP(B780,[4]Weeks!$A$165:$X$200,17,FALSE)</f>
        <v>0</v>
      </c>
      <c r="K780" s="202">
        <f>VLOOKUP(B780,[4]Weeks!$A$85:$X$121,17,FALSE)-VLOOKUP(B780,[4]Weeks!$A$125:$X$161,17,FALSE)</f>
        <v>0</v>
      </c>
      <c r="L780" s="202">
        <f>VLOOKUP(B780,[4]Weeks!$A$44:$X$81,17,FALSE)-VLOOKUP(B780,[4]Weeks!$A$85:$X$121,17,FALSE)</f>
        <v>0</v>
      </c>
      <c r="M780" s="202">
        <f>VLOOKUP(B780,[4]Weeks!$A$3:$X$39,17,FALSE)-VLOOKUP(B780,[4]Weeks!$A$44:$X$81,17,FALSE)</f>
        <v>0</v>
      </c>
      <c r="N780" s="11" t="str">
        <f>IF(C780="*","*",IF(C780&gt;0,M780/C780*100,"-"))</f>
        <v>-</v>
      </c>
      <c r="O780" s="202">
        <f t="shared" si="158"/>
        <v>0</v>
      </c>
      <c r="P780" s="41" t="str">
        <f>IF(ISNUMBER(VLOOKUP(B780,[4]CLOSURES!B:BI,16,FALSE)),TEXT(VLOOKUP(B780,[4]CLOSURES!B:BI,16,FALSE),"ddmmm"),IF(F780&lt;=0,0,IF(I780&lt;=0,0,IF(AND(F780&gt;0,O780&lt;=0),"&gt;52",IF(I780/O780&gt;52,"&gt;52", MAX(0,I780/O780-2))))))</f>
        <v>01Jan</v>
      </c>
      <c r="Q780" s="158"/>
      <c r="R780" s="158"/>
    </row>
    <row r="781" spans="2:18" ht="10.75" hidden="1" customHeight="1" x14ac:dyDescent="0.25">
      <c r="B781" s="40" t="s">
        <v>66</v>
      </c>
      <c r="C781" s="130">
        <f>'[5]Maj Pel Combined'!$S$24</f>
        <v>0</v>
      </c>
      <c r="D781" s="200">
        <f>F781-VLOOKUP(B781,[4]quotas!$B$85:$AF$120,27,FALSE)</f>
        <v>0</v>
      </c>
      <c r="E781" s="200">
        <f>F781-C781</f>
        <v>0</v>
      </c>
      <c r="F781" s="201">
        <f>VLOOKUP(B781,[4]quotas!$B$46:$AF$84,27,FALSE)</f>
        <v>0</v>
      </c>
      <c r="G781" s="202">
        <f>VLOOKUP(B781,[4]Cumulative!$A$56:$AZ$91,28,FALSE)</f>
        <v>0</v>
      </c>
      <c r="H781" s="151">
        <f>IF(AND(F781=0,G781&gt;0),"n/a",IF(F781=0,0,100*G781/F781))</f>
        <v>0</v>
      </c>
      <c r="I781" s="201">
        <f>IF(F781="*","*",F781-G781)</f>
        <v>0</v>
      </c>
      <c r="J781" s="202">
        <f>VLOOKUP(B781,[4]Weeks!$A$125:$X$161,17,FALSE)-VLOOKUP(B781,[4]Weeks!$A$165:$X$200,17,FALSE)</f>
        <v>0</v>
      </c>
      <c r="K781" s="202">
        <f>VLOOKUP(B781,[4]Weeks!$A$85:$X$121,17,FALSE)-VLOOKUP(B781,[4]Weeks!$A$125:$X$161,17,FALSE)</f>
        <v>0</v>
      </c>
      <c r="L781" s="202">
        <f>VLOOKUP(B781,[4]Weeks!$A$44:$X$81,17,FALSE)-VLOOKUP(B781,[4]Weeks!$A$85:$X$121,17,FALSE)</f>
        <v>0</v>
      </c>
      <c r="M781" s="202">
        <f>VLOOKUP(B781,[4]Weeks!$A$3:$X$39,17,FALSE)-VLOOKUP(B781,[4]Weeks!$A$44:$X$81,17,FALSE)</f>
        <v>0</v>
      </c>
      <c r="N781" s="11" t="str">
        <f>IF(C781="*","*",IF(C781&gt;0,M781/C781*100,"-"))</f>
        <v>-</v>
      </c>
      <c r="O781" s="202">
        <f t="shared" si="158"/>
        <v>0</v>
      </c>
      <c r="P781" s="41" t="str">
        <f>IF(ISNUMBER(VLOOKUP(B781,[4]CLOSURES!B:BI,16,FALSE)),TEXT(VLOOKUP(B781,[4]CLOSURES!B:BI,16,FALSE),"ddmmm"),IF(F781&lt;=0,0,IF(I781&lt;=0,0,IF(AND(F781&gt;0,O781&lt;=0),"&gt;52",IF(I781/O781&gt;52,"&gt;52", MAX(0,I781/O781-2))))))</f>
        <v>01Jan</v>
      </c>
      <c r="Q781" s="158"/>
      <c r="R781" s="158"/>
    </row>
    <row r="782" spans="2:18" ht="10.75" hidden="1" customHeight="1" x14ac:dyDescent="0.25">
      <c r="B782" s="40" t="s">
        <v>67</v>
      </c>
      <c r="C782" s="130">
        <f>'[5]Maj Pel Combined'!$S$17</f>
        <v>0</v>
      </c>
      <c r="D782" s="200">
        <f>F782-VLOOKUP(B782,[4]quotas!$B$85:$AF$120,27,FALSE)</f>
        <v>0</v>
      </c>
      <c r="E782" s="200">
        <v>0</v>
      </c>
      <c r="F782" s="201">
        <f>VLOOKUP(B782,[4]quotas!$B$46:$AF$84,27,FALSE)</f>
        <v>0</v>
      </c>
      <c r="G782" s="202">
        <f>VLOOKUP(B782,[4]Cumulative!$A$56:$AZ$91,28,FALSE)</f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f t="shared" si="158"/>
        <v>0</v>
      </c>
      <c r="P782" s="41" t="str">
        <f>IF(ISNUMBER(VLOOKUP(B782,[4]CLOSURES!B:BI,16,FALSE)),TEXT(VLOOKUP(B782,[4]CLOSURES!B:BI,16,FALSE),"ddmmm"),IF(F782&lt;=0,0,IF(I782&lt;=0,0,IF(AND(F782&gt;0,O782&lt;=0),"&gt;52",IF(I782/O782&gt;52,"&gt;52", MAX(0,I782/O782-2))))))</f>
        <v>01Jan</v>
      </c>
      <c r="Q782" s="158"/>
      <c r="R782" s="158"/>
    </row>
    <row r="783" spans="2:18" ht="10.75" hidden="1" customHeight="1" x14ac:dyDescent="0.25">
      <c r="B783" s="40" t="s">
        <v>68</v>
      </c>
      <c r="C783" s="130">
        <f>'[5]Maj Pel Combined'!$S$25</f>
        <v>0</v>
      </c>
      <c r="D783" s="200">
        <f>F783-VLOOKUP(B783,[4]quotas!$B$85:$AF$120,27,FALSE)</f>
        <v>0</v>
      </c>
      <c r="E783" s="200">
        <f t="shared" ref="E783:E788" si="159">F783-C783</f>
        <v>0</v>
      </c>
      <c r="F783" s="201">
        <f>VLOOKUP(B783,[4]quotas!$B$46:$AF$84,27,FALSE)</f>
        <v>0</v>
      </c>
      <c r="G783" s="202">
        <f>VLOOKUP(B783,[4]Cumulative!$A$56:$AZ$91,28,FALSE)</f>
        <v>0</v>
      </c>
      <c r="H783" s="151">
        <f t="shared" ref="H783:H788" si="160">IF(AND(F783=0,G783&gt;0),"n/a",IF(F783=0,0,100*G783/F783))</f>
        <v>0</v>
      </c>
      <c r="I783" s="201">
        <f t="shared" ref="I783:I788" si="161">IF(F783="*","*",F783-G783)</f>
        <v>0</v>
      </c>
      <c r="J783" s="202">
        <f>VLOOKUP(B783,[4]Weeks!$A$125:$X$161,17,FALSE)-VLOOKUP(B783,[4]Weeks!$A$165:$X$200,17,FALSE)</f>
        <v>0</v>
      </c>
      <c r="K783" s="202">
        <f>VLOOKUP(B783,[4]Weeks!$A$85:$X$121,17,FALSE)-VLOOKUP(B783,[4]Weeks!$A$125:$X$161,17,FALSE)</f>
        <v>0</v>
      </c>
      <c r="L783" s="202">
        <f>VLOOKUP(B783,[4]Weeks!$A$44:$X$81,17,FALSE)-VLOOKUP(B783,[4]Weeks!$A$85:$X$121,17,FALSE)</f>
        <v>0</v>
      </c>
      <c r="M783" s="202">
        <f>VLOOKUP(B783,[4]Weeks!$A$3:$X$39,17,FALSE)-VLOOKUP(B783,[4]Weeks!$A$44:$X$81,17,FALSE)</f>
        <v>0</v>
      </c>
      <c r="N783" s="11" t="str">
        <f>IF(C783="*","*",IF(C783&gt;0,M783/C783*100,"-"))</f>
        <v>-</v>
      </c>
      <c r="O783" s="202">
        <f t="shared" si="158"/>
        <v>0</v>
      </c>
      <c r="P783" s="41" t="str">
        <f>IF(ISNUMBER(VLOOKUP(B783,[4]CLOSURES!B:BI,16,FALSE)),TEXT(VLOOKUP(B783,[4]CLOSURES!B:BI,16,FALSE),"ddmmm"),IF(F783&lt;=0,0,IF(I783&lt;=0,0,IF(AND(F783&gt;0,O783&lt;=0),"&gt;52",IF(I783/O783&gt;52,"&gt;52", MAX(0,I783/O783-2))))))</f>
        <v>01Jan</v>
      </c>
      <c r="Q783" s="158"/>
      <c r="R783" s="158"/>
    </row>
    <row r="784" spans="2:18" ht="10.75" hidden="1" customHeight="1" x14ac:dyDescent="0.25">
      <c r="B784" s="40" t="s">
        <v>69</v>
      </c>
      <c r="C784" s="130">
        <f>'[5]Maj Pel Combined'!$S$22</f>
        <v>0</v>
      </c>
      <c r="D784" s="200">
        <f>F784-VLOOKUP(B784,[4]quotas!$B$85:$AF$120,27,FALSE)</f>
        <v>0</v>
      </c>
      <c r="E784" s="200">
        <f t="shared" si="159"/>
        <v>0</v>
      </c>
      <c r="F784" s="201">
        <f>VLOOKUP(B784,[4]quotas!$B$46:$AF$84,27,FALSE)</f>
        <v>0</v>
      </c>
      <c r="G784" s="202">
        <f>VLOOKUP(B784,[4]Cumulative!$A$56:$AZ$91,28,FALSE)</f>
        <v>0</v>
      </c>
      <c r="H784" s="151">
        <f t="shared" si="160"/>
        <v>0</v>
      </c>
      <c r="I784" s="201">
        <f t="shared" si="161"/>
        <v>0</v>
      </c>
      <c r="J784" s="202">
        <f>VLOOKUP(B784,[4]Weeks!$A$125:$X$161,17,FALSE)-VLOOKUP(B784,[4]Weeks!$A$165:$X$200,17,FALSE)</f>
        <v>0</v>
      </c>
      <c r="K784" s="202">
        <f>VLOOKUP(B784,[4]Weeks!$A$85:$X$121,17,FALSE)-VLOOKUP(B784,[4]Weeks!$A$125:$X$161,17,FALSE)</f>
        <v>0</v>
      </c>
      <c r="L784" s="202">
        <f>VLOOKUP(B784,[4]Weeks!$A$44:$X$81,17,FALSE)-VLOOKUP(B784,[4]Weeks!$A$85:$X$121,17,FALSE)</f>
        <v>0</v>
      </c>
      <c r="M784" s="202">
        <f>VLOOKUP(B784,[4]Weeks!$A$3:$X$39,17,FALSE)-VLOOKUP(B784,[4]Weeks!$A$44:$X$81,17,FALSE)</f>
        <v>0</v>
      </c>
      <c r="N784" s="11" t="str">
        <f>IF(C784="*","*",IF(C784&gt;0,M784/C784*100,"-"))</f>
        <v>-</v>
      </c>
      <c r="O784" s="202">
        <f t="shared" si="158"/>
        <v>0</v>
      </c>
      <c r="P784" s="41" t="str">
        <f>IF(ISNUMBER(VLOOKUP(B784,[4]CLOSURES!B:BI,16,FALSE)),TEXT(VLOOKUP(B784,[4]CLOSURES!B:BI,16,FALSE),"ddmmm"),IF(F784&lt;=0,0,IF(I784&lt;=0,0,IF(AND(F784&gt;0,O784&lt;=0),"&gt;52",IF(I784/O784&gt;52,"&gt;52", MAX(0,I784/O784-2))))))</f>
        <v>01Jan</v>
      </c>
      <c r="Q784" s="158"/>
      <c r="R784" s="158"/>
    </row>
    <row r="785" spans="2:18" ht="10.75" hidden="1" customHeight="1" x14ac:dyDescent="0.25">
      <c r="B785" s="40" t="s">
        <v>70</v>
      </c>
      <c r="C785" s="130">
        <f>'[5]Maj Pel Combined'!$S$21</f>
        <v>0</v>
      </c>
      <c r="D785" s="200">
        <f>F785-VLOOKUP(B785,[4]quotas!$B$85:$AF$120,27,FALSE)</f>
        <v>0</v>
      </c>
      <c r="E785" s="200">
        <f t="shared" si="159"/>
        <v>0</v>
      </c>
      <c r="F785" s="201">
        <f>VLOOKUP(B785,[4]quotas!$B$46:$AF$84,27,FALSE)</f>
        <v>0</v>
      </c>
      <c r="G785" s="202">
        <f>VLOOKUP(B785,[4]Cumulative!$A$56:$AZ$91,28,FALSE)</f>
        <v>0</v>
      </c>
      <c r="H785" s="151">
        <f t="shared" si="160"/>
        <v>0</v>
      </c>
      <c r="I785" s="201">
        <f t="shared" si="161"/>
        <v>0</v>
      </c>
      <c r="J785" s="202">
        <f>VLOOKUP(B785,[4]Weeks!$A$125:$X$161,17,FALSE)-VLOOKUP(B785,[4]Weeks!$A$165:$X$200,17,FALSE)</f>
        <v>0</v>
      </c>
      <c r="K785" s="202">
        <f>VLOOKUP(B785,[4]Weeks!$A$85:$X$121,17,FALSE)-VLOOKUP(B785,[4]Weeks!$A$125:$X$161,17,FALSE)</f>
        <v>0</v>
      </c>
      <c r="L785" s="202">
        <f>VLOOKUP(B785,[4]Weeks!$A$44:$X$81,17,FALSE)-VLOOKUP(B785,[4]Weeks!$A$85:$X$121,17,FALSE)</f>
        <v>0</v>
      </c>
      <c r="M785" s="202">
        <f>VLOOKUP(B785,[4]Weeks!$A$3:$X$39,17,FALSE)-VLOOKUP(B785,[4]Weeks!$A$44:$X$81,17,FALSE)</f>
        <v>0</v>
      </c>
      <c r="N785" s="11" t="str">
        <f>IF(C785="*","*",IF(C785&gt;0,M785/C785*100,"-"))</f>
        <v>-</v>
      </c>
      <c r="O785" s="202">
        <f t="shared" si="158"/>
        <v>0</v>
      </c>
      <c r="P785" s="41" t="str">
        <f>IF(ISNUMBER(VLOOKUP(B785,[4]CLOSURES!B:BI,16,FALSE)),TEXT(VLOOKUP(B785,[4]CLOSURES!B:BI,16,FALSE),"ddmmm"),IF(F785&lt;=0,0,IF(I785&lt;=0,0,IF(AND(F785&gt;0,O785&lt;=0),"&gt;52",IF(I785/O785&gt;52,"&gt;52", MAX(0,I785/O785-2))))))</f>
        <v>01Jan</v>
      </c>
      <c r="Q785" s="158"/>
      <c r="R785" s="158"/>
    </row>
    <row r="786" spans="2:18" ht="10.75" hidden="1" customHeight="1" x14ac:dyDescent="0.25">
      <c r="B786" s="40" t="s">
        <v>71</v>
      </c>
      <c r="C786" s="130">
        <f>'[5]Maj Pel Combined'!$S$18</f>
        <v>0</v>
      </c>
      <c r="D786" s="200">
        <f>F786-VLOOKUP(B786,[4]quotas!$B$85:$AF$120,27,FALSE)</f>
        <v>0</v>
      </c>
      <c r="E786" s="200">
        <f t="shared" si="159"/>
        <v>0</v>
      </c>
      <c r="F786" s="201">
        <f>VLOOKUP(B786,[4]quotas!$B$46:$AF$84,27,FALSE)</f>
        <v>0</v>
      </c>
      <c r="G786" s="202">
        <f>VLOOKUP(B786,[4]Cumulative!$A$56:$AZ$91,28,FALSE)</f>
        <v>0</v>
      </c>
      <c r="H786" s="151">
        <f t="shared" si="160"/>
        <v>0</v>
      </c>
      <c r="I786" s="201">
        <f t="shared" si="161"/>
        <v>0</v>
      </c>
      <c r="J786" s="202">
        <f>VLOOKUP(B786,[4]Weeks!$A$125:$X$161,17,FALSE)-VLOOKUP(B786,[4]Weeks!$A$165:$X$200,17,FALSE)</f>
        <v>0</v>
      </c>
      <c r="K786" s="202">
        <f>VLOOKUP(B786,[4]Weeks!$A$85:$X$121,17,FALSE)-VLOOKUP(B786,[4]Weeks!$A$125:$X$161,17,FALSE)</f>
        <v>0</v>
      </c>
      <c r="L786" s="202">
        <f>VLOOKUP(B786,[4]Weeks!$A$44:$X$81,17,FALSE)-VLOOKUP(B786,[4]Weeks!$A$85:$X$121,17,FALSE)</f>
        <v>0</v>
      </c>
      <c r="M786" s="202">
        <f>VLOOKUP(B786,[4]Weeks!$A$3:$X$39,17,FALSE)-VLOOKUP(B786,[4]Weeks!$A$44:$X$81,17,FALSE)</f>
        <v>0</v>
      </c>
      <c r="N786" s="11" t="str">
        <f>IF(C786="*","*",IF(C786&gt;0,M786/C786*100,"-"))</f>
        <v>-</v>
      </c>
      <c r="O786" s="202">
        <f t="shared" si="158"/>
        <v>0</v>
      </c>
      <c r="P786" s="41">
        <f>IF(ISNUMBER(VLOOKUP(B786,[4]CLOSURES!B:BI,16,FALSE)),TEXT(VLOOKUP(B786,[4]CLOSURES!B:BI,16,FALSE),"ddmmm"),IF(F786&lt;=0,0,IF(I786&lt;=0,0,IF(AND(F786&gt;0,O786&lt;=0),"&gt;52",IF(I786/O786&gt;52,"&gt;52", MAX(0,I786/O786-2))))))</f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f>'[5]Maj Pel Combined'!$S$19</f>
        <v>0</v>
      </c>
      <c r="D787" s="200">
        <f>F787-VLOOKUP(B787,[4]quotas!$B$85:$AF$120,27,FALSE)</f>
        <v>0</v>
      </c>
      <c r="E787" s="200">
        <f t="shared" si="159"/>
        <v>0</v>
      </c>
      <c r="F787" s="201">
        <f>VLOOKUP(B787,[4]quotas!$B$46:$AF$84,27,FALSE)</f>
        <v>0</v>
      </c>
      <c r="G787" s="202">
        <f>VLOOKUP(B787,[4]Cumulative!$A$56:$AZ$91,28,FALSE)</f>
        <v>0</v>
      </c>
      <c r="H787" s="151">
        <f t="shared" si="160"/>
        <v>0</v>
      </c>
      <c r="I787" s="201">
        <f t="shared" si="161"/>
        <v>0</v>
      </c>
      <c r="J787" s="202">
        <f>VLOOKUP(B787,[4]Weeks!$A$125:$X$161,17,FALSE)-VLOOKUP(B787,[4]Weeks!$A$165:$X$200,17,FALSE)</f>
        <v>0</v>
      </c>
      <c r="K787" s="202">
        <f>VLOOKUP(B787,[4]Weeks!$A$85:$X$121,17,FALSE)-VLOOKUP(B787,[4]Weeks!$A$125:$X$161,17,FALSE)</f>
        <v>0</v>
      </c>
      <c r="L787" s="202">
        <f>VLOOKUP(B787,[4]Weeks!$A$44:$X$81,17,FALSE)-VLOOKUP(B787,[4]Weeks!$A$85:$X$121,17,FALSE)</f>
        <v>0</v>
      </c>
      <c r="M787" s="202">
        <f>VLOOKUP(B787,[4]Weeks!$A$3:$X$39,17,FALSE)-VLOOKUP(B787,[4]Weeks!$A$44:$X$81,17,FALSE)</f>
        <v>0</v>
      </c>
      <c r="N787" s="11" t="str">
        <f>IF(C787="*","*",IF(C787&gt;0,M787/C787*100,"-"))</f>
        <v>-</v>
      </c>
      <c r="O787" s="202">
        <f t="shared" si="158"/>
        <v>0</v>
      </c>
      <c r="P787" s="41">
        <f>IF(ISNUMBER(VLOOKUP(B787,[4]CLOSURES!B:BI,16,FALSE)),TEXT(VLOOKUP(B787,[4]CLOSURES!B:BI,16,FALSE),"ddmmm"),IF(F787&lt;=0,0,IF(I787&lt;=0,0,IF(AND(F787&gt;0,O787&lt;=0),"&gt;52",IF(I787/O787&gt;52,"&gt;52", MAX(0,I787/O787-2))))))</f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f>SUM(C778:C787)</f>
        <v>0</v>
      </c>
      <c r="D788" s="200">
        <f>SUM(D778:D787)</f>
        <v>0</v>
      </c>
      <c r="E788" s="200">
        <f t="shared" si="159"/>
        <v>0</v>
      </c>
      <c r="F788" s="201">
        <f>SUM(F778:F787)</f>
        <v>0</v>
      </c>
      <c r="G788" s="202">
        <f>SUM(G778:G787)</f>
        <v>0</v>
      </c>
      <c r="H788" s="151">
        <f t="shared" si="160"/>
        <v>0</v>
      </c>
      <c r="I788" s="201">
        <f t="shared" si="161"/>
        <v>0</v>
      </c>
      <c r="J788" s="202">
        <f t="shared" ref="J788:O788" si="162">SUM(J778:J787)</f>
        <v>0</v>
      </c>
      <c r="K788" s="202">
        <f t="shared" si="162"/>
        <v>0</v>
      </c>
      <c r="L788" s="202">
        <f t="shared" si="162"/>
        <v>0</v>
      </c>
      <c r="M788" s="202">
        <f t="shared" si="162"/>
        <v>0</v>
      </c>
      <c r="N788" s="11">
        <f t="shared" si="162"/>
        <v>0</v>
      </c>
      <c r="O788" s="202">
        <f t="shared" si="162"/>
        <v>0</v>
      </c>
      <c r="P788" s="41">
        <f>IF(ISNUMBER(VLOOKUP(B788,[4]CLOSURES!B:BI,16,FALSE)),TEXT(VLOOKUP(B788,[4]CLOSURES!B:BI,16,FALSE),"ddmmm"),IF(F788&lt;=0,0,IF(I788&lt;=0,0,IF(AND(F788&gt;0,O788&lt;=0),"&gt;52",IF(I788/O788&gt;52,"&gt;52", MAX(0,I788/O788-2))))))</f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f>'[5]Maj Pel Combined'!$S$5</f>
        <v>0</v>
      </c>
      <c r="D790" s="200">
        <f>F790-VLOOKUP(B790,[4]quotas!$B$85:$AF$120,27,FALSE)</f>
        <v>0</v>
      </c>
      <c r="E790" s="200">
        <f>F790-C790</f>
        <v>0</v>
      </c>
      <c r="F790" s="201">
        <f>VLOOKUP(B790,[4]quotas!$B$46:$AF$84,27,FALSE)</f>
        <v>0</v>
      </c>
      <c r="G790" s="202">
        <f>VLOOKUP(B790,[4]Cumulative!$A$56:$AZ$91,28,FALSE)</f>
        <v>0</v>
      </c>
      <c r="H790" s="151">
        <f>IF(AND(F790=0,G790&gt;0),"n/a",IF(F790=0,0,100*G790/F790))</f>
        <v>0</v>
      </c>
      <c r="I790" s="201">
        <f>IF(F790="*","*",F790-G790)</f>
        <v>0</v>
      </c>
      <c r="J790" s="202">
        <f>VLOOKUP(B790,[4]Weeks!$A$125:$X$161,17,FALSE)-VLOOKUP(B790,[4]Weeks!$A$165:$X$200,17,FALSE)</f>
        <v>0</v>
      </c>
      <c r="K790" s="202">
        <f>VLOOKUP(B790,[4]Weeks!$A$85:$X$121,17,FALSE)-VLOOKUP(B790,[4]Weeks!$A$125:$X$161,17,FALSE)</f>
        <v>0</v>
      </c>
      <c r="L790" s="202">
        <f>VLOOKUP(B790,[4]Weeks!$A$44:$X$81,17,FALSE)-VLOOKUP(B790,[4]Weeks!$A$85:$X$121,17,FALSE)</f>
        <v>0</v>
      </c>
      <c r="M790" s="202">
        <f>VLOOKUP(B790,[4]Weeks!$A$3:$X$39,17,FALSE)-VLOOKUP(B790,[4]Weeks!$A$44:$X$81,17,FALSE)</f>
        <v>0</v>
      </c>
      <c r="N790" s="11" t="str">
        <f>IF(C790="*","*",IF(C790&gt;0,M790/C790*100,"-"))</f>
        <v>-</v>
      </c>
      <c r="O790" s="202">
        <f t="shared" ref="O790:O798" si="163">IF(C790="*","*",SUM(J790:M790)/4)</f>
        <v>0</v>
      </c>
      <c r="P790" s="41">
        <f>IF(ISNUMBER(VLOOKUP(B790,[4]CLOSURES!B:BI,16,FALSE)),TEXT(VLOOKUP(B790,[4]CLOSURES!B:BI,16,FALSE),"ddmmm"),IF(F790&lt;=0,0,IF(I790&lt;=0,0,IF(AND(F790&gt;0,O790&lt;=0),"&gt;52",IF(I790/O790&gt;52,"&gt;52", MAX(0,I790/O790-2))))))</f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f>'[5]Maj Pel Combined'!$S$7</f>
        <v>0</v>
      </c>
      <c r="D791" s="200">
        <f>F791-VLOOKUP(B791,[4]quotas!$B$85:$AF$120,27,FALSE)</f>
        <v>0</v>
      </c>
      <c r="E791" s="200">
        <f>F791-C791</f>
        <v>0</v>
      </c>
      <c r="F791" s="201">
        <f>VLOOKUP(B791,[4]quotas!$B$46:$AF$84,27,FALSE)</f>
        <v>0</v>
      </c>
      <c r="G791" s="202">
        <f>VLOOKUP(B791,[4]Cumulative!$A$56:$AZ$91,28,FALSE)</f>
        <v>0</v>
      </c>
      <c r="H791" s="151">
        <f>IF(AND(F791=0,G791&gt;0),"n/a",IF(F791=0,0,100*G791/F791))</f>
        <v>0</v>
      </c>
      <c r="I791" s="201">
        <f>IF(F791="*","*",F791-G791)</f>
        <v>0</v>
      </c>
      <c r="J791" s="202">
        <f>VLOOKUP(B791,[4]Weeks!$A$125:$X$161,17,FALSE)-VLOOKUP(B791,[4]Weeks!$A$165:$X$200,17,FALSE)</f>
        <v>0</v>
      </c>
      <c r="K791" s="202">
        <f>VLOOKUP(B791,[4]Weeks!$A$85:$X$121,17,FALSE)-VLOOKUP(B791,[4]Weeks!$A$125:$X$161,17,FALSE)</f>
        <v>0</v>
      </c>
      <c r="L791" s="202">
        <f>VLOOKUP(B791,[4]Weeks!$A$44:$X$81,17,FALSE)-VLOOKUP(B791,[4]Weeks!$A$85:$X$121,17,FALSE)</f>
        <v>0</v>
      </c>
      <c r="M791" s="202">
        <f>VLOOKUP(B791,[4]Weeks!$A$3:$X$39,17,FALSE)-VLOOKUP(B791,[4]Weeks!$A$44:$X$81,17,FALSE)</f>
        <v>0</v>
      </c>
      <c r="N791" s="11" t="str">
        <f>IF(C791="*","*",IF(C791&gt;0,M791/C791*100,"-"))</f>
        <v>-</v>
      </c>
      <c r="O791" s="202">
        <f>IF(C791="*","*",SUM(J791:M791)/4)</f>
        <v>0</v>
      </c>
      <c r="P791" s="41">
        <f>IF(ISNUMBER(VLOOKUP(B791,[4]CLOSURES!B:BI,16,FALSE)),TEXT(VLOOKUP(B791,[4]CLOSURES!B:BI,16,FALSE),"ddmmm"),IF(F791&lt;=0,0,IF(I791&lt;=0,0,IF(AND(F791&gt;0,O791&lt;=0),"&gt;52",IF(I791/O791&gt;52,"&gt;52", MAX(0,I791/O791-2))))))</f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f>'[5]Maj Pel Combined'!$S$8</f>
        <v>0</v>
      </c>
      <c r="D792" s="200">
        <f>F792-VLOOKUP(B792,[4]quotas!$B$85:$AF$120,27,FALSE)</f>
        <v>0</v>
      </c>
      <c r="E792" s="200">
        <f>F792-C792</f>
        <v>0</v>
      </c>
      <c r="F792" s="201">
        <f>VLOOKUP(B792,[4]quotas!$B$46:$AF$84,27,FALSE)</f>
        <v>0</v>
      </c>
      <c r="G792" s="202">
        <f>VLOOKUP(B792,[4]Cumulative!$A$56:$AZ$91,28,FALSE)</f>
        <v>0</v>
      </c>
      <c r="H792" s="151">
        <f>IF(AND(F792=0,G792&gt;0),"n/a",IF(F792=0,0,100*G792/F792))</f>
        <v>0</v>
      </c>
      <c r="I792" s="201">
        <f>IF(F792="*","*",F792-G792)</f>
        <v>0</v>
      </c>
      <c r="J792" s="202">
        <f>VLOOKUP(B792,[4]Weeks!$A$125:$X$161,17,FALSE)-VLOOKUP(B792,[4]Weeks!$A$165:$X$200,17,FALSE)</f>
        <v>0</v>
      </c>
      <c r="K792" s="202">
        <f>VLOOKUP(B792,[4]Weeks!$A$85:$X$121,17,FALSE)-VLOOKUP(B792,[4]Weeks!$A$125:$X$161,17,FALSE)</f>
        <v>0</v>
      </c>
      <c r="L792" s="202">
        <f>VLOOKUP(B792,[4]Weeks!$A$44:$X$81,17,FALSE)-VLOOKUP(B792,[4]Weeks!$A$85:$X$121,17,FALSE)</f>
        <v>0</v>
      </c>
      <c r="M792" s="202">
        <f>VLOOKUP(B792,[4]Weeks!$A$3:$X$39,17,FALSE)-VLOOKUP(B792,[4]Weeks!$A$44:$X$81,17,FALSE)</f>
        <v>0</v>
      </c>
      <c r="N792" s="11" t="str">
        <f>IF(C792="*","*",IF(C792&gt;0,M792/C792*100,"-"))</f>
        <v>-</v>
      </c>
      <c r="O792" s="202">
        <f>IF(C792="*","*",SUM(J792:M792)/4)</f>
        <v>0</v>
      </c>
      <c r="P792" s="41" t="str">
        <f>IF(ISNUMBER(VLOOKUP(B792,[4]CLOSURES!B:BI,16,FALSE)),TEXT(VLOOKUP(B792,[4]CLOSURES!B:BI,16,FALSE),"ddmmm"),IF(F792&lt;=0,0,IF(I792&lt;=0,0,IF(AND(F792&gt;0,O792&lt;=0),"&gt;52",IF(I792/O792&gt;52,"&gt;52", MAX(0,I792/O792-2))))))</f>
        <v>01Jan</v>
      </c>
      <c r="Q792" s="158"/>
      <c r="R792" s="158"/>
    </row>
    <row r="793" spans="2:18" ht="10.75" hidden="1" customHeight="1" x14ac:dyDescent="0.25">
      <c r="B793" s="40" t="s">
        <v>76</v>
      </c>
      <c r="C793" s="130">
        <f>'[5]Maj Pel Combined'!$S$9</f>
        <v>0</v>
      </c>
      <c r="D793" s="200">
        <f>F793-VLOOKUP(B793,[4]quotas!$B$85:$AF$120,27,FALSE)</f>
        <v>0</v>
      </c>
      <c r="E793" s="200">
        <f t="shared" ref="E793:E799" si="164">F793-C793</f>
        <v>0</v>
      </c>
      <c r="F793" s="201">
        <f>VLOOKUP(B793,[4]quotas!$B$46:$AF$84,27,FALSE)</f>
        <v>0</v>
      </c>
      <c r="G793" s="202">
        <f>VLOOKUP(B793,[4]Cumulative!$A$56:$AZ$91,28,FALSE)</f>
        <v>0</v>
      </c>
      <c r="H793" s="151">
        <f t="shared" ref="H793:H798" si="165">IF(AND(F793=0,G793&gt;0),"n/a",IF(F793=0,0,100*G793/F793))</f>
        <v>0</v>
      </c>
      <c r="I793" s="201">
        <f t="shared" ref="I793:I799" si="166">IF(F793="*","*",F793-G793)</f>
        <v>0</v>
      </c>
      <c r="J793" s="202">
        <f>VLOOKUP(B793,[4]Weeks!$A$125:$X$161,17,FALSE)-VLOOKUP(B793,[4]Weeks!$A$165:$X$200,17,FALSE)</f>
        <v>0</v>
      </c>
      <c r="K793" s="202">
        <f>VLOOKUP(B793,[4]Weeks!$A$85:$X$121,17,FALSE)-VLOOKUP(B793,[4]Weeks!$A$125:$X$161,17,FALSE)</f>
        <v>0</v>
      </c>
      <c r="L793" s="202">
        <f>VLOOKUP(B793,[4]Weeks!$A$44:$X$81,17,FALSE)-VLOOKUP(B793,[4]Weeks!$A$85:$X$121,17,FALSE)</f>
        <v>0</v>
      </c>
      <c r="M793" s="202">
        <f>VLOOKUP(B793,[4]Weeks!$A$3:$X$39,17,FALSE)-VLOOKUP(B793,[4]Weeks!$A$44:$X$81,17,FALSE)</f>
        <v>0</v>
      </c>
      <c r="N793" s="11" t="str">
        <f t="shared" ref="N793:N798" si="167">IF(C793="*","*",IF(C793&gt;0,M793/C793*100,"-"))</f>
        <v>-</v>
      </c>
      <c r="O793" s="202">
        <f t="shared" si="163"/>
        <v>0</v>
      </c>
      <c r="P793" s="41" t="str">
        <f>IF(ISNUMBER(VLOOKUP(B793,[4]CLOSURES!B:BI,16,FALSE)),TEXT(VLOOKUP(B793,[4]CLOSURES!B:BI,16,FALSE),"ddmmm"),IF(F793&lt;=0,0,IF(I793&lt;=0,0,IF(AND(F793&gt;0,O793&lt;=0),"&gt;52",IF(I793/O793&gt;52,"&gt;52", MAX(0,I793/O793-2))))))</f>
        <v>01Jan</v>
      </c>
      <c r="Q793" s="158"/>
      <c r="R793" s="158"/>
    </row>
    <row r="794" spans="2:18" ht="10.75" hidden="1" customHeight="1" x14ac:dyDescent="0.25">
      <c r="B794" s="40" t="s">
        <v>77</v>
      </c>
      <c r="C794" s="130">
        <f>'[5]Maj Pel Combined'!$S$27</f>
        <v>0</v>
      </c>
      <c r="D794" s="200">
        <f>F794-VLOOKUP(B794,[4]quotas!$B$85:$AF$120,27,FALSE)</f>
        <v>0</v>
      </c>
      <c r="E794" s="200">
        <f t="shared" si="164"/>
        <v>0</v>
      </c>
      <c r="F794" s="201">
        <f>VLOOKUP(B794,[4]quotas!$B$46:$AF$84,27,FALSE)</f>
        <v>0</v>
      </c>
      <c r="G794" s="202">
        <f>VLOOKUP(B794,[4]Cumulative!$A$56:$AZ$91,28,FALSE)</f>
        <v>0</v>
      </c>
      <c r="H794" s="151">
        <f t="shared" si="165"/>
        <v>0</v>
      </c>
      <c r="I794" s="201">
        <f t="shared" si="166"/>
        <v>0</v>
      </c>
      <c r="J794" s="202">
        <f>VLOOKUP(B794,[4]Weeks!$A$125:$X$161,17,FALSE)-VLOOKUP(B794,[4]Weeks!$A$165:$X$200,17,FALSE)</f>
        <v>0</v>
      </c>
      <c r="K794" s="202">
        <f>VLOOKUP(B794,[4]Weeks!$A$85:$X$121,17,FALSE)-VLOOKUP(B794,[4]Weeks!$A$125:$X$161,17,FALSE)</f>
        <v>0</v>
      </c>
      <c r="L794" s="202">
        <f>VLOOKUP(B794,[4]Weeks!$A$44:$X$81,17,FALSE)-VLOOKUP(B794,[4]Weeks!$A$85:$X$121,17,FALSE)</f>
        <v>0</v>
      </c>
      <c r="M794" s="202">
        <f>VLOOKUP(B794,[4]Weeks!$A$3:$X$39,17,FALSE)-VLOOKUP(B794,[4]Weeks!$A$44:$X$81,17,FALSE)</f>
        <v>0</v>
      </c>
      <c r="N794" s="11" t="str">
        <f t="shared" si="167"/>
        <v>-</v>
      </c>
      <c r="O794" s="202">
        <f t="shared" si="163"/>
        <v>0</v>
      </c>
      <c r="P794" s="41">
        <f>IF(ISNUMBER(VLOOKUP(B794,[4]CLOSURES!B:BI,16,FALSE)),TEXT(VLOOKUP(B794,[4]CLOSURES!B:BI,16,FALSE),"ddmmm"),IF(F794&lt;=0,0,IF(I794&lt;=0,0,IF(AND(F794&gt;0,O794&lt;=0),"&gt;52",IF(I794/O794&gt;52,"&gt;52", MAX(0,I794/O794-2))))))</f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f>'[5]Maj Pel Combined'!$S$26</f>
        <v>0</v>
      </c>
      <c r="D795" s="200">
        <f>F795-VLOOKUP(B795,[4]quotas!$B$85:$AF$120,27,FALSE)</f>
        <v>0</v>
      </c>
      <c r="E795" s="200">
        <f t="shared" si="164"/>
        <v>0</v>
      </c>
      <c r="F795" s="201">
        <f>VLOOKUP(B795,[4]quotas!$B$46:$AF$84,27,FALSE)</f>
        <v>0</v>
      </c>
      <c r="G795" s="202">
        <f>VLOOKUP(B795,[4]Cumulative!$A$56:$AZ$91,28,FALSE)</f>
        <v>0</v>
      </c>
      <c r="H795" s="151">
        <f t="shared" si="165"/>
        <v>0</v>
      </c>
      <c r="I795" s="201">
        <f t="shared" si="166"/>
        <v>0</v>
      </c>
      <c r="J795" s="202">
        <f>VLOOKUP(B795,[4]Weeks!$A$125:$X$161,17,FALSE)-VLOOKUP(B795,[4]Weeks!$A$165:$X$200,17,FALSE)</f>
        <v>0</v>
      </c>
      <c r="K795" s="202">
        <f>VLOOKUP(B795,[4]Weeks!$A$85:$X$121,17,FALSE)-VLOOKUP(B795,[4]Weeks!$A$125:$X$161,17,FALSE)</f>
        <v>0</v>
      </c>
      <c r="L795" s="202">
        <f>VLOOKUP(B795,[4]Weeks!$A$44:$X$81,17,FALSE)-VLOOKUP(B795,[4]Weeks!$A$85:$X$121,17,FALSE)</f>
        <v>0</v>
      </c>
      <c r="M795" s="202">
        <f>VLOOKUP(B795,[4]Weeks!$A$3:$X$39,17,FALSE)-VLOOKUP(B795,[4]Weeks!$A$44:$X$81,17,FALSE)</f>
        <v>0</v>
      </c>
      <c r="N795" s="11" t="str">
        <f t="shared" si="167"/>
        <v>-</v>
      </c>
      <c r="O795" s="202">
        <f t="shared" si="163"/>
        <v>0</v>
      </c>
      <c r="P795" s="41">
        <f>IF(ISNUMBER(VLOOKUP(B795,[4]CLOSURES!B:BI,16,FALSE)),TEXT(VLOOKUP(B795,[4]CLOSURES!B:BI,16,FALSE),"ddmmm"),IF(F795&lt;=0,0,IF(I795&lt;=0,0,IF(AND(F795&gt;0,O795&lt;=0),"&gt;52",IF(I795/O795&gt;52,"&gt;52", MAX(0,I795/O795-2))))))</f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f>'[5]Maj Pel Combined'!$S$6</f>
        <v>0</v>
      </c>
      <c r="D796" s="200">
        <f>F796-VLOOKUP(B796,[4]quotas!$B$85:$AF$120,27,FALSE)</f>
        <v>0</v>
      </c>
      <c r="E796" s="200">
        <f t="shared" si="164"/>
        <v>0</v>
      </c>
      <c r="F796" s="201">
        <f>VLOOKUP(B796,[4]quotas!$B$46:$AF$84,27,FALSE)</f>
        <v>0</v>
      </c>
      <c r="G796" s="202">
        <f>VLOOKUP(B796,[4]Cumulative!$A$56:$AZ$91,28,FALSE)</f>
        <v>0</v>
      </c>
      <c r="H796" s="151">
        <f t="shared" si="165"/>
        <v>0</v>
      </c>
      <c r="I796" s="201">
        <f t="shared" si="166"/>
        <v>0</v>
      </c>
      <c r="J796" s="202">
        <f>VLOOKUP(B796,[4]Weeks!$A$125:$X$161,17,FALSE)-VLOOKUP(B796,[4]Weeks!$A$165:$X$200,17,FALSE)</f>
        <v>0</v>
      </c>
      <c r="K796" s="202">
        <f>VLOOKUP(B796,[4]Weeks!$A$85:$X$121,17,FALSE)-VLOOKUP(B796,[4]Weeks!$A$125:$X$161,17,FALSE)</f>
        <v>0</v>
      </c>
      <c r="L796" s="202">
        <f>VLOOKUP(B796,[4]Weeks!$A$44:$X$81,17,FALSE)-VLOOKUP(B796,[4]Weeks!$A$85:$X$121,17,FALSE)</f>
        <v>0</v>
      </c>
      <c r="M796" s="202">
        <f>VLOOKUP(B796,[4]Weeks!$A$3:$X$39,17,FALSE)-VLOOKUP(B796,[4]Weeks!$A$44:$X$81,17,FALSE)</f>
        <v>0</v>
      </c>
      <c r="N796" s="11" t="str">
        <f t="shared" si="167"/>
        <v>-</v>
      </c>
      <c r="O796" s="202">
        <f t="shared" si="163"/>
        <v>0</v>
      </c>
      <c r="P796" s="41">
        <f>IF(ISNUMBER(VLOOKUP(B796,[4]CLOSURES!B:BI,16,FALSE)),TEXT(VLOOKUP(B796,[4]CLOSURES!B:BI,16,FALSE),"ddmmm"),IF(F796&lt;=0,0,IF(I796&lt;=0,0,IF(AND(F796&gt;0,O796&lt;=0),"&gt;52",IF(I796/O796&gt;52,"&gt;52", MAX(0,I796/O796-2))))))</f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f>'[5]Maj Pel Combined'!$S$14</f>
        <v>0</v>
      </c>
      <c r="D797" s="200">
        <f>F797-VLOOKUP(B797,[4]quotas!$B$85:$AF$120,27,FALSE)</f>
        <v>0</v>
      </c>
      <c r="E797" s="200">
        <f t="shared" si="164"/>
        <v>0</v>
      </c>
      <c r="F797" s="201">
        <f>VLOOKUP(B797,[4]quotas!$B$46:$AF$84,27,FALSE)</f>
        <v>0</v>
      </c>
      <c r="G797" s="202">
        <f>VLOOKUP(B797,[4]Cumulative!$A$56:$AZ$91,28,FALSE)</f>
        <v>0</v>
      </c>
      <c r="H797" s="151">
        <f t="shared" si="165"/>
        <v>0</v>
      </c>
      <c r="I797" s="201">
        <f t="shared" si="166"/>
        <v>0</v>
      </c>
      <c r="J797" s="202">
        <f>VLOOKUP(B797,[4]Weeks!$A$125:$X$161,17,FALSE)-VLOOKUP(B797,[4]Weeks!$A$165:$X$200,17,FALSE)</f>
        <v>0</v>
      </c>
      <c r="K797" s="202">
        <f>VLOOKUP(B797,[4]Weeks!$A$85:$X$121,17,FALSE)-VLOOKUP(B797,[4]Weeks!$A$125:$X$161,17,FALSE)</f>
        <v>0</v>
      </c>
      <c r="L797" s="202">
        <f>VLOOKUP(B797,[4]Weeks!$A$44:$X$81,17,FALSE)-VLOOKUP(B797,[4]Weeks!$A$85:$X$121,17,FALSE)</f>
        <v>0</v>
      </c>
      <c r="M797" s="202">
        <f>VLOOKUP(B797,[4]Weeks!$A$3:$X$39,17,FALSE)-VLOOKUP(B797,[4]Weeks!$A$44:$X$81,17,FALSE)</f>
        <v>0</v>
      </c>
      <c r="N797" s="11" t="str">
        <f t="shared" si="167"/>
        <v>-</v>
      </c>
      <c r="O797" s="202">
        <f t="shared" si="163"/>
        <v>0</v>
      </c>
      <c r="P797" s="41" t="str">
        <f>IF(ISNUMBER(VLOOKUP(B797,[4]CLOSURES!B:BI,16,FALSE)),TEXT(VLOOKUP(B797,[4]CLOSURES!B:BI,16,FALSE),"ddmmm"),IF(F797&lt;=0,0,IF(I797&lt;=0,0,IF(AND(F797&gt;0,O797&lt;=0),"&gt;52",IF(I797/O797&gt;52,"&gt;52", MAX(0,I797/O797-2))))))</f>
        <v>01Jan</v>
      </c>
      <c r="Q797" s="158"/>
      <c r="R797" s="158"/>
    </row>
    <row r="798" spans="2:18" ht="10.75" hidden="1" customHeight="1" x14ac:dyDescent="0.25">
      <c r="B798" s="40" t="s">
        <v>81</v>
      </c>
      <c r="C798" s="130">
        <f>'[5]Maj Pel Combined'!$S$13</f>
        <v>0</v>
      </c>
      <c r="D798" s="200">
        <f>F798-VLOOKUP(B798,[4]quotas!$B$85:$AF$120,27,FALSE)</f>
        <v>0</v>
      </c>
      <c r="E798" s="200">
        <f t="shared" si="164"/>
        <v>0</v>
      </c>
      <c r="F798" s="201">
        <f>VLOOKUP(B798,[4]quotas!$B$46:$AF$84,27,FALSE)</f>
        <v>0</v>
      </c>
      <c r="G798" s="202">
        <f>VLOOKUP(B798,[4]Cumulative!$A$56:$AZ$91,28,FALSE)</f>
        <v>0</v>
      </c>
      <c r="H798" s="151">
        <f t="shared" si="165"/>
        <v>0</v>
      </c>
      <c r="I798" s="201">
        <f t="shared" si="166"/>
        <v>0</v>
      </c>
      <c r="J798" s="202">
        <f>VLOOKUP(B798,[4]Weeks!$A$125:$X$161,17,FALSE)-VLOOKUP(B798,[4]Weeks!$A$165:$X$200,17,FALSE)</f>
        <v>0</v>
      </c>
      <c r="K798" s="202">
        <f>VLOOKUP(B798,[4]Weeks!$A$85:$X$121,17,FALSE)-VLOOKUP(B798,[4]Weeks!$A$125:$X$161,17,FALSE)</f>
        <v>0</v>
      </c>
      <c r="L798" s="202">
        <f>VLOOKUP(B798,[4]Weeks!$A$44:$X$81,17,FALSE)-VLOOKUP(B798,[4]Weeks!$A$85:$X$121,17,FALSE)</f>
        <v>0</v>
      </c>
      <c r="M798" s="202">
        <f>VLOOKUP(B798,[4]Weeks!$A$3:$X$39,17,FALSE)-VLOOKUP(B798,[4]Weeks!$A$44:$X$81,17,FALSE)</f>
        <v>0</v>
      </c>
      <c r="N798" s="11" t="str">
        <f t="shared" si="167"/>
        <v>-</v>
      </c>
      <c r="O798" s="202">
        <f t="shared" si="163"/>
        <v>0</v>
      </c>
      <c r="P798" s="41" t="str">
        <f>IF(ISNUMBER(VLOOKUP(B798,[4]CLOSURES!B:BI,16,FALSE)),TEXT(VLOOKUP(B798,[4]CLOSURES!B:BI,16,FALSE),"ddmmm"),IF(F798&lt;=0,0,IF(I798&lt;=0,0,IF(AND(F798&gt;0,O798&lt;=0),"&gt;52",IF(I798/O798&gt;52,"&gt;52", MAX(0,I798/O798-2))))))</f>
        <v>01Jan</v>
      </c>
      <c r="Q798" s="158"/>
      <c r="R798" s="158"/>
    </row>
    <row r="799" spans="2:18" ht="10.75" hidden="1" customHeight="1" x14ac:dyDescent="0.25">
      <c r="B799" s="152" t="s">
        <v>82</v>
      </c>
      <c r="C799" s="130">
        <f>'[5]Maj Pel Combined'!$S$11</f>
        <v>0</v>
      </c>
      <c r="D799" s="200">
        <f>F799-VLOOKUP(B799,[4]quotas!$B$85:$AF$120,27,FALSE)</f>
        <v>0</v>
      </c>
      <c r="E799" s="200">
        <f t="shared" si="164"/>
        <v>0</v>
      </c>
      <c r="F799" s="201">
        <f>VLOOKUP(B799,[4]quotas!$B$46:$AF$84,27,FALSE)</f>
        <v>0</v>
      </c>
      <c r="G799" s="202">
        <f>VLOOKUP(B799,[4]Cumulative!$A$56:$AZ$91,28,FALSE)</f>
        <v>0</v>
      </c>
      <c r="H799" s="151">
        <f>IF(AND(F799=0,G799&gt;0),"n/a",IF(F799=0,0,100*G799/F799))</f>
        <v>0</v>
      </c>
      <c r="I799" s="201">
        <f t="shared" si="166"/>
        <v>0</v>
      </c>
      <c r="J799" s="202">
        <f>VLOOKUP(B799,[4]Weeks!$A$125:$X$161,17,FALSE)-VLOOKUP(B799,[4]Weeks!$A$165:$X$200,17,FALSE)</f>
        <v>0</v>
      </c>
      <c r="K799" s="202">
        <f>VLOOKUP(B799,[4]Weeks!$A$85:$X$121,17,FALSE)-VLOOKUP(B799,[4]Weeks!$A$125:$X$161,17,FALSE)</f>
        <v>0</v>
      </c>
      <c r="L799" s="202">
        <f>VLOOKUP(B799,[4]Weeks!$A$44:$X$81,17,FALSE)-VLOOKUP(B799,[4]Weeks!$A$85:$X$121,17,FALSE)</f>
        <v>0</v>
      </c>
      <c r="M799" s="202">
        <f>VLOOKUP(B799,[4]Weeks!$A$3:$X$39,17,FALSE)-VLOOKUP(B799,[4]Weeks!$A$44:$X$81,17,FALSE)</f>
        <v>0</v>
      </c>
      <c r="N799" s="11" t="str">
        <f>IF(C799="*","*",IF(C799&gt;0,M799/C799*100,"-"))</f>
        <v>-</v>
      </c>
      <c r="O799" s="202">
        <f>IF(C799="*","*",SUM(J799:M799)/4)</f>
        <v>0</v>
      </c>
      <c r="P799" s="41" t="str">
        <f>IF(ISNUMBER(VLOOKUP(B799,[4]CLOSURES!B:BI,16,FALSE)),TEXT(VLOOKUP(B799,[4]CLOSURES!B:BI,16,FALSE),"ddmmm"),IF(F799&lt;=0,0,IF(I799&lt;=0,0,IF(AND(F799&gt;0,O799&lt;=0),"&gt;52",IF(I799/O799&gt;52,"&gt;52", MAX(0,I799/O799-2))))))</f>
        <v>01Jan</v>
      </c>
      <c r="Q799" s="158"/>
      <c r="R799" s="158"/>
    </row>
    <row r="800" spans="2:18" ht="10.75" hidden="1" customHeight="1" x14ac:dyDescent="0.25">
      <c r="B800" s="152" t="s">
        <v>111</v>
      </c>
      <c r="C800" s="130">
        <f>'[5]Maj Pel Combined'!$S$15</f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f>IF(C800="*","*",SUM(J800:M800)/4)</f>
        <v>0</v>
      </c>
      <c r="P800" s="41">
        <f>IF(ISNUMBER(VLOOKUP(B800,[4]CLOSURES!B:BI,16,FALSE)),TEXT(VLOOKUP(B800,[4]CLOSURES!B:BI,16,FALSE),"ddmmm"),IF(F800&lt;=0,0,IF(I800&lt;=0,0,IF(AND(F800&gt;0,O800&lt;=0),"&gt;52",IF(I800/O800&gt;52,"&gt;52", MAX(0,I800/O800-2))))))</f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f>'[5]Maj Pel Combined'!$S$10</f>
        <v>0</v>
      </c>
      <c r="D801" s="200">
        <f>F801-VLOOKUP(B801,[4]quotas!$B$85:$AF$120,27,FALSE)</f>
        <v>0</v>
      </c>
      <c r="E801" s="200">
        <f>F801-C801</f>
        <v>0</v>
      </c>
      <c r="F801" s="201">
        <f>VLOOKUP(B801,[4]quotas!$B$46:$AF$84,27,FALSE)</f>
        <v>0</v>
      </c>
      <c r="G801" s="202">
        <f>VLOOKUP(B801,[4]Cumulative!$A$56:$AZ$91,28,FALSE)</f>
        <v>0</v>
      </c>
      <c r="H801" s="151">
        <f>IF(AND(F801=0,G801&gt;0),"n/a",IF(F801=0,0,100*G801/F801))</f>
        <v>0</v>
      </c>
      <c r="I801" s="201">
        <f>IF(F801="*","*",F801-G801)</f>
        <v>0</v>
      </c>
      <c r="J801" s="202">
        <f>VLOOKUP(B801,[4]Weeks!$A$125:$X$161,17,FALSE)-VLOOKUP(B801,[4]Weeks!$A$165:$X$200,17,FALSE)</f>
        <v>0</v>
      </c>
      <c r="K801" s="202">
        <f>VLOOKUP(B801,[4]Weeks!$A$85:$X$121,17,FALSE)-VLOOKUP(B801,[4]Weeks!$A$125:$X$161,17,FALSE)</f>
        <v>0</v>
      </c>
      <c r="L801" s="202">
        <f>VLOOKUP(B801,[4]Weeks!$A$44:$X$81,17,FALSE)-VLOOKUP(B801,[4]Weeks!$A$85:$X$121,17,FALSE)</f>
        <v>0</v>
      </c>
      <c r="M801" s="202">
        <f>VLOOKUP(B801,[4]Weeks!$A$3:$X$39,17,FALSE)-VLOOKUP(B801,[4]Weeks!$A$44:$X$81,17,FALSE)</f>
        <v>0</v>
      </c>
      <c r="N801" s="11" t="str">
        <f>IF(C801="*","*",IF(C801&gt;0,M801/C801*100,"-"))</f>
        <v>-</v>
      </c>
      <c r="O801" s="202">
        <f>IF(C801="*","*",SUM(J801:M801)/4)</f>
        <v>0</v>
      </c>
      <c r="P801" s="41">
        <f>IF(ISNUMBER(VLOOKUP(B801,[4]CLOSURES!B:BI,16,FALSE)),TEXT(VLOOKUP(B801,[4]CLOSURES!B:BI,16,FALSE),"ddmmm"),IF(F801&lt;=0,0,IF(I801&lt;=0,0,IF(AND(F801&gt;0,O801&lt;=0),"&gt;52",IF(I801/O801&gt;52,"&gt;52", MAX(0,I801/O801-2))))))</f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f>'[5]Maj Pel Combined'!$S$12</f>
        <v>0</v>
      </c>
      <c r="D802" s="200">
        <f>F802-VLOOKUP(B802,[4]quotas!$B$85:$AF$120,27,FALSE)</f>
        <v>0</v>
      </c>
      <c r="E802" s="200">
        <f>F802-C802</f>
        <v>0</v>
      </c>
      <c r="F802" s="201">
        <f>VLOOKUP(B802,[4]quotas!$B$46:$AF$84,27,FALSE)</f>
        <v>0</v>
      </c>
      <c r="G802" s="202">
        <f>VLOOKUP(B802,[4]Cumulative!$A$56:$AZ$91,28,FALSE)</f>
        <v>0</v>
      </c>
      <c r="H802" s="151">
        <f>IF(AND(F802=0,G802&gt;0),"n/a",IF(F802=0,0,100*G802/F802))</f>
        <v>0</v>
      </c>
      <c r="I802" s="201">
        <f>IF(F802="*","*",F802-G802)</f>
        <v>0</v>
      </c>
      <c r="J802" s="202">
        <f>VLOOKUP(B802,[4]Weeks!$A$125:$X$161,17,FALSE)-VLOOKUP(B802,[4]Weeks!$A$165:$X$200,17,FALSE)</f>
        <v>0</v>
      </c>
      <c r="K802" s="202">
        <f>VLOOKUP(B802,[4]Weeks!$A$85:$X$121,17,FALSE)-VLOOKUP(B802,[4]Weeks!$A$125:$X$161,17,FALSE)</f>
        <v>0</v>
      </c>
      <c r="L802" s="202">
        <f>VLOOKUP(B802,[4]Weeks!$A$44:$X$81,17,FALSE)-VLOOKUP(B802,[4]Weeks!$A$85:$X$121,17,FALSE)</f>
        <v>0</v>
      </c>
      <c r="M802" s="202">
        <f>VLOOKUP(B802,[4]Weeks!$A$3:$X$39,17,FALSE)-VLOOKUP(B802,[4]Weeks!$A$44:$X$81,17,FALSE)</f>
        <v>0</v>
      </c>
      <c r="N802" s="11" t="str">
        <f>IF(C802="*","*",IF(C802&gt;0,M802/C802*100,"-"))</f>
        <v>-</v>
      </c>
      <c r="O802" s="202">
        <f>IF(C802="*","*",SUM(J802:M802)/4)</f>
        <v>0</v>
      </c>
      <c r="P802" s="41" t="str">
        <f>IF(ISNUMBER(VLOOKUP(B802,[4]CLOSURES!B:BI,16,FALSE)),TEXT(VLOOKUP(B802,[4]CLOSURES!B:BI,16,FALSE),"ddmmm"),IF(F802&lt;=0,0,IF(I802&lt;=0,0,IF(AND(F802&gt;0,O802&lt;=0),"&gt;52",IF(I802/O802&gt;52,"&gt;52", MAX(0,I802/O802-2))))))</f>
        <v>01Jan</v>
      </c>
      <c r="Q802" s="158"/>
      <c r="R802" s="158"/>
    </row>
    <row r="803" spans="2:18" ht="10.75" hidden="1" customHeight="1" x14ac:dyDescent="0.25">
      <c r="B803" s="162" t="s">
        <v>86</v>
      </c>
      <c r="C803" s="130">
        <f>SUM(C778:C787)+SUM(C790:C802)</f>
        <v>0</v>
      </c>
      <c r="D803" s="202">
        <f>SUM(D778:D787)+SUM(D790:D802)</f>
        <v>0</v>
      </c>
      <c r="E803" s="200">
        <f>F803-C803</f>
        <v>0</v>
      </c>
      <c r="F803" s="201">
        <f>SUM(F778:F787)+SUM(F790:F802)</f>
        <v>0</v>
      </c>
      <c r="G803" s="202">
        <f>SUM(G778:G787)+SUM(G790:G802)</f>
        <v>0</v>
      </c>
      <c r="H803" s="151">
        <f>IF(AND(F803=0,G803&gt;0),"n/a",IF(F803=0,0,100*G803/F803))</f>
        <v>0</v>
      </c>
      <c r="I803" s="201">
        <f>IF(F803="*","*",F803-G803)</f>
        <v>0</v>
      </c>
      <c r="J803" s="202">
        <f>SUM(J778:J787)+SUM(J790:J802)</f>
        <v>0</v>
      </c>
      <c r="K803" s="202">
        <f>SUM(K778:K787)+SUM(K790:K802)</f>
        <v>0</v>
      </c>
      <c r="L803" s="202">
        <f>SUM(L778:L787)+SUM(L790:L802)</f>
        <v>0</v>
      </c>
      <c r="M803" s="202">
        <f>SUM(M778:M787)+SUM(M790:M802)</f>
        <v>0</v>
      </c>
      <c r="N803" s="11" t="str">
        <f>IF(C803="*","*",IF(C803&gt;0,M803/C803*100,"-"))</f>
        <v>-</v>
      </c>
      <c r="O803" s="202">
        <f>IF(C803="*","*",SUM(J803:M803)/4)</f>
        <v>0</v>
      </c>
      <c r="P803" s="41">
        <f>IF(ISNUMBER(VLOOKUP(B803,[4]CLOSURES!B:BI,16,FALSE)),TEXT(VLOOKUP(B803,[4]CLOSURES!B:BI,16,FALSE),"ddmmm"),IF(F803&lt;=0,0,IF(I803&lt;=0,0,IF(AND(F803&gt;0,O803&lt;=0),"&gt;52",IF(I803/O803&gt;52,"&gt;52", MAX(0,I803/O803-2))))))</f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f>C805</f>
        <v>0</v>
      </c>
      <c r="G805" s="202"/>
      <c r="H805" s="151">
        <f>IF(AND(F805=0,G805&gt;0),"n/a",IF(F805=0,0,100*G805/F805))</f>
        <v>0</v>
      </c>
      <c r="I805" s="201">
        <f>IF(F805="*","*",F805-G805)</f>
        <v>0</v>
      </c>
      <c r="J805" s="202"/>
      <c r="K805" s="202"/>
      <c r="L805" s="202"/>
      <c r="M805" s="202"/>
      <c r="N805" s="11" t="str">
        <f>IF(C805="*","*",IF(C805&gt;0,M805/C805*100,"-"))</f>
        <v>-</v>
      </c>
      <c r="O805" s="202">
        <f>IF(C805="*","*",SUM(J805:M805)/4)</f>
        <v>0</v>
      </c>
      <c r="P805" s="41" t="str">
        <f>IF(ISNUMBER(VLOOKUP(B805,[4]CLOSURES!B:BI,16,FALSE)),TEXT(VLOOKUP(B805,[4]CLOSURES!B:BI,16,FALSE),"ddmmm"),IF(F805&lt;=0,0,IF(I805&lt;=0,0,IF(AND(F805&gt;0,O805&lt;=0),"&gt;52",IF(I805/O805&gt;52,"&gt;52", MAX(0,I805/O805-2))))))</f>
        <v>01Jan</v>
      </c>
      <c r="Q805" s="158"/>
      <c r="R805" s="158"/>
    </row>
    <row r="806" spans="2:18" ht="10.75" hidden="1" customHeight="1" x14ac:dyDescent="0.25">
      <c r="B806" s="44" t="s">
        <v>88</v>
      </c>
      <c r="C806" s="130">
        <f>'[5]Maj Pel Combined'!$S$33</f>
        <v>0</v>
      </c>
      <c r="D806" s="200">
        <f>F806-VLOOKUP(B806,[4]quotas!$B$85:$AF$120,27,FALSE)</f>
        <v>0</v>
      </c>
      <c r="E806" s="200">
        <f>F806-C806</f>
        <v>0</v>
      </c>
      <c r="F806" s="201">
        <f>VLOOKUP(B806,[4]quotas!$B$46:$AF$84,27,FALSE)</f>
        <v>0</v>
      </c>
      <c r="G806" s="202">
        <f>VLOOKUP(B806,[4]Cumulative!$A$56:$AZ$91,28,FALSE)</f>
        <v>0</v>
      </c>
      <c r="H806" s="151">
        <f>IF(AND(F806=0,G806&gt;0),"n/a",IF(F806=0,0,100*G806/F806))</f>
        <v>0</v>
      </c>
      <c r="I806" s="201">
        <f>IF(F806="*","*",F806-G806)</f>
        <v>0</v>
      </c>
      <c r="J806" s="202">
        <f>VLOOKUP(B806,[4]Weeks!$A$125:$X$161,17,FALSE)-VLOOKUP(B806,[4]Weeks!$A$165:$X$200,17,FALSE)</f>
        <v>0</v>
      </c>
      <c r="K806" s="202">
        <f>VLOOKUP(B806,[4]Weeks!$A$85:$X$121,17,FALSE)-VLOOKUP(B806,[4]Weeks!$A$125:$X$161,17,FALSE)</f>
        <v>0</v>
      </c>
      <c r="L806" s="202">
        <f>VLOOKUP(B806,[4]Weeks!$A$44:$X$81,17,FALSE)-VLOOKUP(B806,[4]Weeks!$A$85:$X$121,17,FALSE)</f>
        <v>0</v>
      </c>
      <c r="M806" s="202">
        <f>VLOOKUP(B806,[4]Weeks!$A$3:$X$39,17,FALSE)-VLOOKUP(B806,[4]Weeks!$A$44:$X$81,17,FALSE)</f>
        <v>0</v>
      </c>
      <c r="N806" s="11" t="s">
        <v>64</v>
      </c>
      <c r="O806" s="202">
        <f>IF(C806="*","*",SUM(J806:M806)/4)</f>
        <v>0</v>
      </c>
      <c r="P806" s="41" t="str">
        <f>IF(ISNUMBER(VLOOKUP(B806,[4]CLOSURES!B:BI,16,FALSE)),TEXT(VLOOKUP(B806,[4]CLOSURES!B:BI,16,FALSE),"ddmmm"),IF(F806&lt;=0,0,IF(I806&lt;=0,0,IF(AND(F806&gt;0,O806&lt;=0),"&gt;52",IF(I806/O806&gt;52,"&gt;52", MAX(0,I806/O806-2))))))</f>
        <v>01Jan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f>IF(AND(F807=0,G807&gt;0),"n/a",IF(F807=0,0,100*G807/F807))</f>
        <v>0</v>
      </c>
      <c r="I807" s="201">
        <f>IF(F807="*","*",F807-G807)</f>
        <v>0</v>
      </c>
      <c r="J807" s="202"/>
      <c r="K807" s="202"/>
      <c r="L807" s="202"/>
      <c r="M807" s="202"/>
      <c r="N807" s="11" t="str">
        <f>IF(C807="*","*",IF(C807&gt;0,M807/C807*100,"-"))</f>
        <v>-</v>
      </c>
      <c r="O807" s="202">
        <f>IF(C807="*","*",SUM(J807:M807)/4)</f>
        <v>0</v>
      </c>
      <c r="P807" s="41" t="str">
        <f>IF(ISNUMBER(VLOOKUP(B807,[4]CLOSURES!B:BI,16,FALSE)),TEXT(VLOOKUP(B807,[4]CLOSURES!B:BI,16,FALSE),"ddmmm"),IF(F807&lt;=0,0,IF(I807&lt;=0,0,IF(AND(F807&gt;0,O807&lt;=0),"&gt;52",IF(I807/O807&gt;52,"&gt;52", MAX(0,I807/O807-2))))))</f>
        <v>01Jan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f>'[5]Maj Pel Combined'!$S$41</f>
        <v>0</v>
      </c>
      <c r="D809" s="200"/>
      <c r="E809" s="200"/>
      <c r="F809" s="201">
        <f>'[5]Maj Pel Combined'!$S$41</f>
        <v>0</v>
      </c>
      <c r="G809" s="202"/>
      <c r="H809" s="151"/>
      <c r="I809" s="201">
        <f>F809</f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f>C803+SUM(C805:C809)</f>
        <v>0</v>
      </c>
      <c r="D810" s="135">
        <f>F810-VLOOKUP(B810,[4]quotas!$B$85:$AF$120,27,FALSE)</f>
        <v>0</v>
      </c>
      <c r="E810" s="135">
        <f>F810-C810</f>
        <v>0</v>
      </c>
      <c r="F810" s="132">
        <f>F803+SUM(F805:F809)</f>
        <v>0</v>
      </c>
      <c r="G810" s="131">
        <f>VLOOKUP(B810,[4]Cumulative!$A$56:$AZ$91,28,FALSE)</f>
        <v>0</v>
      </c>
      <c r="H810" s="156">
        <f>IF(AND(F810=0,G810&gt;0),"n/a",IF(F810=0,0,100*G810/F810))</f>
        <v>0</v>
      </c>
      <c r="I810" s="132">
        <f>IF(F810="*","*",F810-G810)</f>
        <v>0</v>
      </c>
      <c r="J810" s="131">
        <f>VLOOKUP(B810,[4]Weeks!$A$125:$AE$161,28,FALSE)-VLOOKUP(B810,[4]Weeks!$A$165:$AE$200,28,FALSE)</f>
        <v>0</v>
      </c>
      <c r="K810" s="131">
        <f>VLOOKUP(B810,[4]Weeks!$A$85:$AE$121,28,FALSE)-VLOOKUP(B810,[4]Weeks!$A$125:$AE$161,28,FALSE)</f>
        <v>0</v>
      </c>
      <c r="L810" s="131">
        <f>VLOOKUP(B810,[4]Weeks!$A$44:$X$81,17,FALSE)-VLOOKUP(B810,[4]Weeks!$A$85:$AE$121,28,FALSE)</f>
        <v>0</v>
      </c>
      <c r="M810" s="131">
        <f>M803+M805+M807</f>
        <v>0</v>
      </c>
      <c r="N810" s="53" t="str">
        <f>IF(C810="*","*",IF(C810&gt;0,M810/C810*100,"-"))</f>
        <v>-</v>
      </c>
      <c r="O810" s="131">
        <f>IF(C810="*","*",SUM(J810:M810)/4)</f>
        <v>0</v>
      </c>
      <c r="P810" s="49" t="str">
        <f>IF(ISNUMBER(VLOOKUP(B810,[4]CLOSURES!B:BI,16,FALSE)),TEXT(VLOOKUP(B810,[4]CLOSURES!B:BI,16,FALSE),"ddmmm"),IF(F810&lt;=0,0,IF(I810&lt;=0,0,IF(AND(F810&gt;0,O810&lt;=0),"&gt;52",IF(I810/O810&gt;52,"&gt;52", MAX(0,I810/O810-2))))))</f>
        <v>01Jan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f>J775</f>
        <v>44895</v>
      </c>
      <c r="K815" s="33">
        <f>K775</f>
        <v>44902</v>
      </c>
      <c r="L815" s="33">
        <f>L775</f>
        <v>44909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f>'[5]Maj Pel Combined'!$T$23</f>
        <v>0</v>
      </c>
      <c r="D818" s="200">
        <f>F818-VLOOKUP(B818,[4]quotas!$B$85:$AF$120,29,FALSE)</f>
        <v>0</v>
      </c>
      <c r="E818" s="200">
        <f>F818-C818</f>
        <v>0</v>
      </c>
      <c r="F818" s="201">
        <f>VLOOKUP(B818,[4]quotas!$B$46:$AF$84,29,FALSE)</f>
        <v>0</v>
      </c>
      <c r="G818" s="202">
        <f>VLOOKUP(B818,[4]Cumulative!$A$56:$AZ$91,29,FALSE)</f>
        <v>0</v>
      </c>
      <c r="H818" s="151">
        <f>IF(AND(F818=0,G818&gt;0),"n/a",IF(F818=0,0,100*G818/F818))</f>
        <v>0</v>
      </c>
      <c r="I818" s="201">
        <f>IF(F818="*","*",F818-G818)</f>
        <v>0</v>
      </c>
      <c r="J818" s="202">
        <f>VLOOKUP(B818,[4]Weeks!$A$125:$AE$161,29,FALSE)-VLOOKUP(B818,[4]Weeks!$A$165:$AE$200,29,FALSE)</f>
        <v>0</v>
      </c>
      <c r="K818" s="202">
        <f>VLOOKUP(B818,[4]Weeks!$A$85:$AE$121,29,FALSE)-VLOOKUP(B818,[4]Weeks!$A$125:$AE$161,29,FALSE)</f>
        <v>0</v>
      </c>
      <c r="L818" s="202">
        <f>VLOOKUP(B818,[4]Weeks!$A$44:$X$81,17,FALSE)-VLOOKUP(B818,[4]Weeks!$A$85:$AE$121,29,FALSE)</f>
        <v>0</v>
      </c>
      <c r="M818" s="202">
        <f>VLOOKUP(B818,[4]Weeks!$A$3:$AE$39,29,FALSE)-VLOOKUP(B818,[4]Weeks!$A$44:$AE$81,29,FALSE)</f>
        <v>0</v>
      </c>
      <c r="N818" s="11" t="str">
        <f>IF(C818="*","*",IF(C818&gt;0,M818/C818*100,"-"))</f>
        <v>-</v>
      </c>
      <c r="O818" s="202">
        <f t="shared" ref="O818:O827" si="168">IF(C818="*","*",SUM(J818:M818)/4)</f>
        <v>0</v>
      </c>
      <c r="P818" s="41">
        <f>IF(ISNUMBER(VLOOKUP(B818,[4]CLOSURES!B:BI,16,FALSE)),TEXT(VLOOKUP(B818,[4]CLOSURES!B:BI,16,FALSE),"ddmmm"),IF(F818&lt;=0,0,IF(I818&lt;=0,0,IF(AND(F818&gt;0,O818&lt;=0),"&gt;52",IF(I818/O818&gt;52,"&gt;52", MAX(0,I818/O818-2))))))</f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f>'[5]Maj Pel Combined'!$T$16</f>
        <v>0</v>
      </c>
      <c r="D819" s="200">
        <f>F819-VLOOKUP(B819,[4]quotas!$B$85:$AF$120,29,FALSE)</f>
        <v>0</v>
      </c>
      <c r="E819" s="200">
        <v>0</v>
      </c>
      <c r="F819" s="201">
        <f>VLOOKUP(B819,[4]quotas!$B$46:$AF$84,29,FALSE)</f>
        <v>0</v>
      </c>
      <c r="G819" s="202">
        <f>VLOOKUP(B819,[4]Cumulative!$A$56:$AZ$91,29,FALSE)</f>
        <v>0</v>
      </c>
      <c r="H819" s="151">
        <f>IF(AND(F819=0,G819&gt;0),"n/a",IF(F819=0,0,100*G819/F819))</f>
        <v>0</v>
      </c>
      <c r="I819" s="201">
        <f>IF(F819="*","*",F819-G819)</f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f t="shared" si="168"/>
        <v>0</v>
      </c>
      <c r="P819" s="41" t="str">
        <f>IF(ISNUMBER(VLOOKUP(B819,[4]CLOSURES!B:BI,16,FALSE)),TEXT(VLOOKUP(B819,[4]CLOSURES!B:BI,16,FALSE),"ddmmm"),IF(F819&lt;=0,0,IF(I819&lt;=0,0,IF(AND(F819&gt;0,O819&lt;=0),"&gt;52",IF(I819/O819&gt;52,"&gt;52", MAX(0,I819/O819-2))))))</f>
        <v>01Jan</v>
      </c>
      <c r="Q819" s="158"/>
      <c r="R819" s="158"/>
    </row>
    <row r="820" spans="2:18" ht="10.75" hidden="1" customHeight="1" x14ac:dyDescent="0.25">
      <c r="B820" s="40" t="s">
        <v>65</v>
      </c>
      <c r="C820" s="130">
        <f>'[5]Maj Pel Combined'!$T$20</f>
        <v>0</v>
      </c>
      <c r="D820" s="200">
        <f>F820-VLOOKUP(B820,[4]quotas!$B$85:$AF$120,29,FALSE)</f>
        <v>0</v>
      </c>
      <c r="E820" s="200">
        <f>F820-C820</f>
        <v>0</v>
      </c>
      <c r="F820" s="201">
        <f>VLOOKUP(B820,[4]quotas!$B$46:$AF$84,29,FALSE)</f>
        <v>0</v>
      </c>
      <c r="G820" s="202">
        <f>VLOOKUP(B820,[4]Cumulative!$A$56:$AZ$91,29,FALSE)</f>
        <v>0</v>
      </c>
      <c r="H820" s="151">
        <f>IF(AND(F820=0,G820&gt;0),"n/a",IF(F820=0,0,100*G820/F820))</f>
        <v>0</v>
      </c>
      <c r="I820" s="201">
        <f>IF(F820="*","*",F820-G820)</f>
        <v>0</v>
      </c>
      <c r="J820" s="202">
        <f>VLOOKUP(B820,[4]Weeks!$A$125:$X$161,17,FALSE)-VLOOKUP(B820,[4]Weeks!$A$165:$X$200,17,FALSE)</f>
        <v>0</v>
      </c>
      <c r="K820" s="202">
        <f>VLOOKUP(B820,[4]Weeks!$A$85:$X$121,17,FALSE)-VLOOKUP(B820,[4]Weeks!$A$125:$X$161,17,FALSE)</f>
        <v>0</v>
      </c>
      <c r="L820" s="202">
        <f>VLOOKUP(B820,[4]Weeks!$A$44:$X$81,17,FALSE)-VLOOKUP(B820,[4]Weeks!$A$85:$X$121,17,FALSE)</f>
        <v>0</v>
      </c>
      <c r="M820" s="202">
        <f>VLOOKUP(B820,[4]Weeks!$A$3:$X$39,17,FALSE)-VLOOKUP(B820,[4]Weeks!$A$44:$X$81,17,FALSE)</f>
        <v>0</v>
      </c>
      <c r="N820" s="11" t="str">
        <f>IF(C820="*","*",IF(C820&gt;0,M820/C820*100,"-"))</f>
        <v>-</v>
      </c>
      <c r="O820" s="202">
        <f t="shared" si="168"/>
        <v>0</v>
      </c>
      <c r="P820" s="41" t="str">
        <f>IF(ISNUMBER(VLOOKUP(B820,[4]CLOSURES!B:BI,16,FALSE)),TEXT(VLOOKUP(B820,[4]CLOSURES!B:BI,16,FALSE),"ddmmm"),IF(F820&lt;=0,0,IF(I820&lt;=0,0,IF(AND(F820&gt;0,O820&lt;=0),"&gt;52",IF(I820/O820&gt;52,"&gt;52", MAX(0,I820/O820-2))))))</f>
        <v>01Jan</v>
      </c>
      <c r="Q820" s="158"/>
      <c r="R820" s="158"/>
    </row>
    <row r="821" spans="2:18" ht="10.75" hidden="1" customHeight="1" x14ac:dyDescent="0.25">
      <c r="B821" s="40" t="s">
        <v>66</v>
      </c>
      <c r="C821" s="130">
        <f>'[5]Maj Pel Combined'!$T$24</f>
        <v>0</v>
      </c>
      <c r="D821" s="200">
        <f>F821-VLOOKUP(B821,[4]quotas!$B$85:$AF$120,29,FALSE)</f>
        <v>0</v>
      </c>
      <c r="E821" s="200">
        <f>F821-C821</f>
        <v>0</v>
      </c>
      <c r="F821" s="201">
        <f>VLOOKUP(B821,[4]quotas!$B$46:$AF$84,29,FALSE)</f>
        <v>0</v>
      </c>
      <c r="G821" s="202">
        <f>VLOOKUP(B821,[4]Cumulative!$A$56:$AZ$91,29,FALSE)</f>
        <v>0</v>
      </c>
      <c r="H821" s="151">
        <f>IF(AND(F821=0,G821&gt;0),"n/a",IF(F821=0,0,100*G821/F821))</f>
        <v>0</v>
      </c>
      <c r="I821" s="201">
        <f>IF(F821="*","*",F821-G821)</f>
        <v>0</v>
      </c>
      <c r="J821" s="202">
        <f>VLOOKUP(B821,[4]Weeks!$A$125:$X$161,17,FALSE)-VLOOKUP(B821,[4]Weeks!$A$165:$X$200,17,FALSE)</f>
        <v>0</v>
      </c>
      <c r="K821" s="202">
        <f>VLOOKUP(B821,[4]Weeks!$A$85:$X$121,17,FALSE)-VLOOKUP(B821,[4]Weeks!$A$125:$X$161,17,FALSE)</f>
        <v>0</v>
      </c>
      <c r="L821" s="202">
        <f>VLOOKUP(B821,[4]Weeks!$A$44:$X$81,17,FALSE)-VLOOKUP(B821,[4]Weeks!$A$85:$X$121,17,FALSE)</f>
        <v>0</v>
      </c>
      <c r="M821" s="202">
        <f>VLOOKUP(B821,[4]Weeks!$A$3:$X$39,17,FALSE)-VLOOKUP(B821,[4]Weeks!$A$44:$X$81,17,FALSE)</f>
        <v>0</v>
      </c>
      <c r="N821" s="11" t="str">
        <f>IF(C821="*","*",IF(C821&gt;0,M821/C821*100,"-"))</f>
        <v>-</v>
      </c>
      <c r="O821" s="202">
        <f t="shared" si="168"/>
        <v>0</v>
      </c>
      <c r="P821" s="41" t="str">
        <f>IF(ISNUMBER(VLOOKUP(B821,[4]CLOSURES!B:BI,16,FALSE)),TEXT(VLOOKUP(B821,[4]CLOSURES!B:BI,16,FALSE),"ddmmm"),IF(F821&lt;=0,0,IF(I821&lt;=0,0,IF(AND(F821&gt;0,O821&lt;=0),"&gt;52",IF(I821/O821&gt;52,"&gt;52", MAX(0,I821/O821-2))))))</f>
        <v>01Jan</v>
      </c>
      <c r="Q821" s="158"/>
      <c r="R821" s="158"/>
    </row>
    <row r="822" spans="2:18" ht="10.75" hidden="1" customHeight="1" x14ac:dyDescent="0.25">
      <c r="B822" s="40" t="s">
        <v>67</v>
      </c>
      <c r="C822" s="130">
        <f>'[5]Maj Pel Combined'!$T$17</f>
        <v>0</v>
      </c>
      <c r="D822" s="200">
        <f>F822-VLOOKUP(B822,[4]quotas!$B$85:$AF$120,29,FALSE)</f>
        <v>0</v>
      </c>
      <c r="E822" s="200">
        <v>0</v>
      </c>
      <c r="F822" s="201">
        <f>VLOOKUP(B822,[4]quotas!$B$46:$AF$84,29,FALSE)</f>
        <v>0</v>
      </c>
      <c r="G822" s="202">
        <f>VLOOKUP(B822,[4]Cumulative!$A$56:$AZ$91,29,FALSE)</f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f t="shared" si="168"/>
        <v>0</v>
      </c>
      <c r="P822" s="41" t="str">
        <f>IF(ISNUMBER(VLOOKUP(B822,[4]CLOSURES!B:BI,16,FALSE)),TEXT(VLOOKUP(B822,[4]CLOSURES!B:BI,16,FALSE),"ddmmm"),IF(F822&lt;=0,0,IF(I822&lt;=0,0,IF(AND(F822&gt;0,O822&lt;=0),"&gt;52",IF(I822/O822&gt;52,"&gt;52", MAX(0,I822/O822-2))))))</f>
        <v>01Jan</v>
      </c>
      <c r="Q822" s="158"/>
      <c r="R822" s="158"/>
    </row>
    <row r="823" spans="2:18" ht="10.75" hidden="1" customHeight="1" x14ac:dyDescent="0.25">
      <c r="B823" s="40" t="s">
        <v>68</v>
      </c>
      <c r="C823" s="130">
        <f>'[5]Maj Pel Combined'!$T$25</f>
        <v>0</v>
      </c>
      <c r="D823" s="200">
        <f>F823-VLOOKUP(B823,[4]quotas!$B$85:$AF$120,29,FALSE)</f>
        <v>0</v>
      </c>
      <c r="E823" s="200">
        <f t="shared" ref="E823:E828" si="169">F823-C823</f>
        <v>0</v>
      </c>
      <c r="F823" s="201">
        <f>VLOOKUP(B823,[4]quotas!$B$46:$AF$84,29,FALSE)</f>
        <v>0</v>
      </c>
      <c r="G823" s="202">
        <f>VLOOKUP(B823,[4]Cumulative!$A$56:$AZ$91,29,FALSE)</f>
        <v>0</v>
      </c>
      <c r="H823" s="151">
        <f t="shared" ref="H823:H828" si="170">IF(AND(F823=0,G823&gt;0),"n/a",IF(F823=0,0,100*G823/F823))</f>
        <v>0</v>
      </c>
      <c r="I823" s="201">
        <f t="shared" ref="I823:I828" si="171">IF(F823="*","*",F823-G823)</f>
        <v>0</v>
      </c>
      <c r="J823" s="202">
        <f>VLOOKUP(B823,[4]Weeks!$A$125:$X$161,17,FALSE)-VLOOKUP(B823,[4]Weeks!$A$165:$X$200,17,FALSE)</f>
        <v>0</v>
      </c>
      <c r="K823" s="202">
        <f>VLOOKUP(B823,[4]Weeks!$A$85:$X$121,17,FALSE)-VLOOKUP(B823,[4]Weeks!$A$125:$X$161,17,FALSE)</f>
        <v>0</v>
      </c>
      <c r="L823" s="202">
        <f>VLOOKUP(B823,[4]Weeks!$A$44:$X$81,17,FALSE)-VLOOKUP(B823,[4]Weeks!$A$85:$X$121,17,FALSE)</f>
        <v>0</v>
      </c>
      <c r="M823" s="202">
        <f>VLOOKUP(B823,[4]Weeks!$A$3:$X$39,17,FALSE)-VLOOKUP(B823,[4]Weeks!$A$44:$X$81,17,FALSE)</f>
        <v>0</v>
      </c>
      <c r="N823" s="11" t="str">
        <f>IF(C823="*","*",IF(C823&gt;0,M823/C823*100,"-"))</f>
        <v>-</v>
      </c>
      <c r="O823" s="202">
        <f t="shared" si="168"/>
        <v>0</v>
      </c>
      <c r="P823" s="41" t="str">
        <f>IF(ISNUMBER(VLOOKUP(B823,[4]CLOSURES!B:BI,16,FALSE)),TEXT(VLOOKUP(B823,[4]CLOSURES!B:BI,16,FALSE),"ddmmm"),IF(F823&lt;=0,0,IF(I823&lt;=0,0,IF(AND(F823&gt;0,O823&lt;=0),"&gt;52",IF(I823/O823&gt;52,"&gt;52", MAX(0,I823/O823-2))))))</f>
        <v>01Jan</v>
      </c>
      <c r="Q823" s="158"/>
      <c r="R823" s="158"/>
    </row>
    <row r="824" spans="2:18" ht="10.75" hidden="1" customHeight="1" x14ac:dyDescent="0.25">
      <c r="B824" s="40" t="s">
        <v>69</v>
      </c>
      <c r="C824" s="130">
        <f>'[5]Maj Pel Combined'!$T$22</f>
        <v>0</v>
      </c>
      <c r="D824" s="200">
        <f>F824-VLOOKUP(B824,[4]quotas!$B$85:$AF$120,29,FALSE)</f>
        <v>0</v>
      </c>
      <c r="E824" s="200">
        <f t="shared" si="169"/>
        <v>0</v>
      </c>
      <c r="F824" s="201">
        <f>VLOOKUP(B824,[4]quotas!$B$46:$AF$84,29,FALSE)</f>
        <v>0</v>
      </c>
      <c r="G824" s="202">
        <f>VLOOKUP(B824,[4]Cumulative!$A$56:$AZ$91,29,FALSE)</f>
        <v>0</v>
      </c>
      <c r="H824" s="151">
        <f t="shared" si="170"/>
        <v>0</v>
      </c>
      <c r="I824" s="201">
        <f t="shared" si="171"/>
        <v>0</v>
      </c>
      <c r="J824" s="202">
        <f>VLOOKUP(B824,[4]Weeks!$A$125:$X$161,17,FALSE)-VLOOKUP(B824,[4]Weeks!$A$165:$X$200,17,FALSE)</f>
        <v>0</v>
      </c>
      <c r="K824" s="202">
        <f>VLOOKUP(B824,[4]Weeks!$A$85:$X$121,17,FALSE)-VLOOKUP(B824,[4]Weeks!$A$125:$X$161,17,FALSE)</f>
        <v>0</v>
      </c>
      <c r="L824" s="202">
        <f>VLOOKUP(B824,[4]Weeks!$A$44:$X$81,17,FALSE)-VLOOKUP(B824,[4]Weeks!$A$85:$X$121,17,FALSE)</f>
        <v>0</v>
      </c>
      <c r="M824" s="202">
        <f>VLOOKUP(B824,[4]Weeks!$A$3:$X$39,17,FALSE)-VLOOKUP(B824,[4]Weeks!$A$44:$X$81,17,FALSE)</f>
        <v>0</v>
      </c>
      <c r="N824" s="11" t="str">
        <f>IF(C824="*","*",IF(C824&gt;0,M824/C824*100,"-"))</f>
        <v>-</v>
      </c>
      <c r="O824" s="202">
        <f t="shared" si="168"/>
        <v>0</v>
      </c>
      <c r="P824" s="41" t="str">
        <f>IF(ISNUMBER(VLOOKUP(B824,[4]CLOSURES!B:BI,16,FALSE)),TEXT(VLOOKUP(B824,[4]CLOSURES!B:BI,16,FALSE),"ddmmm"),IF(F824&lt;=0,0,IF(I824&lt;=0,0,IF(AND(F824&gt;0,O824&lt;=0),"&gt;52",IF(I824/O824&gt;52,"&gt;52", MAX(0,I824/O824-2))))))</f>
        <v>01Jan</v>
      </c>
      <c r="Q824" s="158"/>
      <c r="R824" s="158"/>
    </row>
    <row r="825" spans="2:18" ht="10.75" hidden="1" customHeight="1" x14ac:dyDescent="0.25">
      <c r="B825" s="40" t="s">
        <v>70</v>
      </c>
      <c r="C825" s="130">
        <f>'[5]Maj Pel Combined'!$T$21</f>
        <v>0</v>
      </c>
      <c r="D825" s="200">
        <f>F825-VLOOKUP(B825,[4]quotas!$B$85:$AF$120,29,FALSE)</f>
        <v>0</v>
      </c>
      <c r="E825" s="200">
        <f t="shared" si="169"/>
        <v>0</v>
      </c>
      <c r="F825" s="201">
        <f>VLOOKUP(B825,[4]quotas!$B$46:$AF$84,29,FALSE)</f>
        <v>0</v>
      </c>
      <c r="G825" s="202">
        <f>VLOOKUP(B825,[4]Cumulative!$A$56:$AZ$91,29,FALSE)</f>
        <v>0</v>
      </c>
      <c r="H825" s="151">
        <f t="shared" si="170"/>
        <v>0</v>
      </c>
      <c r="I825" s="201">
        <f t="shared" si="171"/>
        <v>0</v>
      </c>
      <c r="J825" s="202">
        <f>VLOOKUP(B825,[4]Weeks!$A$125:$X$161,17,FALSE)-VLOOKUP(B825,[4]Weeks!$A$165:$X$200,17,FALSE)</f>
        <v>0</v>
      </c>
      <c r="K825" s="202">
        <f>VLOOKUP(B825,[4]Weeks!$A$85:$X$121,17,FALSE)-VLOOKUP(B825,[4]Weeks!$A$125:$X$161,17,FALSE)</f>
        <v>0</v>
      </c>
      <c r="L825" s="202">
        <f>VLOOKUP(B825,[4]Weeks!$A$44:$X$81,17,FALSE)-VLOOKUP(B825,[4]Weeks!$A$85:$X$121,17,FALSE)</f>
        <v>0</v>
      </c>
      <c r="M825" s="202">
        <f>VLOOKUP(B825,[4]Weeks!$A$3:$X$39,17,FALSE)-VLOOKUP(B825,[4]Weeks!$A$44:$X$81,17,FALSE)</f>
        <v>0</v>
      </c>
      <c r="N825" s="11" t="str">
        <f>IF(C825="*","*",IF(C825&gt;0,M825/C825*100,"-"))</f>
        <v>-</v>
      </c>
      <c r="O825" s="202">
        <f t="shared" si="168"/>
        <v>0</v>
      </c>
      <c r="P825" s="41" t="str">
        <f>IF(ISNUMBER(VLOOKUP(B825,[4]CLOSURES!B:BI,16,FALSE)),TEXT(VLOOKUP(B825,[4]CLOSURES!B:BI,16,FALSE),"ddmmm"),IF(F825&lt;=0,0,IF(I825&lt;=0,0,IF(AND(F825&gt;0,O825&lt;=0),"&gt;52",IF(I825/O825&gt;52,"&gt;52", MAX(0,I825/O825-2))))))</f>
        <v>01Jan</v>
      </c>
      <c r="Q825" s="158"/>
      <c r="R825" s="158"/>
    </row>
    <row r="826" spans="2:18" ht="10.75" hidden="1" customHeight="1" x14ac:dyDescent="0.25">
      <c r="B826" s="40" t="s">
        <v>71</v>
      </c>
      <c r="C826" s="130">
        <f>'[5]Maj Pel Combined'!$T$18</f>
        <v>0</v>
      </c>
      <c r="D826" s="200">
        <f>F826-VLOOKUP(B826,[4]quotas!$B$85:$AF$120,29,FALSE)</f>
        <v>0</v>
      </c>
      <c r="E826" s="200">
        <f t="shared" si="169"/>
        <v>0</v>
      </c>
      <c r="F826" s="201">
        <f>VLOOKUP(B826,[4]quotas!$B$46:$AF$84,29,FALSE)</f>
        <v>0</v>
      </c>
      <c r="G826" s="202">
        <f>VLOOKUP(B826,[4]Cumulative!$A$56:$AZ$91,29,FALSE)</f>
        <v>0</v>
      </c>
      <c r="H826" s="151">
        <f t="shared" si="170"/>
        <v>0</v>
      </c>
      <c r="I826" s="201">
        <f t="shared" si="171"/>
        <v>0</v>
      </c>
      <c r="J826" s="202">
        <f>VLOOKUP(B826,[4]Weeks!$A$125:$X$161,17,FALSE)-VLOOKUP(B826,[4]Weeks!$A$165:$X$200,17,FALSE)</f>
        <v>0</v>
      </c>
      <c r="K826" s="202">
        <f>VLOOKUP(B826,[4]Weeks!$A$85:$X$121,17,FALSE)-VLOOKUP(B826,[4]Weeks!$A$125:$X$161,17,FALSE)</f>
        <v>0</v>
      </c>
      <c r="L826" s="202">
        <f>VLOOKUP(B826,[4]Weeks!$A$44:$X$81,17,FALSE)-VLOOKUP(B826,[4]Weeks!$A$85:$X$121,17,FALSE)</f>
        <v>0</v>
      </c>
      <c r="M826" s="202">
        <f>VLOOKUP(B826,[4]Weeks!$A$3:$X$39,17,FALSE)-VLOOKUP(B826,[4]Weeks!$A$44:$X$81,17,FALSE)</f>
        <v>0</v>
      </c>
      <c r="N826" s="11" t="str">
        <f>IF(C826="*","*",IF(C826&gt;0,M826/C826*100,"-"))</f>
        <v>-</v>
      </c>
      <c r="O826" s="202">
        <f t="shared" si="168"/>
        <v>0</v>
      </c>
      <c r="P826" s="41">
        <f>IF(ISNUMBER(VLOOKUP(B826,[4]CLOSURES!B:BI,16,FALSE)),TEXT(VLOOKUP(B826,[4]CLOSURES!B:BI,16,FALSE),"ddmmm"),IF(F826&lt;=0,0,IF(I826&lt;=0,0,IF(AND(F826&gt;0,O826&lt;=0),"&gt;52",IF(I826/O826&gt;52,"&gt;52", MAX(0,I826/O826-2))))))</f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f>'[5]Maj Pel Combined'!$T$19</f>
        <v>0</v>
      </c>
      <c r="D827" s="200">
        <f>F827-VLOOKUP(B827,[4]quotas!$B$85:$AF$120,29,FALSE)</f>
        <v>0</v>
      </c>
      <c r="E827" s="200">
        <f t="shared" si="169"/>
        <v>0</v>
      </c>
      <c r="F827" s="201">
        <f>VLOOKUP(B827,[4]quotas!$B$46:$AF$84,29,FALSE)</f>
        <v>0</v>
      </c>
      <c r="G827" s="202">
        <f>VLOOKUP(B827,[4]Cumulative!$A$56:$AZ$91,29,FALSE)</f>
        <v>0</v>
      </c>
      <c r="H827" s="151">
        <f t="shared" si="170"/>
        <v>0</v>
      </c>
      <c r="I827" s="201">
        <f t="shared" si="171"/>
        <v>0</v>
      </c>
      <c r="J827" s="202">
        <f>VLOOKUP(B827,[4]Weeks!$A$125:$X$161,17,FALSE)-VLOOKUP(B827,[4]Weeks!$A$165:$X$200,17,FALSE)</f>
        <v>0</v>
      </c>
      <c r="K827" s="202">
        <f>VLOOKUP(B827,[4]Weeks!$A$85:$X$121,17,FALSE)-VLOOKUP(B827,[4]Weeks!$A$125:$X$161,17,FALSE)</f>
        <v>0</v>
      </c>
      <c r="L827" s="202">
        <f>VLOOKUP(B827,[4]Weeks!$A$44:$X$81,17,FALSE)-VLOOKUP(B827,[4]Weeks!$A$85:$X$121,17,FALSE)</f>
        <v>0</v>
      </c>
      <c r="M827" s="202">
        <f>VLOOKUP(B827,[4]Weeks!$A$3:$X$39,17,FALSE)-VLOOKUP(B827,[4]Weeks!$A$44:$X$81,17,FALSE)</f>
        <v>0</v>
      </c>
      <c r="N827" s="11" t="str">
        <f>IF(C827="*","*",IF(C827&gt;0,M827/C827*100,"-"))</f>
        <v>-</v>
      </c>
      <c r="O827" s="202">
        <f t="shared" si="168"/>
        <v>0</v>
      </c>
      <c r="P827" s="41">
        <f>IF(ISNUMBER(VLOOKUP(B827,[4]CLOSURES!B:BI,16,FALSE)),TEXT(VLOOKUP(B827,[4]CLOSURES!B:BI,16,FALSE),"ddmmm"),IF(F827&lt;=0,0,IF(I827&lt;=0,0,IF(AND(F827&gt;0,O827&lt;=0),"&gt;52",IF(I827/O827&gt;52,"&gt;52", MAX(0,I827/O827-2))))))</f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f>SUM(C818:C827)</f>
        <v>0</v>
      </c>
      <c r="D828" s="200">
        <f>SUM(D818:D827)</f>
        <v>0</v>
      </c>
      <c r="E828" s="200">
        <f t="shared" si="169"/>
        <v>0</v>
      </c>
      <c r="F828" s="201">
        <f>SUM(F818:F827)</f>
        <v>0</v>
      </c>
      <c r="G828" s="202">
        <f>SUM(G818:G827)</f>
        <v>0</v>
      </c>
      <c r="H828" s="151">
        <f t="shared" si="170"/>
        <v>0</v>
      </c>
      <c r="I828" s="201">
        <f t="shared" si="171"/>
        <v>0</v>
      </c>
      <c r="J828" s="202">
        <f t="shared" ref="J828:O828" si="172">SUM(J818:J827)</f>
        <v>0</v>
      </c>
      <c r="K828" s="202">
        <f t="shared" si="172"/>
        <v>0</v>
      </c>
      <c r="L828" s="202">
        <f t="shared" si="172"/>
        <v>0</v>
      </c>
      <c r="M828" s="202">
        <f t="shared" si="172"/>
        <v>0</v>
      </c>
      <c r="N828" s="11">
        <f t="shared" si="172"/>
        <v>0</v>
      </c>
      <c r="O828" s="202">
        <f t="shared" si="172"/>
        <v>0</v>
      </c>
      <c r="P828" s="41">
        <f>IF(ISNUMBER(VLOOKUP(B828,[4]CLOSURES!B:BI,16,FALSE)),TEXT(VLOOKUP(B828,[4]CLOSURES!B:BI,16,FALSE),"ddmmm"),IF(F828&lt;=0,0,IF(I828&lt;=0,0,IF(AND(F828&gt;0,O828&lt;=0),"&gt;52",IF(I828/O828&gt;52,"&gt;52", MAX(0,I828/O828-2))))))</f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f>'[5]Maj Pel Combined'!$T$5</f>
        <v>0</v>
      </c>
      <c r="D830" s="200">
        <f>F830-VLOOKUP(B830,[4]quotas!$B$85:$AF$120,29,FALSE)</f>
        <v>0</v>
      </c>
      <c r="E830" s="200">
        <f>F830-C830</f>
        <v>0</v>
      </c>
      <c r="F830" s="201">
        <f>VLOOKUP(B830,[4]quotas!$B$46:$AF$84,29,FALSE)</f>
        <v>0</v>
      </c>
      <c r="G830" s="202">
        <f>VLOOKUP(B830,[4]Cumulative!$A$56:$AZ$91,29,FALSE)</f>
        <v>0</v>
      </c>
      <c r="H830" s="151">
        <f>IF(AND(F830=0,G830&gt;0),"n/a",IF(F830=0,0,100*G830/F830))</f>
        <v>0</v>
      </c>
      <c r="I830" s="201">
        <f>IF(F830="*","*",F830-G830)</f>
        <v>0</v>
      </c>
      <c r="J830" s="202">
        <f>VLOOKUP(B830,[4]Weeks!$A$125:$X$161,17,FALSE)-VLOOKUP(B830,[4]Weeks!$A$165:$X$200,17,FALSE)</f>
        <v>0</v>
      </c>
      <c r="K830" s="202">
        <f>VLOOKUP(B830,[4]Weeks!$A$85:$X$121,17,FALSE)-VLOOKUP(B830,[4]Weeks!$A$125:$X$161,17,FALSE)</f>
        <v>0</v>
      </c>
      <c r="L830" s="202">
        <f>VLOOKUP(B830,[4]Weeks!$A$44:$X$81,17,FALSE)-VLOOKUP(B830,[4]Weeks!$A$85:$X$121,17,FALSE)</f>
        <v>0</v>
      </c>
      <c r="M830" s="202">
        <f>VLOOKUP(B830,[4]Weeks!$A$3:$X$39,17,FALSE)-VLOOKUP(B830,[4]Weeks!$A$44:$X$81,17,FALSE)</f>
        <v>0</v>
      </c>
      <c r="N830" s="11" t="str">
        <f>IF(C830="*","*",IF(C830&gt;0,M830/C830*100,"-"))</f>
        <v>-</v>
      </c>
      <c r="O830" s="202">
        <f t="shared" ref="O830:O838" si="173">IF(C830="*","*",SUM(J830:M830)/4)</f>
        <v>0</v>
      </c>
      <c r="P830" s="41">
        <f>IF(ISNUMBER(VLOOKUP(B830,[4]CLOSURES!B:BI,16,FALSE)),TEXT(VLOOKUP(B830,[4]CLOSURES!B:BI,16,FALSE),"ddmmm"),IF(F830&lt;=0,0,IF(I830&lt;=0,0,IF(AND(F830&gt;0,O830&lt;=0),"&gt;52",IF(I830/O830&gt;52,"&gt;52", MAX(0,I830/O830-2))))))</f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f>'[5]Maj Pel Combined'!$T$7</f>
        <v>0</v>
      </c>
      <c r="D831" s="200">
        <f>F831-VLOOKUP(B831,[4]quotas!$B$85:$AF$120,29,FALSE)</f>
        <v>0</v>
      </c>
      <c r="E831" s="200">
        <f>F831-C831</f>
        <v>0</v>
      </c>
      <c r="F831" s="201">
        <f>VLOOKUP(B831,[4]quotas!$B$46:$AF$84,29,FALSE)</f>
        <v>0</v>
      </c>
      <c r="G831" s="202">
        <f>VLOOKUP(B831,[4]Cumulative!$A$56:$AZ$91,29,FALSE)</f>
        <v>0</v>
      </c>
      <c r="H831" s="151">
        <f>IF(AND(F831=0,G831&gt;0),"n/a",IF(F831=0,0,100*G831/F831))</f>
        <v>0</v>
      </c>
      <c r="I831" s="201">
        <f>IF(F831="*","*",F831-G831)</f>
        <v>0</v>
      </c>
      <c r="J831" s="202">
        <f>VLOOKUP(B831,[4]Weeks!$A$125:$X$161,17,FALSE)-VLOOKUP(B831,[4]Weeks!$A$165:$X$200,17,FALSE)</f>
        <v>0</v>
      </c>
      <c r="K831" s="202">
        <f>VLOOKUP(B831,[4]Weeks!$A$85:$X$121,17,FALSE)-VLOOKUP(B831,[4]Weeks!$A$125:$X$161,17,FALSE)</f>
        <v>0</v>
      </c>
      <c r="L831" s="202">
        <f>VLOOKUP(B831,[4]Weeks!$A$44:$X$81,17,FALSE)-VLOOKUP(B831,[4]Weeks!$A$85:$X$121,17,FALSE)</f>
        <v>0</v>
      </c>
      <c r="M831" s="202">
        <f>VLOOKUP(B831,[4]Weeks!$A$3:$X$39,17,FALSE)-VLOOKUP(B831,[4]Weeks!$A$44:$X$81,17,FALSE)</f>
        <v>0</v>
      </c>
      <c r="N831" s="11" t="str">
        <f>IF(C831="*","*",IF(C831&gt;0,M831/C831*100,"-"))</f>
        <v>-</v>
      </c>
      <c r="O831" s="202">
        <f>IF(C831="*","*",SUM(J831:M831)/4)</f>
        <v>0</v>
      </c>
      <c r="P831" s="41">
        <f>IF(ISNUMBER(VLOOKUP(B831,[4]CLOSURES!B:BI,16,FALSE)),TEXT(VLOOKUP(B831,[4]CLOSURES!B:BI,16,FALSE),"ddmmm"),IF(F831&lt;=0,0,IF(I831&lt;=0,0,IF(AND(F831&gt;0,O831&lt;=0),"&gt;52",IF(I831/O831&gt;52,"&gt;52", MAX(0,I831/O831-2))))))</f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f>'[5]Maj Pel Combined'!$T$8</f>
        <v>0</v>
      </c>
      <c r="D832" s="200">
        <f>F832-VLOOKUP(B832,[4]quotas!$B$85:$AF$120,29,FALSE)</f>
        <v>0</v>
      </c>
      <c r="E832" s="200">
        <f>F832-C832</f>
        <v>0</v>
      </c>
      <c r="F832" s="201">
        <f>VLOOKUP(B832,[4]quotas!$B$46:$AF$84,29,FALSE)</f>
        <v>0</v>
      </c>
      <c r="G832" s="202">
        <f>VLOOKUP(B832,[4]Cumulative!$A$56:$AZ$91,29,FALSE)</f>
        <v>0</v>
      </c>
      <c r="H832" s="151">
        <f>IF(AND(F832=0,G832&gt;0),"n/a",IF(F832=0,0,100*G832/F832))</f>
        <v>0</v>
      </c>
      <c r="I832" s="201">
        <f>IF(F832="*","*",F832-G832)</f>
        <v>0</v>
      </c>
      <c r="J832" s="202">
        <f>VLOOKUP(B832,[4]Weeks!$A$125:$X$161,17,FALSE)-VLOOKUP(B832,[4]Weeks!$A$165:$X$200,17,FALSE)</f>
        <v>0</v>
      </c>
      <c r="K832" s="202">
        <f>VLOOKUP(B832,[4]Weeks!$A$85:$X$121,17,FALSE)-VLOOKUP(B832,[4]Weeks!$A$125:$X$161,17,FALSE)</f>
        <v>0</v>
      </c>
      <c r="L832" s="202">
        <f>VLOOKUP(B832,[4]Weeks!$A$44:$X$81,17,FALSE)-VLOOKUP(B832,[4]Weeks!$A$85:$X$121,17,FALSE)</f>
        <v>0</v>
      </c>
      <c r="M832" s="202">
        <f>VLOOKUP(B832,[4]Weeks!$A$3:$X$39,17,FALSE)-VLOOKUP(B832,[4]Weeks!$A$44:$X$81,17,FALSE)</f>
        <v>0</v>
      </c>
      <c r="N832" s="11" t="str">
        <f>IF(C832="*","*",IF(C832&gt;0,M832/C832*100,"-"))</f>
        <v>-</v>
      </c>
      <c r="O832" s="202">
        <f>IF(C832="*","*",SUM(J832:M832)/4)</f>
        <v>0</v>
      </c>
      <c r="P832" s="41" t="str">
        <f>IF(ISNUMBER(VLOOKUP(B832,[4]CLOSURES!B:BI,16,FALSE)),TEXT(VLOOKUP(B832,[4]CLOSURES!B:BI,16,FALSE),"ddmmm"),IF(F832&lt;=0,0,IF(I832&lt;=0,0,IF(AND(F832&gt;0,O832&lt;=0),"&gt;52",IF(I832/O832&gt;52,"&gt;52", MAX(0,I832/O832-2))))))</f>
        <v>01Jan</v>
      </c>
      <c r="Q832" s="158"/>
      <c r="R832" s="158"/>
    </row>
    <row r="833" spans="2:18" ht="10.75" hidden="1" customHeight="1" x14ac:dyDescent="0.25">
      <c r="B833" s="40" t="s">
        <v>76</v>
      </c>
      <c r="C833" s="130">
        <f>'[5]Maj Pel Combined'!$T$9</f>
        <v>0</v>
      </c>
      <c r="D833" s="200">
        <f>F833-VLOOKUP(B833,[4]quotas!$B$85:$AF$120,29,FALSE)</f>
        <v>0</v>
      </c>
      <c r="E833" s="200">
        <f t="shared" ref="E833:E839" si="174">F833-C833</f>
        <v>0</v>
      </c>
      <c r="F833" s="201">
        <f>VLOOKUP(B833,[4]quotas!$B$46:$AF$84,29,FALSE)</f>
        <v>0</v>
      </c>
      <c r="G833" s="202">
        <f>VLOOKUP(B833,[4]Cumulative!$A$56:$AZ$91,29,FALSE)</f>
        <v>0</v>
      </c>
      <c r="H833" s="151">
        <f t="shared" ref="H833:H838" si="175">IF(AND(F833=0,G833&gt;0),"n/a",IF(F833=0,0,100*G833/F833))</f>
        <v>0</v>
      </c>
      <c r="I833" s="201">
        <f t="shared" ref="I833:I839" si="176">IF(F833="*","*",F833-G833)</f>
        <v>0</v>
      </c>
      <c r="J833" s="202">
        <f>VLOOKUP(B833,[4]Weeks!$A$125:$X$161,17,FALSE)-VLOOKUP(B833,[4]Weeks!$A$165:$X$200,17,FALSE)</f>
        <v>0</v>
      </c>
      <c r="K833" s="202">
        <f>VLOOKUP(B833,[4]Weeks!$A$85:$X$121,17,FALSE)-VLOOKUP(B833,[4]Weeks!$A$125:$X$161,17,FALSE)</f>
        <v>0</v>
      </c>
      <c r="L833" s="202">
        <f>VLOOKUP(B833,[4]Weeks!$A$44:$X$81,17,FALSE)-VLOOKUP(B833,[4]Weeks!$A$85:$X$121,17,FALSE)</f>
        <v>0</v>
      </c>
      <c r="M833" s="202">
        <f>VLOOKUP(B833,[4]Weeks!$A$3:$X$39,17,FALSE)-VLOOKUP(B833,[4]Weeks!$A$44:$X$81,17,FALSE)</f>
        <v>0</v>
      </c>
      <c r="N833" s="11" t="str">
        <f t="shared" ref="N833:N838" si="177">IF(C833="*","*",IF(C833&gt;0,M833/C833*100,"-"))</f>
        <v>-</v>
      </c>
      <c r="O833" s="202">
        <f t="shared" si="173"/>
        <v>0</v>
      </c>
      <c r="P833" s="41" t="str">
        <f>IF(ISNUMBER(VLOOKUP(B833,[4]CLOSURES!B:BI,16,FALSE)),TEXT(VLOOKUP(B833,[4]CLOSURES!B:BI,16,FALSE),"ddmmm"),IF(F833&lt;=0,0,IF(I833&lt;=0,0,IF(AND(F833&gt;0,O833&lt;=0),"&gt;52",IF(I833/O833&gt;52,"&gt;52", MAX(0,I833/O833-2))))))</f>
        <v>01Jan</v>
      </c>
      <c r="Q833" s="158"/>
      <c r="R833" s="158"/>
    </row>
    <row r="834" spans="2:18" ht="10.75" hidden="1" customHeight="1" x14ac:dyDescent="0.25">
      <c r="B834" s="40" t="s">
        <v>77</v>
      </c>
      <c r="C834" s="130">
        <f>'[5]Maj Pel Combined'!$T$27</f>
        <v>0</v>
      </c>
      <c r="D834" s="200">
        <f>F834-VLOOKUP(B834,[4]quotas!$B$85:$AF$120,29,FALSE)</f>
        <v>0</v>
      </c>
      <c r="E834" s="200">
        <f t="shared" si="174"/>
        <v>0</v>
      </c>
      <c r="F834" s="201">
        <f>VLOOKUP(B834,[4]quotas!$B$46:$AF$84,29,FALSE)</f>
        <v>0</v>
      </c>
      <c r="G834" s="202">
        <f>VLOOKUP(B834,[4]Cumulative!$A$56:$AZ$91,29,FALSE)</f>
        <v>0</v>
      </c>
      <c r="H834" s="151">
        <f t="shared" si="175"/>
        <v>0</v>
      </c>
      <c r="I834" s="201">
        <f t="shared" si="176"/>
        <v>0</v>
      </c>
      <c r="J834" s="202">
        <f>VLOOKUP(B834,[4]Weeks!$A$125:$X$161,17,FALSE)-VLOOKUP(B834,[4]Weeks!$A$165:$X$200,17,FALSE)</f>
        <v>0</v>
      </c>
      <c r="K834" s="202">
        <f>VLOOKUP(B834,[4]Weeks!$A$85:$X$121,17,FALSE)-VLOOKUP(B834,[4]Weeks!$A$125:$X$161,17,FALSE)</f>
        <v>0</v>
      </c>
      <c r="L834" s="202">
        <f>VLOOKUP(B834,[4]Weeks!$A$44:$X$81,17,FALSE)-VLOOKUP(B834,[4]Weeks!$A$85:$X$121,17,FALSE)</f>
        <v>0</v>
      </c>
      <c r="M834" s="202">
        <f>VLOOKUP(B834,[4]Weeks!$A$3:$X$39,17,FALSE)-VLOOKUP(B834,[4]Weeks!$A$44:$X$81,17,FALSE)</f>
        <v>0</v>
      </c>
      <c r="N834" s="11" t="str">
        <f t="shared" si="177"/>
        <v>-</v>
      </c>
      <c r="O834" s="202">
        <f t="shared" si="173"/>
        <v>0</v>
      </c>
      <c r="P834" s="41">
        <f>IF(ISNUMBER(VLOOKUP(B834,[4]CLOSURES!B:BI,16,FALSE)),TEXT(VLOOKUP(B834,[4]CLOSURES!B:BI,16,FALSE),"ddmmm"),IF(F834&lt;=0,0,IF(I834&lt;=0,0,IF(AND(F834&gt;0,O834&lt;=0),"&gt;52",IF(I834/O834&gt;52,"&gt;52", MAX(0,I834/O834-2))))))</f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f>'[5]Maj Pel Combined'!$T$26</f>
        <v>0</v>
      </c>
      <c r="D835" s="200">
        <f>F835-VLOOKUP(B835,[4]quotas!$B$85:$AF$120,29,FALSE)</f>
        <v>0</v>
      </c>
      <c r="E835" s="200">
        <f t="shared" si="174"/>
        <v>0</v>
      </c>
      <c r="F835" s="201">
        <f>VLOOKUP(B835,[4]quotas!$B$46:$AF$84,29,FALSE)</f>
        <v>0</v>
      </c>
      <c r="G835" s="202">
        <f>VLOOKUP(B835,[4]Cumulative!$A$56:$AZ$91,29,FALSE)</f>
        <v>0</v>
      </c>
      <c r="H835" s="151">
        <f t="shared" si="175"/>
        <v>0</v>
      </c>
      <c r="I835" s="201">
        <f t="shared" si="176"/>
        <v>0</v>
      </c>
      <c r="J835" s="202">
        <f>VLOOKUP(B835,[4]Weeks!$A$125:$X$161,17,FALSE)-VLOOKUP(B835,[4]Weeks!$A$165:$X$200,17,FALSE)</f>
        <v>0</v>
      </c>
      <c r="K835" s="202">
        <f>VLOOKUP(B835,[4]Weeks!$A$85:$X$121,17,FALSE)-VLOOKUP(B835,[4]Weeks!$A$125:$X$161,17,FALSE)</f>
        <v>0</v>
      </c>
      <c r="L835" s="202">
        <f>VLOOKUP(B835,[4]Weeks!$A$44:$X$81,17,FALSE)-VLOOKUP(B835,[4]Weeks!$A$85:$X$121,17,FALSE)</f>
        <v>0</v>
      </c>
      <c r="M835" s="202">
        <f>VLOOKUP(B835,[4]Weeks!$A$3:$X$39,17,FALSE)-VLOOKUP(B835,[4]Weeks!$A$44:$X$81,17,FALSE)</f>
        <v>0</v>
      </c>
      <c r="N835" s="11" t="str">
        <f t="shared" si="177"/>
        <v>-</v>
      </c>
      <c r="O835" s="202">
        <f t="shared" si="173"/>
        <v>0</v>
      </c>
      <c r="P835" s="41">
        <f>IF(ISNUMBER(VLOOKUP(B835,[4]CLOSURES!B:BI,16,FALSE)),TEXT(VLOOKUP(B835,[4]CLOSURES!B:BI,16,FALSE),"ddmmm"),IF(F835&lt;=0,0,IF(I835&lt;=0,0,IF(AND(F835&gt;0,O835&lt;=0),"&gt;52",IF(I835/O835&gt;52,"&gt;52", MAX(0,I835/O835-2))))))</f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f>'[5]Maj Pel Combined'!$T$6</f>
        <v>0</v>
      </c>
      <c r="D836" s="200">
        <f>F836-VLOOKUP(B836,[4]quotas!$B$85:$AF$120,29,FALSE)</f>
        <v>0</v>
      </c>
      <c r="E836" s="200">
        <f t="shared" si="174"/>
        <v>0</v>
      </c>
      <c r="F836" s="201">
        <f>VLOOKUP(B836,[4]quotas!$B$46:$AF$84,29,FALSE)</f>
        <v>0</v>
      </c>
      <c r="G836" s="202">
        <f>VLOOKUP(B836,[4]Cumulative!$A$56:$AZ$91,29,FALSE)</f>
        <v>0</v>
      </c>
      <c r="H836" s="151">
        <f t="shared" si="175"/>
        <v>0</v>
      </c>
      <c r="I836" s="201">
        <f t="shared" si="176"/>
        <v>0</v>
      </c>
      <c r="J836" s="202">
        <f>VLOOKUP(B836,[4]Weeks!$A$125:$X$161,17,FALSE)-VLOOKUP(B836,[4]Weeks!$A$165:$X$200,17,FALSE)</f>
        <v>0</v>
      </c>
      <c r="K836" s="202">
        <f>VLOOKUP(B836,[4]Weeks!$A$85:$X$121,17,FALSE)-VLOOKUP(B836,[4]Weeks!$A$125:$X$161,17,FALSE)</f>
        <v>0</v>
      </c>
      <c r="L836" s="202">
        <f>VLOOKUP(B836,[4]Weeks!$A$44:$X$81,17,FALSE)-VLOOKUP(B836,[4]Weeks!$A$85:$X$121,17,FALSE)</f>
        <v>0</v>
      </c>
      <c r="M836" s="202">
        <f>VLOOKUP(B836,[4]Weeks!$A$3:$X$39,17,FALSE)-VLOOKUP(B836,[4]Weeks!$A$44:$X$81,17,FALSE)</f>
        <v>0</v>
      </c>
      <c r="N836" s="11" t="str">
        <f t="shared" si="177"/>
        <v>-</v>
      </c>
      <c r="O836" s="202">
        <f t="shared" si="173"/>
        <v>0</v>
      </c>
      <c r="P836" s="41">
        <f>IF(ISNUMBER(VLOOKUP(B836,[4]CLOSURES!B:BI,16,FALSE)),TEXT(VLOOKUP(B836,[4]CLOSURES!B:BI,16,FALSE),"ddmmm"),IF(F836&lt;=0,0,IF(I836&lt;=0,0,IF(AND(F836&gt;0,O836&lt;=0),"&gt;52",IF(I836/O836&gt;52,"&gt;52", MAX(0,I836/O836-2))))))</f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f>'[5]Maj Pel Combined'!$T$14</f>
        <v>0</v>
      </c>
      <c r="D837" s="200">
        <f>F837-VLOOKUP(B837,[4]quotas!$B$85:$AF$120,29,FALSE)</f>
        <v>0</v>
      </c>
      <c r="E837" s="200">
        <f t="shared" si="174"/>
        <v>0</v>
      </c>
      <c r="F837" s="201">
        <f>VLOOKUP(B837,[4]quotas!$B$46:$AF$84,29,FALSE)</f>
        <v>0</v>
      </c>
      <c r="G837" s="202">
        <f>VLOOKUP(B837,[4]Cumulative!$A$56:$AZ$91,29,FALSE)</f>
        <v>0</v>
      </c>
      <c r="H837" s="151">
        <f t="shared" si="175"/>
        <v>0</v>
      </c>
      <c r="I837" s="201">
        <f t="shared" si="176"/>
        <v>0</v>
      </c>
      <c r="J837" s="202">
        <f>VLOOKUP(B837,[4]Weeks!$A$125:$X$161,17,FALSE)-VLOOKUP(B837,[4]Weeks!$A$165:$X$200,17,FALSE)</f>
        <v>0</v>
      </c>
      <c r="K837" s="202">
        <f>VLOOKUP(B837,[4]Weeks!$A$85:$X$121,17,FALSE)-VLOOKUP(B837,[4]Weeks!$A$125:$X$161,17,FALSE)</f>
        <v>0</v>
      </c>
      <c r="L837" s="202">
        <f>VLOOKUP(B837,[4]Weeks!$A$44:$X$81,17,FALSE)-VLOOKUP(B837,[4]Weeks!$A$85:$X$121,17,FALSE)</f>
        <v>0</v>
      </c>
      <c r="M837" s="202">
        <f>VLOOKUP(B837,[4]Weeks!$A$3:$X$39,17,FALSE)-VLOOKUP(B837,[4]Weeks!$A$44:$X$81,17,FALSE)</f>
        <v>0</v>
      </c>
      <c r="N837" s="11" t="str">
        <f t="shared" si="177"/>
        <v>-</v>
      </c>
      <c r="O837" s="202">
        <f t="shared" si="173"/>
        <v>0</v>
      </c>
      <c r="P837" s="41" t="str">
        <f>IF(ISNUMBER(VLOOKUP(B837,[4]CLOSURES!B:BI,16,FALSE)),TEXT(VLOOKUP(B837,[4]CLOSURES!B:BI,16,FALSE),"ddmmm"),IF(F837&lt;=0,0,IF(I837&lt;=0,0,IF(AND(F837&gt;0,O837&lt;=0),"&gt;52",IF(I837/O837&gt;52,"&gt;52", MAX(0,I837/O837-2))))))</f>
        <v>01Jan</v>
      </c>
      <c r="Q837" s="158"/>
      <c r="R837" s="158"/>
    </row>
    <row r="838" spans="2:18" ht="10.75" hidden="1" customHeight="1" x14ac:dyDescent="0.25">
      <c r="B838" s="40" t="s">
        <v>81</v>
      </c>
      <c r="C838" s="130">
        <f>'[5]Maj Pel Combined'!$T$13</f>
        <v>0</v>
      </c>
      <c r="D838" s="200">
        <f>F838-VLOOKUP(B838,[4]quotas!$B$85:$AF$120,29,FALSE)</f>
        <v>0</v>
      </c>
      <c r="E838" s="200">
        <f t="shared" si="174"/>
        <v>0</v>
      </c>
      <c r="F838" s="201">
        <f>VLOOKUP(B838,[4]quotas!$B$46:$AF$84,29,FALSE)</f>
        <v>0</v>
      </c>
      <c r="G838" s="202">
        <f>VLOOKUP(B838,[4]Cumulative!$A$56:$AZ$91,29,FALSE)</f>
        <v>0</v>
      </c>
      <c r="H838" s="151">
        <f t="shared" si="175"/>
        <v>0</v>
      </c>
      <c r="I838" s="201">
        <f t="shared" si="176"/>
        <v>0</v>
      </c>
      <c r="J838" s="202">
        <f>VLOOKUP(B838,[4]Weeks!$A$125:$X$161,17,FALSE)-VLOOKUP(B838,[4]Weeks!$A$165:$X$200,17,FALSE)</f>
        <v>0</v>
      </c>
      <c r="K838" s="202">
        <f>VLOOKUP(B838,[4]Weeks!$A$85:$X$121,17,FALSE)-VLOOKUP(B838,[4]Weeks!$A$125:$X$161,17,FALSE)</f>
        <v>0</v>
      </c>
      <c r="L838" s="202">
        <f>VLOOKUP(B838,[4]Weeks!$A$44:$X$81,17,FALSE)-VLOOKUP(B838,[4]Weeks!$A$85:$X$121,17,FALSE)</f>
        <v>0</v>
      </c>
      <c r="M838" s="202">
        <f>VLOOKUP(B838,[4]Weeks!$A$3:$X$39,17,FALSE)-VLOOKUP(B838,[4]Weeks!$A$44:$X$81,17,FALSE)</f>
        <v>0</v>
      </c>
      <c r="N838" s="11" t="str">
        <f t="shared" si="177"/>
        <v>-</v>
      </c>
      <c r="O838" s="202">
        <f t="shared" si="173"/>
        <v>0</v>
      </c>
      <c r="P838" s="41" t="str">
        <f>IF(ISNUMBER(VLOOKUP(B838,[4]CLOSURES!B:BI,16,FALSE)),TEXT(VLOOKUP(B838,[4]CLOSURES!B:BI,16,FALSE),"ddmmm"),IF(F838&lt;=0,0,IF(I838&lt;=0,0,IF(AND(F838&gt;0,O838&lt;=0),"&gt;52",IF(I838/O838&gt;52,"&gt;52", MAX(0,I838/O838-2))))))</f>
        <v>01Jan</v>
      </c>
      <c r="Q838" s="158"/>
      <c r="R838" s="158"/>
    </row>
    <row r="839" spans="2:18" ht="10.75" hidden="1" customHeight="1" x14ac:dyDescent="0.25">
      <c r="B839" s="152" t="s">
        <v>82</v>
      </c>
      <c r="C839" s="130">
        <f>'[5]Maj Pel Combined'!$T$11</f>
        <v>0</v>
      </c>
      <c r="D839" s="200">
        <f>F839-VLOOKUP(B839,[4]quotas!$B$85:$AF$120,29,FALSE)</f>
        <v>0</v>
      </c>
      <c r="E839" s="200">
        <f t="shared" si="174"/>
        <v>0</v>
      </c>
      <c r="F839" s="201">
        <f>VLOOKUP(B839,[4]quotas!$B$46:$AF$84,29,FALSE)</f>
        <v>0</v>
      </c>
      <c r="G839" s="202">
        <f>VLOOKUP(B839,[4]Cumulative!$A$56:$AZ$91,29,FALSE)</f>
        <v>0</v>
      </c>
      <c r="H839" s="151">
        <f>IF(AND(F839=0,G839&gt;0),"n/a",IF(F839=0,0,100*G839/F839))</f>
        <v>0</v>
      </c>
      <c r="I839" s="201">
        <f t="shared" si="176"/>
        <v>0</v>
      </c>
      <c r="J839" s="202">
        <f>VLOOKUP(B839,[4]Weeks!$A$125:$X$161,17,FALSE)-VLOOKUP(B839,[4]Weeks!$A$165:$X$200,17,FALSE)</f>
        <v>0</v>
      </c>
      <c r="K839" s="202">
        <f>VLOOKUP(B839,[4]Weeks!$A$85:$X$121,17,FALSE)-VLOOKUP(B839,[4]Weeks!$A$125:$X$161,17,FALSE)</f>
        <v>0</v>
      </c>
      <c r="L839" s="202">
        <f>VLOOKUP(B839,[4]Weeks!$A$44:$X$81,17,FALSE)-VLOOKUP(B839,[4]Weeks!$A$85:$X$121,17,FALSE)</f>
        <v>0</v>
      </c>
      <c r="M839" s="202">
        <f>VLOOKUP(B839,[4]Weeks!$A$3:$X$39,17,FALSE)-VLOOKUP(B839,[4]Weeks!$A$44:$X$81,17,FALSE)</f>
        <v>0</v>
      </c>
      <c r="N839" s="11" t="str">
        <f>IF(C839="*","*",IF(C839&gt;0,M839/C839*100,"-"))</f>
        <v>-</v>
      </c>
      <c r="O839" s="202">
        <f>IF(C839="*","*",SUM(J839:M839)/4)</f>
        <v>0</v>
      </c>
      <c r="P839" s="41" t="str">
        <f>IF(ISNUMBER(VLOOKUP(B839,[4]CLOSURES!B:BI,16,FALSE)),TEXT(VLOOKUP(B839,[4]CLOSURES!B:BI,16,FALSE),"ddmmm"),IF(F839&lt;=0,0,IF(I839&lt;=0,0,IF(AND(F839&gt;0,O839&lt;=0),"&gt;52",IF(I839/O839&gt;52,"&gt;52", MAX(0,I839/O839-2))))))</f>
        <v>01Jan</v>
      </c>
      <c r="Q839" s="158"/>
      <c r="R839" s="158"/>
    </row>
    <row r="840" spans="2:18" ht="10.75" hidden="1" customHeight="1" x14ac:dyDescent="0.25">
      <c r="B840" s="152" t="s">
        <v>111</v>
      </c>
      <c r="C840" s="130">
        <f>'[5]Maj Pel Combined'!$T$15</f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f>IF(C840="*","*",SUM(J840:M840)/4)</f>
        <v>0</v>
      </c>
      <c r="P840" s="41">
        <f>IF(ISNUMBER(VLOOKUP(B840,[4]CLOSURES!B:BI,16,FALSE)),TEXT(VLOOKUP(B840,[4]CLOSURES!B:BI,16,FALSE),"ddmmm"),IF(F840&lt;=0,0,IF(I840&lt;=0,0,IF(AND(F840&gt;0,O840&lt;=0),"&gt;52",IF(I840/O840&gt;52,"&gt;52", MAX(0,I840/O840-2))))))</f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f>'[5]Maj Pel Combined'!$T$10</f>
        <v>0</v>
      </c>
      <c r="D841" s="200">
        <f>F841-VLOOKUP(B841,[4]quotas!$B$85:$AF$120,29,FALSE)</f>
        <v>0</v>
      </c>
      <c r="E841" s="200">
        <f>F841-C841</f>
        <v>0</v>
      </c>
      <c r="F841" s="201">
        <f>VLOOKUP(B841,[4]quotas!$B$46:$AF$84,29,FALSE)</f>
        <v>0</v>
      </c>
      <c r="G841" s="202">
        <f>VLOOKUP(B841,[4]Cumulative!$A$56:$AZ$91,29,FALSE)</f>
        <v>0</v>
      </c>
      <c r="H841" s="151">
        <f>IF(AND(F841=0,G841&gt;0),"n/a",IF(F841=0,0,100*G841/F841))</f>
        <v>0</v>
      </c>
      <c r="I841" s="201">
        <f>IF(F841="*","*",F841-G841)</f>
        <v>0</v>
      </c>
      <c r="J841" s="202">
        <f>VLOOKUP(B841,[4]Weeks!$A$125:$X$161,17,FALSE)-VLOOKUP(B841,[4]Weeks!$A$165:$X$200,17,FALSE)</f>
        <v>0</v>
      </c>
      <c r="K841" s="202">
        <f>VLOOKUP(B841,[4]Weeks!$A$85:$X$121,17,FALSE)-VLOOKUP(B841,[4]Weeks!$A$125:$X$161,17,FALSE)</f>
        <v>0</v>
      </c>
      <c r="L841" s="202">
        <f>VLOOKUP(B841,[4]Weeks!$A$44:$X$81,17,FALSE)-VLOOKUP(B841,[4]Weeks!$A$85:$X$121,17,FALSE)</f>
        <v>0</v>
      </c>
      <c r="M841" s="202">
        <f>VLOOKUP(B841,[4]Weeks!$A$3:$X$39,17,FALSE)-VLOOKUP(B841,[4]Weeks!$A$44:$X$81,17,FALSE)</f>
        <v>0</v>
      </c>
      <c r="N841" s="11" t="str">
        <f>IF(C841="*","*",IF(C841&gt;0,M841/C841*100,"-"))</f>
        <v>-</v>
      </c>
      <c r="O841" s="202">
        <f>IF(C841="*","*",SUM(J841:M841)/4)</f>
        <v>0</v>
      </c>
      <c r="P841" s="41">
        <f>IF(ISNUMBER(VLOOKUP(B841,[4]CLOSURES!B:BI,16,FALSE)),TEXT(VLOOKUP(B841,[4]CLOSURES!B:BI,16,FALSE),"ddmmm"),IF(F841&lt;=0,0,IF(I841&lt;=0,0,IF(AND(F841&gt;0,O841&lt;=0),"&gt;52",IF(I841/O841&gt;52,"&gt;52", MAX(0,I841/O841-2))))))</f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f>'[5]Maj Pel Combined'!$T$12</f>
        <v>0</v>
      </c>
      <c r="D842" s="200">
        <f>F842-VLOOKUP(B842,[4]quotas!$B$85:$AF$120,29,FALSE)</f>
        <v>0</v>
      </c>
      <c r="E842" s="200">
        <f>F842-C842</f>
        <v>0</v>
      </c>
      <c r="F842" s="201">
        <f>VLOOKUP(B842,[4]quotas!$B$46:$AF$84,29,FALSE)</f>
        <v>0</v>
      </c>
      <c r="G842" s="202">
        <f>VLOOKUP(B842,[4]Cumulative!$A$56:$AZ$91,29,FALSE)</f>
        <v>0</v>
      </c>
      <c r="H842" s="151">
        <f>IF(AND(F842=0,G842&gt;0),"n/a",IF(F842=0,0,100*G842/F842))</f>
        <v>0</v>
      </c>
      <c r="I842" s="201">
        <f>IF(F842="*","*",F842-G842)</f>
        <v>0</v>
      </c>
      <c r="J842" s="202">
        <f>VLOOKUP(B842,[4]Weeks!$A$125:$X$161,17,FALSE)-VLOOKUP(B842,[4]Weeks!$A$165:$X$200,17,FALSE)</f>
        <v>0</v>
      </c>
      <c r="K842" s="202">
        <f>VLOOKUP(B842,[4]Weeks!$A$85:$X$121,17,FALSE)-VLOOKUP(B842,[4]Weeks!$A$125:$X$161,17,FALSE)</f>
        <v>0</v>
      </c>
      <c r="L842" s="202">
        <f>VLOOKUP(B842,[4]Weeks!$A$44:$X$81,17,FALSE)-VLOOKUP(B842,[4]Weeks!$A$85:$X$121,17,FALSE)</f>
        <v>0</v>
      </c>
      <c r="M842" s="202">
        <f>VLOOKUP(B842,[4]Weeks!$A$3:$X$39,17,FALSE)-VLOOKUP(B842,[4]Weeks!$A$44:$X$81,17,FALSE)</f>
        <v>0</v>
      </c>
      <c r="N842" s="11" t="str">
        <f>IF(C842="*","*",IF(C842&gt;0,M842/C842*100,"-"))</f>
        <v>-</v>
      </c>
      <c r="O842" s="202">
        <f>IF(C842="*","*",SUM(J842:M842)/4)</f>
        <v>0</v>
      </c>
      <c r="P842" s="41" t="str">
        <f>IF(ISNUMBER(VLOOKUP(B842,[4]CLOSURES!B:BI,16,FALSE)),TEXT(VLOOKUP(B842,[4]CLOSURES!B:BI,16,FALSE),"ddmmm"),IF(F842&lt;=0,0,IF(I842&lt;=0,0,IF(AND(F842&gt;0,O842&lt;=0),"&gt;52",IF(I842/O842&gt;52,"&gt;52", MAX(0,I842/O842-2))))))</f>
        <v>01Jan</v>
      </c>
      <c r="Q842" s="158"/>
      <c r="R842" s="158"/>
    </row>
    <row r="843" spans="2:18" ht="10.75" hidden="1" customHeight="1" x14ac:dyDescent="0.25">
      <c r="B843" s="162" t="s">
        <v>86</v>
      </c>
      <c r="C843" s="130">
        <f>SUM(C818:C827)+SUM(C830:C842)</f>
        <v>0</v>
      </c>
      <c r="D843" s="202">
        <f>SUM(D818:D827)+SUM(D830:D842)</f>
        <v>0</v>
      </c>
      <c r="E843" s="200">
        <f>F843-C843</f>
        <v>0</v>
      </c>
      <c r="F843" s="201">
        <f>SUM(F818:F827)+SUM(F830:F842)</f>
        <v>0</v>
      </c>
      <c r="G843" s="202">
        <f>SUM(G818:G827)+SUM(G830:G842)</f>
        <v>0</v>
      </c>
      <c r="H843" s="151">
        <f>IF(AND(F843=0,G843&gt;0),"n/a",IF(F843=0,0,100*G843/F843))</f>
        <v>0</v>
      </c>
      <c r="I843" s="201">
        <f>IF(F843="*","*",F843-G843)</f>
        <v>0</v>
      </c>
      <c r="J843" s="202">
        <f>SUM(J818:J827)+SUM(J830:J842)</f>
        <v>0</v>
      </c>
      <c r="K843" s="202">
        <f>SUM(K818:K827)+SUM(K830:K842)</f>
        <v>0</v>
      </c>
      <c r="L843" s="202">
        <f>SUM(L818:L827)+SUM(L830:L842)</f>
        <v>0</v>
      </c>
      <c r="M843" s="202">
        <f>SUM(M818:M827)+SUM(M830:M842)</f>
        <v>0</v>
      </c>
      <c r="N843" s="11" t="str">
        <f>IF(C843="*","*",IF(C843&gt;0,M843/C843*100,"-"))</f>
        <v>-</v>
      </c>
      <c r="O843" s="202">
        <f>IF(C843="*","*",SUM(J843:M843)/4)</f>
        <v>0</v>
      </c>
      <c r="P843" s="41">
        <f>IF(ISNUMBER(VLOOKUP(B843,[4]CLOSURES!B:BI,16,FALSE)),TEXT(VLOOKUP(B843,[4]CLOSURES!B:BI,16,FALSE),"ddmmm"),IF(F843&lt;=0,0,IF(I843&lt;=0,0,IF(AND(F843&gt;0,O843&lt;=0),"&gt;52",IF(I843/O843&gt;52,"&gt;52", MAX(0,I843/O843-2))))))</f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f>F845-C845</f>
        <v>0</v>
      </c>
      <c r="F845" s="201">
        <v>0</v>
      </c>
      <c r="G845" s="202">
        <v>0</v>
      </c>
      <c r="H845" s="151">
        <f>IF(AND(F845=0,G845&gt;0),"n/a",IF(F845=0,0,100*G845/F845))</f>
        <v>0</v>
      </c>
      <c r="I845" s="201">
        <f>IF(F845="*","*",F845-G845)</f>
        <v>0</v>
      </c>
      <c r="J845" s="202"/>
      <c r="K845" s="202"/>
      <c r="L845" s="202"/>
      <c r="M845" s="202"/>
      <c r="N845" s="11" t="str">
        <f>IF(C845="*","*",IF(C845&gt;0,M845/C845*100,"-"))</f>
        <v>-</v>
      </c>
      <c r="O845" s="202">
        <f>IF(C845="*","*",SUM(J845:M845)/4)</f>
        <v>0</v>
      </c>
      <c r="P845" s="41" t="str">
        <f>IF(ISNUMBER(VLOOKUP(B845,[4]CLOSURES!B:BI,16,FALSE)),TEXT(VLOOKUP(B845,[4]CLOSURES!B:BI,16,FALSE),"ddmmm"),IF(F845&lt;=0,0,IF(I845&lt;=0,0,IF(AND(F845&gt;0,O845&lt;=0),"&gt;52",IF(I845/O845&gt;52,"&gt;52", MAX(0,I845/O845-2))))))</f>
        <v>01Jan</v>
      </c>
      <c r="Q845" s="158"/>
      <c r="R845" s="158"/>
    </row>
    <row r="846" spans="2:18" ht="10.75" hidden="1" customHeight="1" x14ac:dyDescent="0.25">
      <c r="B846" s="44" t="s">
        <v>88</v>
      </c>
      <c r="C846" s="130">
        <f>'[5]Maj Pel Combined'!$T$33</f>
        <v>0</v>
      </c>
      <c r="D846" s="200">
        <f>F846-VLOOKUP(B846,[4]quotas!$B$85:$AF$120,29,FALSE)</f>
        <v>0</v>
      </c>
      <c r="E846" s="200">
        <f>F846-C846</f>
        <v>0</v>
      </c>
      <c r="F846" s="201">
        <f>VLOOKUP(B846,[4]quotas!$B$46:$AF$84,29,FALSE)</f>
        <v>0</v>
      </c>
      <c r="G846" s="202">
        <f>VLOOKUP(B846,[4]Cumulative!$A$56:$AZ$91,29,FALSE)</f>
        <v>0</v>
      </c>
      <c r="H846" s="151">
        <f>IF(AND(F846=0,G846&gt;0),"n/a",IF(F846=0,0,100*G846/F846))</f>
        <v>0</v>
      </c>
      <c r="I846" s="201">
        <f>IF(F846="*","*",F846-G846)</f>
        <v>0</v>
      </c>
      <c r="J846" s="202">
        <f>VLOOKUP(B846,[4]Weeks!$A$125:$X$161,17,FALSE)-VLOOKUP(B846,[4]Weeks!$A$165:$X$200,17,FALSE)</f>
        <v>0</v>
      </c>
      <c r="K846" s="202">
        <f>VLOOKUP(B846,[4]Weeks!$A$85:$X$121,17,FALSE)-VLOOKUP(B846,[4]Weeks!$A$125:$X$161,17,FALSE)</f>
        <v>0</v>
      </c>
      <c r="L846" s="202">
        <f>VLOOKUP(B846,[4]Weeks!$A$44:$X$81,17,FALSE)-VLOOKUP(B846,[4]Weeks!$A$85:$X$121,17,FALSE)</f>
        <v>0</v>
      </c>
      <c r="M846" s="202">
        <f>VLOOKUP(B846,[4]Weeks!$A$3:$X$39,17,FALSE)-VLOOKUP(B846,[4]Weeks!$A$44:$X$81,17,FALSE)</f>
        <v>0</v>
      </c>
      <c r="N846" s="11" t="s">
        <v>64</v>
      </c>
      <c r="O846" s="202">
        <f>IF(C846="*","*",SUM(J846:M846)/4)</f>
        <v>0</v>
      </c>
      <c r="P846" s="41" t="str">
        <f>IF(ISNUMBER(VLOOKUP(B846,[4]CLOSURES!B:BI,16,FALSE)),TEXT(VLOOKUP(B846,[4]CLOSURES!B:BI,16,FALSE),"ddmmm"),IF(F846&lt;=0,0,IF(I846&lt;=0,0,IF(AND(F846&gt;0,O846&lt;=0),"&gt;52",IF(I846/O846&gt;52,"&gt;52", MAX(0,I846/O846-2))))))</f>
        <v>01Jan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f>F847-C847</f>
        <v>0</v>
      </c>
      <c r="F847" s="201">
        <v>0</v>
      </c>
      <c r="G847" s="202">
        <v>0</v>
      </c>
      <c r="H847" s="151">
        <f>IF(AND(F847=0,G847&gt;0),"n/a",IF(F847=0,0,100*G847/F847))</f>
        <v>0</v>
      </c>
      <c r="I847" s="201">
        <f>IF(F847="*","*",F847-G847)</f>
        <v>0</v>
      </c>
      <c r="J847" s="202"/>
      <c r="K847" s="202"/>
      <c r="L847" s="202"/>
      <c r="M847" s="202"/>
      <c r="N847" s="11" t="str">
        <f>IF(C847="*","*",IF(C847&gt;0,M847/C847*100,"-"))</f>
        <v>-</v>
      </c>
      <c r="O847" s="202">
        <f>IF(C847="*","*",SUM(J847:M847)/4)</f>
        <v>0</v>
      </c>
      <c r="P847" s="41" t="str">
        <f>IF(ISNUMBER(VLOOKUP(B847,[4]CLOSURES!B:BI,16,FALSE)),TEXT(VLOOKUP(B847,[4]CLOSURES!B:BI,16,FALSE),"ddmmm"),IF(F847&lt;=0,0,IF(I847&lt;=0,0,IF(AND(F847&gt;0,O847&lt;=0),"&gt;52",IF(I847/O847&gt;52,"&gt;52", MAX(0,I847/O847-2))))))</f>
        <v>01Jan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f>'[5]Maj Pel Combined'!$T$41</f>
        <v>0</v>
      </c>
      <c r="D849" s="200"/>
      <c r="E849" s="200"/>
      <c r="F849" s="201">
        <f>C849+E849</f>
        <v>0</v>
      </c>
      <c r="G849" s="202"/>
      <c r="H849" s="151"/>
      <c r="I849" s="201">
        <f>F849</f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f>C843+SUM(C845:C849)</f>
        <v>0</v>
      </c>
      <c r="D850" s="135"/>
      <c r="E850" s="135">
        <f>E843+SUM(E845:E847)</f>
        <v>0</v>
      </c>
      <c r="F850" s="142">
        <f>F843+SUM(F845:F849)</f>
        <v>0</v>
      </c>
      <c r="G850" s="131">
        <f>VLOOKUP(B850,[4]Cumulative!$A$56:$AZ$91,29,FALSE)</f>
        <v>0</v>
      </c>
      <c r="H850" s="156">
        <f>IF(AND(F850=0,G850&gt;0),"n/a",IF(F850=0,0,100*G850/F850))</f>
        <v>0</v>
      </c>
      <c r="I850" s="132">
        <f>IF(F850="*","*",F850-G850)</f>
        <v>0</v>
      </c>
      <c r="J850" s="131">
        <f>VLOOKUP(B850,[4]Weeks!$A$125:$AE$161,29,FALSE)-VLOOKUP(B850,[4]Weeks!$A$165:$AE$200,29,FALSE)</f>
        <v>0</v>
      </c>
      <c r="K850" s="131">
        <f>VLOOKUP(B850,[4]Weeks!$A$85:$AE$121,29,FALSE)-VLOOKUP(B850,[4]Weeks!$A$125:$AE$161,29,FALSE)</f>
        <v>0</v>
      </c>
      <c r="L850" s="131">
        <f>VLOOKUP(B850,[4]Weeks!$A$44:$X$81,17,FALSE)-VLOOKUP(B850,[4]Weeks!$A$85:$AE$121,29,FALSE)</f>
        <v>0</v>
      </c>
      <c r="M850" s="131">
        <f>M843+M845+M847</f>
        <v>0</v>
      </c>
      <c r="N850" s="53" t="str">
        <f>IF(C850="*","*",IF(C850&gt;0,M850/C850*100,"-"))</f>
        <v>-</v>
      </c>
      <c r="O850" s="131">
        <f>IF(C850="*","*",SUM(J850:M850)/4)</f>
        <v>0</v>
      </c>
      <c r="P850" s="49" t="str">
        <f>IF(ISNUMBER(VLOOKUP(B850,[4]CLOSURES!B:BI,16,FALSE)),TEXT(VLOOKUP(B850,[4]CLOSURES!B:BI,16,FALSE),"ddmmm"),IF(F850&lt;=0,0,IF(I850&lt;=0,0,IF(AND(F850&gt;0,O850&lt;=0),"&gt;52",IF(I850/O850&gt;52,"&gt;52", MAX(0,I850/O850-2))))))</f>
        <v>01Jan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f>J7</f>
        <v>44895</v>
      </c>
      <c r="K855" s="33">
        <f>K7</f>
        <v>44902</v>
      </c>
      <c r="L855" s="33">
        <f>L7</f>
        <v>44909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f>'[5]Maj Pel Combined'!$U$23</f>
        <v>0</v>
      </c>
      <c r="D858" s="200">
        <f>F858-VLOOKUP(B858,[4]quotas!$B$85:$AF$120,31,FALSE)</f>
        <v>0</v>
      </c>
      <c r="E858" s="200">
        <f>F858-C858</f>
        <v>0</v>
      </c>
      <c r="F858" s="201">
        <f>VLOOKUP(B858,[4]quotas!$B$46:$AF$84,31,FALSE)</f>
        <v>0</v>
      </c>
      <c r="G858" s="202">
        <f>VLOOKUP(B858,[4]Cumulative!$A$56:$AZ$91,31,FALSE)</f>
        <v>0</v>
      </c>
      <c r="H858" s="151">
        <f>IF(AND(F858=0,G858&gt;0),"n/a",IF(F858=0,0,100*G858/F858))</f>
        <v>0</v>
      </c>
      <c r="I858" s="201">
        <f>IF(F858="*","*",F858-G858)</f>
        <v>0</v>
      </c>
      <c r="J858" s="202">
        <f>VLOOKUP(B858,[4]Weeks!$A$125:$AE$161,31,FALSE)-VLOOKUP(B858,[4]Weeks!$A$165:$AE$200,31,FALSE)</f>
        <v>0</v>
      </c>
      <c r="K858" s="202">
        <f>VLOOKUP(B858,[4]Weeks!$A$85:$AE$121,31,FALSE)-VLOOKUP(B858,[4]Weeks!$A$125:$AE$161,31,FALSE)</f>
        <v>0</v>
      </c>
      <c r="L858" s="202">
        <f>VLOOKUP(B858,[4]Weeks!$A$44:$AE$81,31,FALSE)-VLOOKUP(B858,[4]Weeks!$A$85:$AE$121,31,FALSE)</f>
        <v>0</v>
      </c>
      <c r="M858" s="202">
        <f>VLOOKUP(B858,[4]Weeks!$A$3:$AE$39,31,FALSE)-VLOOKUP(B858,[4]Weeks!$A$44:$AE$81,31,FALSE)</f>
        <v>0</v>
      </c>
      <c r="N858" s="11" t="str">
        <f>IF(C858="*","*",IF(C858&gt;0,M858/C858*100,"-"))</f>
        <v>-</v>
      </c>
      <c r="O858" s="202">
        <f t="shared" ref="O858:O867" si="178">IF(C858="*","*",SUM(J858:M858)/4)</f>
        <v>0</v>
      </c>
      <c r="P858" s="41">
        <f>IF(ISNUMBER(VLOOKUP(B858,[4]CLOSURES!B:BI,29,FALSE)),TEXT(VLOOKUP(B858,[4]CLOSURES!B:BI,4,FALSE),"ddmmm"),IF(F858&lt;=0,0,IF(I858&lt;=0,0,IF(AND(F858&gt;0,O858&lt;=0),"&gt;52",IF(I858/O858&gt;52,"&gt;52", MAX(0,I858/O858-2))))))</f>
        <v>0</v>
      </c>
    </row>
    <row r="859" spans="2:18" ht="10.75" hidden="1" customHeight="1" x14ac:dyDescent="0.3">
      <c r="B859" s="40" t="s">
        <v>63</v>
      </c>
      <c r="C859" s="130">
        <f>'[5]Maj Pel Combined'!$U$16</f>
        <v>0</v>
      </c>
      <c r="D859" s="200">
        <f>F859-VLOOKUP(B859,[4]quotas!$B$85:$AF$120,31,FALSE)</f>
        <v>0</v>
      </c>
      <c r="E859" s="200">
        <v>0</v>
      </c>
      <c r="F859" s="201">
        <f>VLOOKUP(B859,[4]quotas!$B$46:$AF$84,31,FALSE)</f>
        <v>0</v>
      </c>
      <c r="G859" s="202">
        <f>VLOOKUP(B859,[4]Cumulative!$A$56:$AZ$91,31,FALSE)</f>
        <v>0</v>
      </c>
      <c r="H859" s="151">
        <f>IF(AND(F859=0,G859&gt;0),"n/a",IF(F859=0,0,100*G859/F859))</f>
        <v>0</v>
      </c>
      <c r="I859" s="201">
        <f>IF(F859="*","*",F859-G859)</f>
        <v>0</v>
      </c>
      <c r="J859" s="202">
        <f>VLOOKUP(B859,[4]Weeks!$A$125:$AE$161,31,FALSE)-VLOOKUP(B859,[4]Weeks!$A$165:$AE$200,31,FALSE)</f>
        <v>0</v>
      </c>
      <c r="K859" s="202">
        <f>VLOOKUP(B859,[4]Weeks!$A$85:$AE$121,31,FALSE)-VLOOKUP(B859,[4]Weeks!$A$125:$AE$161,31,FALSE)</f>
        <v>0</v>
      </c>
      <c r="L859" s="202">
        <f>VLOOKUP(B859,[4]Weeks!$A$44:$AE$81,31,FALSE)-VLOOKUP(B859,[4]Weeks!$A$85:$AE$121,31,FALSE)</f>
        <v>0</v>
      </c>
      <c r="M859" s="202">
        <f>VLOOKUP(B859,[4]Weeks!$A$3:$AE$39,31,FALSE)-VLOOKUP(B859,[4]Weeks!$A$44:$AE$81,31,FALSE)</f>
        <v>0</v>
      </c>
      <c r="N859" s="11" t="str">
        <f>IF(C859="*","*",IF(C859&gt;0,M859/C859*100,"-"))</f>
        <v>-</v>
      </c>
      <c r="O859" s="202">
        <f t="shared" si="178"/>
        <v>0</v>
      </c>
      <c r="P859" s="41">
        <f>IF(ISNUMBER(VLOOKUP(B859,[4]CLOSURES!B:BI,29,FALSE)),TEXT(VLOOKUP(B859,[4]CLOSURES!B:BI,4,FALSE),"ddmmm"),IF(F859&lt;=0,0,IF(I859&lt;=0,0,IF(AND(F859&gt;0,O859&lt;=0),"&gt;52",IF(I859/O859&gt;52,"&gt;52", MAX(0,I859/O859-2))))))</f>
        <v>0</v>
      </c>
    </row>
    <row r="860" spans="2:18" ht="10.75" hidden="1" customHeight="1" x14ac:dyDescent="0.3">
      <c r="B860" s="40" t="s">
        <v>65</v>
      </c>
      <c r="C860" s="130">
        <f>'[5]Maj Pel Combined'!$U$20</f>
        <v>0</v>
      </c>
      <c r="D860" s="200">
        <f>F860-VLOOKUP(B860,[4]quotas!$B$85:$AF$120,31,FALSE)</f>
        <v>0</v>
      </c>
      <c r="E860" s="200">
        <f>F860-C860</f>
        <v>0</v>
      </c>
      <c r="F860" s="201">
        <f>VLOOKUP(B860,[4]quotas!$B$46:$AF$84,31,FALSE)</f>
        <v>0</v>
      </c>
      <c r="G860" s="202">
        <f>VLOOKUP(B860,[4]Cumulative!$A$56:$AZ$91,31,FALSE)</f>
        <v>0</v>
      </c>
      <c r="H860" s="151">
        <f>IF(AND(F860=0,G860&gt;0),"n/a",IF(F860=0,0,100*G860/F860))</f>
        <v>0</v>
      </c>
      <c r="I860" s="201">
        <f>IF(F860="*","*",F860-G860)</f>
        <v>0</v>
      </c>
      <c r="J860" s="202">
        <f>VLOOKUP(B860,[4]Weeks!$A$125:$AE$161,31,FALSE)-VLOOKUP(B860,[4]Weeks!$A$165:$AE$200,31,FALSE)</f>
        <v>0</v>
      </c>
      <c r="K860" s="202">
        <f>VLOOKUP(B860,[4]Weeks!$A$85:$AE$121,31,FALSE)-VLOOKUP(B860,[4]Weeks!$A$125:$AE$161,31,FALSE)</f>
        <v>0</v>
      </c>
      <c r="L860" s="202">
        <f>VLOOKUP(B860,[4]Weeks!$A$44:$AE$81,31,FALSE)-VLOOKUP(B860,[4]Weeks!$A$85:$AE$121,31,FALSE)</f>
        <v>0</v>
      </c>
      <c r="M860" s="202">
        <f>VLOOKUP(B860,[4]Weeks!$A$3:$AE$39,31,FALSE)-VLOOKUP(B860,[4]Weeks!$A$44:$AE$81,31,FALSE)</f>
        <v>0</v>
      </c>
      <c r="N860" s="11" t="str">
        <f>IF(C860="*","*",IF(C860&gt;0,M860/C860*100,"-"))</f>
        <v>-</v>
      </c>
      <c r="O860" s="202">
        <f t="shared" si="178"/>
        <v>0</v>
      </c>
      <c r="P860" s="41">
        <f>IF(ISNUMBER(VLOOKUP(B860,[4]CLOSURES!B:BI,29,FALSE)),TEXT(VLOOKUP(B860,[4]CLOSURES!B:BI,4,FALSE),"ddmmm"),IF(F860&lt;=0,0,IF(I860&lt;=0,0,IF(AND(F860&gt;0,O860&lt;=0),"&gt;52",IF(I860/O860&gt;52,"&gt;52", MAX(0,I860/O860-2))))))</f>
        <v>0</v>
      </c>
    </row>
    <row r="861" spans="2:18" ht="10.75" hidden="1" customHeight="1" x14ac:dyDescent="0.3">
      <c r="B861" s="40" t="s">
        <v>66</v>
      </c>
      <c r="C861" s="130">
        <f>'[5]Maj Pel Combined'!$U$24</f>
        <v>0</v>
      </c>
      <c r="D861" s="200">
        <f>F861-VLOOKUP(B861,[4]quotas!$B$85:$AF$120,31,FALSE)</f>
        <v>0</v>
      </c>
      <c r="E861" s="200">
        <f>F861-C861</f>
        <v>0</v>
      </c>
      <c r="F861" s="201">
        <f>VLOOKUP(B861,[4]quotas!$B$46:$AF$84,31,FALSE)</f>
        <v>0</v>
      </c>
      <c r="G861" s="202">
        <f>VLOOKUP(B861,[4]Cumulative!$A$56:$AZ$91,31,FALSE)</f>
        <v>0</v>
      </c>
      <c r="H861" s="151">
        <f>IF(AND(F861=0,G861&gt;0),"n/a",IF(F861=0,0,100*G861/F861))</f>
        <v>0</v>
      </c>
      <c r="I861" s="201">
        <f>IF(F861="*","*",F861-G861)</f>
        <v>0</v>
      </c>
      <c r="J861" s="202">
        <f>VLOOKUP(B861,[4]Weeks!$A$125:$AE$161,31,FALSE)-VLOOKUP(B861,[4]Weeks!$A$165:$AE$200,31,FALSE)</f>
        <v>0</v>
      </c>
      <c r="K861" s="202">
        <f>VLOOKUP(B861,[4]Weeks!$A$85:$AE$121,31,FALSE)-VLOOKUP(B861,[4]Weeks!$A$125:$AE$161,31,FALSE)</f>
        <v>0</v>
      </c>
      <c r="L861" s="202">
        <f>VLOOKUP(B861,[4]Weeks!$A$44:$AE$81,31,FALSE)-VLOOKUP(B861,[4]Weeks!$A$85:$AE$121,31,FALSE)</f>
        <v>0</v>
      </c>
      <c r="M861" s="202">
        <f>VLOOKUP(B861,[4]Weeks!$A$3:$AE$39,31,FALSE)-VLOOKUP(B861,[4]Weeks!$A$44:$AE$81,31,FALSE)</f>
        <v>0</v>
      </c>
      <c r="N861" s="11" t="str">
        <f>IF(C861="*","*",IF(C861&gt;0,M861/C861*100,"-"))</f>
        <v>-</v>
      </c>
      <c r="O861" s="202">
        <f t="shared" si="178"/>
        <v>0</v>
      </c>
      <c r="P861" s="41">
        <f>IF(ISNUMBER(VLOOKUP(B861,[4]CLOSURES!B:BI,29,FALSE)),TEXT(VLOOKUP(B861,[4]CLOSURES!B:BI,4,FALSE),"ddmmm"),IF(F861&lt;=0,0,IF(I861&lt;=0,0,IF(AND(F861&gt;0,O861&lt;=0),"&gt;52",IF(I861/O861&gt;52,"&gt;52", MAX(0,I861/O861-2))))))</f>
        <v>0</v>
      </c>
    </row>
    <row r="862" spans="2:18" ht="10.75" hidden="1" customHeight="1" x14ac:dyDescent="0.3">
      <c r="B862" s="40" t="s">
        <v>67</v>
      </c>
      <c r="C862" s="130">
        <f>'[5]Maj Pel Combined'!$U$17</f>
        <v>0</v>
      </c>
      <c r="D862" s="200">
        <v>0</v>
      </c>
      <c r="E862" s="200">
        <v>0</v>
      </c>
      <c r="F862" s="201">
        <f>VLOOKUP(B862,[4]quotas!$B$46:$AF$84,31,FALSE)</f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f t="shared" si="178"/>
        <v>0</v>
      </c>
      <c r="P862" s="41">
        <f>IF(ISNUMBER(VLOOKUP(B862,[4]CLOSURES!B:BI,29,FALSE)),TEXT(VLOOKUP(B862,[4]CLOSURES!B:BI,4,FALSE),"ddmmm"),IF(F862&lt;=0,0,IF(I862&lt;=0,0,IF(AND(F862&gt;0,O862&lt;=0),"&gt;52",IF(I862/O862&gt;52,"&gt;52", MAX(0,I862/O862-2))))))</f>
        <v>0</v>
      </c>
    </row>
    <row r="863" spans="2:18" ht="10.75" hidden="1" customHeight="1" x14ac:dyDescent="0.3">
      <c r="B863" s="40" t="s">
        <v>68</v>
      </c>
      <c r="C863" s="130">
        <f>'[5]Maj Pel Combined'!$U$25</f>
        <v>0</v>
      </c>
      <c r="D863" s="200">
        <f>F863-VLOOKUP(B863,[4]quotas!$B$85:$AF$120,31,FALSE)</f>
        <v>0</v>
      </c>
      <c r="E863" s="200">
        <f t="shared" ref="E863:E868" si="179">F863-C863</f>
        <v>0</v>
      </c>
      <c r="F863" s="201">
        <f>VLOOKUP(B863,[4]quotas!$B$46:$AF$84,31,FALSE)</f>
        <v>0</v>
      </c>
      <c r="G863" s="202">
        <f>VLOOKUP(B863,[4]Cumulative!$A$56:$AZ$91,31,FALSE)</f>
        <v>0</v>
      </c>
      <c r="H863" s="151">
        <f t="shared" ref="H863:H868" si="180">IF(AND(F863=0,G863&gt;0),"n/a",IF(F863=0,0,100*G863/F863))</f>
        <v>0</v>
      </c>
      <c r="I863" s="201">
        <f t="shared" ref="I863:I868" si="181">IF(F863="*","*",F863-G863)</f>
        <v>0</v>
      </c>
      <c r="J863" s="202">
        <f>VLOOKUP(B863,[4]Weeks!$A$125:$AE$161,31,FALSE)-VLOOKUP(B863,[4]Weeks!$A$165:$AE$200,31,FALSE)</f>
        <v>0</v>
      </c>
      <c r="K863" s="202">
        <f>VLOOKUP(B863,[4]Weeks!$A$85:$AE$121,31,FALSE)-VLOOKUP(B863,[4]Weeks!$A$125:$AE$161,31,FALSE)</f>
        <v>0</v>
      </c>
      <c r="L863" s="202">
        <f>VLOOKUP(B863,[4]Weeks!$A$44:$AE$81,31,FALSE)-VLOOKUP(B863,[4]Weeks!$A$85:$AE$121,31,FALSE)</f>
        <v>0</v>
      </c>
      <c r="M863" s="202">
        <f>VLOOKUP(B863,[4]Weeks!$A$3:$AE$39,31,FALSE)-VLOOKUP(B863,[4]Weeks!$A$44:$AE$81,31,FALSE)</f>
        <v>0</v>
      </c>
      <c r="N863" s="11" t="str">
        <f>IF(C863="*","*",IF(C863&gt;0,M863/C863*100,"-"))</f>
        <v>-</v>
      </c>
      <c r="O863" s="202">
        <f t="shared" si="178"/>
        <v>0</v>
      </c>
      <c r="P863" s="41">
        <f>IF(ISNUMBER(VLOOKUP(B863,[4]CLOSURES!B:BI,29,FALSE)),TEXT(VLOOKUP(B863,[4]CLOSURES!B:BI,4,FALSE),"ddmmm"),IF(F863&lt;=0,0,IF(I863&lt;=0,0,IF(AND(F863&gt;0,O863&lt;=0),"&gt;52",IF(I863/O863&gt;52,"&gt;52", MAX(0,I863/O863-2))))))</f>
        <v>0</v>
      </c>
    </row>
    <row r="864" spans="2:18" ht="10.75" hidden="1" customHeight="1" x14ac:dyDescent="0.3">
      <c r="B864" s="40" t="s">
        <v>69</v>
      </c>
      <c r="C864" s="130">
        <f>'[5]Maj Pel Combined'!$U$22</f>
        <v>0</v>
      </c>
      <c r="D864" s="200">
        <f>F864-VLOOKUP(B864,[4]quotas!$B$85:$AF$120,31,FALSE)</f>
        <v>0</v>
      </c>
      <c r="E864" s="200">
        <f t="shared" si="179"/>
        <v>0</v>
      </c>
      <c r="F864" s="201">
        <f>VLOOKUP(B864,[4]quotas!$B$46:$AF$84,31,FALSE)</f>
        <v>0</v>
      </c>
      <c r="G864" s="202">
        <f>VLOOKUP(B864,[4]Cumulative!$A$56:$AZ$91,31,FALSE)</f>
        <v>0</v>
      </c>
      <c r="H864" s="151">
        <f t="shared" si="180"/>
        <v>0</v>
      </c>
      <c r="I864" s="201">
        <f t="shared" si="181"/>
        <v>0</v>
      </c>
      <c r="J864" s="202">
        <f>VLOOKUP(B864,[4]Weeks!$A$125:$AE$161,31,FALSE)-VLOOKUP(B864,[4]Weeks!$A$165:$AE$200,31,FALSE)</f>
        <v>0</v>
      </c>
      <c r="K864" s="202">
        <f>VLOOKUP(B864,[4]Weeks!$A$85:$AE$121,31,FALSE)-VLOOKUP(B864,[4]Weeks!$A$125:$AE$161,31,FALSE)</f>
        <v>0</v>
      </c>
      <c r="L864" s="202">
        <f>VLOOKUP(B864,[4]Weeks!$A$44:$AE$81,31,FALSE)-VLOOKUP(B864,[4]Weeks!$A$85:$AE$121,31,FALSE)</f>
        <v>0</v>
      </c>
      <c r="M864" s="202">
        <f>VLOOKUP(B864,[4]Weeks!$A$3:$AE$39,31,FALSE)-VLOOKUP(B864,[4]Weeks!$A$44:$AE$81,31,FALSE)</f>
        <v>0</v>
      </c>
      <c r="N864" s="11" t="str">
        <f>IF(C864="*","*",IF(C864&gt;0,M864/C864*100,"-"))</f>
        <v>-</v>
      </c>
      <c r="O864" s="202">
        <f t="shared" si="178"/>
        <v>0</v>
      </c>
      <c r="P864" s="41">
        <f>IF(ISNUMBER(VLOOKUP(B864,[4]CLOSURES!B:BI,29,FALSE)),TEXT(VLOOKUP(B864,[4]CLOSURES!B:BI,4,FALSE),"ddmmm"),IF(F864&lt;=0,0,IF(I864&lt;=0,0,IF(AND(F864&gt;0,O864&lt;=0),"&gt;52",IF(I864/O864&gt;52,"&gt;52", MAX(0,I864/O864-2))))))</f>
        <v>0</v>
      </c>
    </row>
    <row r="865" spans="2:16" s="2" customFormat="1" ht="10.75" hidden="1" customHeight="1" x14ac:dyDescent="0.25">
      <c r="B865" s="40" t="s">
        <v>70</v>
      </c>
      <c r="C865" s="130">
        <f>'[5]Maj Pel Combined'!$U$21</f>
        <v>0</v>
      </c>
      <c r="D865" s="200">
        <f>F865-VLOOKUP(B865,[4]quotas!$B$85:$AF$120,31,FALSE)</f>
        <v>0</v>
      </c>
      <c r="E865" s="200">
        <f t="shared" si="179"/>
        <v>0</v>
      </c>
      <c r="F865" s="201">
        <f>VLOOKUP(B865,[4]quotas!$B$46:$AF$84,31,FALSE)</f>
        <v>0</v>
      </c>
      <c r="G865" s="202">
        <f>VLOOKUP(B865,[4]Cumulative!$A$56:$AZ$91,31,FALSE)</f>
        <v>0</v>
      </c>
      <c r="H865" s="151">
        <f t="shared" si="180"/>
        <v>0</v>
      </c>
      <c r="I865" s="201">
        <f t="shared" si="181"/>
        <v>0</v>
      </c>
      <c r="J865" s="202">
        <f>VLOOKUP(B865,[4]Weeks!$A$125:$AE$161,31,FALSE)-VLOOKUP(B865,[4]Weeks!$A$165:$AE$200,31,FALSE)</f>
        <v>0</v>
      </c>
      <c r="K865" s="202">
        <f>VLOOKUP(B865,[4]Weeks!$A$85:$AE$121,31,FALSE)-VLOOKUP(B865,[4]Weeks!$A$125:$AE$161,31,FALSE)</f>
        <v>0</v>
      </c>
      <c r="L865" s="202">
        <f>VLOOKUP(B865,[4]Weeks!$A$44:$AE$81,31,FALSE)-VLOOKUP(B865,[4]Weeks!$A$85:$AE$121,31,FALSE)</f>
        <v>0</v>
      </c>
      <c r="M865" s="202">
        <f>VLOOKUP(B865,[4]Weeks!$A$3:$AE$39,31,FALSE)-VLOOKUP(B865,[4]Weeks!$A$44:$AE$81,31,FALSE)</f>
        <v>0</v>
      </c>
      <c r="N865" s="11" t="str">
        <f>IF(C865="*","*",IF(C865&gt;0,M865/C865*100,"-"))</f>
        <v>-</v>
      </c>
      <c r="O865" s="202">
        <f t="shared" si="178"/>
        <v>0</v>
      </c>
      <c r="P865" s="41">
        <f>IF(ISNUMBER(VLOOKUP(B865,[4]CLOSURES!B:BI,29,FALSE)),TEXT(VLOOKUP(B865,[4]CLOSURES!B:BI,4,FALSE),"ddmmm"),IF(F865&lt;=0,0,IF(I865&lt;=0,0,IF(AND(F865&gt;0,O865&lt;=0),"&gt;52",IF(I865/O865&gt;52,"&gt;52", MAX(0,I865/O865-2))))))</f>
        <v>0</v>
      </c>
    </row>
    <row r="866" spans="2:16" s="2" customFormat="1" ht="10.75" hidden="1" customHeight="1" x14ac:dyDescent="0.25">
      <c r="B866" s="40" t="s">
        <v>71</v>
      </c>
      <c r="C866" s="130">
        <f>'[5]Maj Pel Combined'!$U$18</f>
        <v>0</v>
      </c>
      <c r="D866" s="200">
        <f>F866-VLOOKUP(B866,[4]quotas!$B$85:$AF$120,31,FALSE)</f>
        <v>0</v>
      </c>
      <c r="E866" s="200">
        <f t="shared" si="179"/>
        <v>0</v>
      </c>
      <c r="F866" s="201">
        <f>VLOOKUP(B866,[4]quotas!$B$46:$AF$84,31,FALSE)</f>
        <v>0</v>
      </c>
      <c r="G866" s="202">
        <f>VLOOKUP(B866,[4]Cumulative!$A$56:$AZ$91,31,FALSE)</f>
        <v>0</v>
      </c>
      <c r="H866" s="151">
        <f t="shared" si="180"/>
        <v>0</v>
      </c>
      <c r="I866" s="201">
        <f t="shared" si="181"/>
        <v>0</v>
      </c>
      <c r="J866" s="202">
        <f>VLOOKUP(B866,[4]Weeks!$A$125:$AE$161,31,FALSE)-VLOOKUP(B866,[4]Weeks!$A$165:$AE$200,31,FALSE)</f>
        <v>0</v>
      </c>
      <c r="K866" s="202">
        <f>VLOOKUP(B866,[4]Weeks!$A$85:$AE$121,31,FALSE)-VLOOKUP(B866,[4]Weeks!$A$125:$AE$161,31,FALSE)</f>
        <v>0</v>
      </c>
      <c r="L866" s="202">
        <f>VLOOKUP(B866,[4]Weeks!$A$44:$AE$81,31,FALSE)-VLOOKUP(B866,[4]Weeks!$A$85:$AE$121,31,FALSE)</f>
        <v>0</v>
      </c>
      <c r="M866" s="202">
        <f>VLOOKUP(B866,[4]Weeks!$A$3:$AE$39,31,FALSE)-VLOOKUP(B866,[4]Weeks!$A$44:$AE$81,31,FALSE)</f>
        <v>0</v>
      </c>
      <c r="N866" s="11" t="str">
        <f>IF(C866="*","*",IF(C866&gt;0,M866/C866*100,"-"))</f>
        <v>-</v>
      </c>
      <c r="O866" s="202">
        <f t="shared" si="178"/>
        <v>0</v>
      </c>
      <c r="P866" s="41">
        <f>IF(ISNUMBER(VLOOKUP(B866,[4]CLOSURES!B:BI,29,FALSE)),TEXT(VLOOKUP(B866,[4]CLOSURES!B:BI,4,FALSE),"ddmmm"),IF(F866&lt;=0,0,IF(I866&lt;=0,0,IF(AND(F866&gt;0,O866&lt;=0),"&gt;52",IF(I866/O866&gt;52,"&gt;52", MAX(0,I866/O866-2))))))</f>
        <v>0</v>
      </c>
    </row>
    <row r="867" spans="2:16" s="2" customFormat="1" ht="10.75" hidden="1" customHeight="1" x14ac:dyDescent="0.25">
      <c r="B867" s="40" t="s">
        <v>72</v>
      </c>
      <c r="C867" s="130">
        <f>'[5]Maj Pel Combined'!$U$19</f>
        <v>0</v>
      </c>
      <c r="D867" s="200">
        <f>F867-VLOOKUP(B867,[4]quotas!$B$85:$AF$120,31,FALSE)</f>
        <v>0</v>
      </c>
      <c r="E867" s="200">
        <f t="shared" si="179"/>
        <v>0</v>
      </c>
      <c r="F867" s="201">
        <f>VLOOKUP(B867,[4]quotas!$B$46:$AF$84,31,FALSE)</f>
        <v>0</v>
      </c>
      <c r="G867" s="202">
        <f>VLOOKUP(B867,[4]Cumulative!$A$56:$AZ$91,31,FALSE)</f>
        <v>0</v>
      </c>
      <c r="H867" s="151">
        <f t="shared" si="180"/>
        <v>0</v>
      </c>
      <c r="I867" s="201">
        <f t="shared" si="181"/>
        <v>0</v>
      </c>
      <c r="J867" s="202">
        <f>VLOOKUP(B867,[4]Weeks!$A$125:$AE$161,31,FALSE)-VLOOKUP(B867,[4]Weeks!$A$165:$AE$200,31,FALSE)</f>
        <v>0</v>
      </c>
      <c r="K867" s="202">
        <f>VLOOKUP(B867,[4]Weeks!$A$85:$AE$121,31,FALSE)-VLOOKUP(B867,[4]Weeks!$A$125:$AE$161,31,FALSE)</f>
        <v>0</v>
      </c>
      <c r="L867" s="202">
        <f>VLOOKUP(B867,[4]Weeks!$A$44:$AE$81,31,FALSE)-VLOOKUP(B867,[4]Weeks!$A$85:$AE$121,31,FALSE)</f>
        <v>0</v>
      </c>
      <c r="M867" s="202">
        <f>VLOOKUP(B867,[4]Weeks!$A$3:$AE$39,31,FALSE)-VLOOKUP(B867,[4]Weeks!$A$44:$AE$81,31,FALSE)</f>
        <v>0</v>
      </c>
      <c r="N867" s="11" t="str">
        <f>IF(C867="*","*",IF(C867&gt;0,M867/C867*100,"-"))</f>
        <v>-</v>
      </c>
      <c r="O867" s="202">
        <f t="shared" si="178"/>
        <v>0</v>
      </c>
      <c r="P867" s="41">
        <f>IF(ISNUMBER(VLOOKUP(B867,[4]CLOSURES!B:BI,29,FALSE)),TEXT(VLOOKUP(B867,[4]CLOSURES!B:BI,4,FALSE),"ddmmm"),IF(F867&lt;=0,0,IF(I867&lt;=0,0,IF(AND(F867&gt;0,O867&lt;=0),"&gt;52",IF(I867/O867&gt;52,"&gt;52", MAX(0,I867/O867-2))))))</f>
        <v>0</v>
      </c>
    </row>
    <row r="868" spans="2:16" s="2" customFormat="1" ht="10.75" hidden="1" customHeight="1" x14ac:dyDescent="0.25">
      <c r="B868" s="43" t="s">
        <v>73</v>
      </c>
      <c r="C868" s="130">
        <f>SUM(C858:C867)</f>
        <v>0</v>
      </c>
      <c r="D868" s="200">
        <f>SUM(D858:D867)</f>
        <v>0</v>
      </c>
      <c r="E868" s="200">
        <f t="shared" si="179"/>
        <v>0</v>
      </c>
      <c r="F868" s="201">
        <f>SUM(F858:F867)</f>
        <v>0</v>
      </c>
      <c r="G868" s="202">
        <f>SUM(G858:G867)</f>
        <v>0</v>
      </c>
      <c r="H868" s="151">
        <f t="shared" si="180"/>
        <v>0</v>
      </c>
      <c r="I868" s="201">
        <f t="shared" si="181"/>
        <v>0</v>
      </c>
      <c r="J868" s="202">
        <f t="shared" ref="J868:O868" si="182">SUM(J858:J867)</f>
        <v>0</v>
      </c>
      <c r="K868" s="202">
        <f t="shared" si="182"/>
        <v>0</v>
      </c>
      <c r="L868" s="202">
        <f t="shared" si="182"/>
        <v>0</v>
      </c>
      <c r="M868" s="202">
        <f t="shared" si="182"/>
        <v>0</v>
      </c>
      <c r="N868" s="11">
        <f t="shared" si="182"/>
        <v>0</v>
      </c>
      <c r="O868" s="202">
        <f t="shared" si="182"/>
        <v>0</v>
      </c>
      <c r="P868" s="41">
        <f>IF(ISNUMBER(VLOOKUP(B868,[4]CLOSURES!B:BI,29,FALSE)),TEXT(VLOOKUP(B868,[4]CLOSURES!B:BI,4,FALSE),"ddmmm"),IF(F868&lt;=0,0,IF(I868&lt;=0,0,IF(AND(F868&gt;0,O868&lt;=0),"&gt;52",IF(I868/O868&gt;52,"&gt;52", MAX(0,I868/O868-2))))))</f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f>'[5]Maj Pel Combined'!$U$5</f>
        <v>0</v>
      </c>
      <c r="D870" s="200">
        <f>F870-VLOOKUP(B870,[4]quotas!$B$85:$AF$120,31,FALSE)</f>
        <v>0</v>
      </c>
      <c r="E870" s="200">
        <f t="shared" ref="E870:E879" si="183">F870-C870</f>
        <v>0</v>
      </c>
      <c r="F870" s="201">
        <f>VLOOKUP(B870,[4]quotas!$B$46:$AF$84,31,FALSE)</f>
        <v>0</v>
      </c>
      <c r="G870" s="202">
        <f>VLOOKUP(B870,[4]Cumulative!$A$56:$AZ$91,31,FALSE)</f>
        <v>0</v>
      </c>
      <c r="H870" s="151">
        <f>IF(AND(F870=0,G870&gt;0),"n/a",IF(F870=0,0,100*G870/F870))</f>
        <v>0</v>
      </c>
      <c r="I870" s="201">
        <f t="shared" ref="I870:I879" si="184">IF(F870="*","*",F870-G870)</f>
        <v>0</v>
      </c>
      <c r="J870" s="202">
        <f>VLOOKUP(B870,[4]Weeks!$A$125:$AE$161,31,FALSE)-VLOOKUP(B870,[4]Weeks!$A$165:$AE$200,31,FALSE)</f>
        <v>0</v>
      </c>
      <c r="K870" s="202">
        <f>VLOOKUP(B870,[4]Weeks!$A$85:$AE$121,31,FALSE)-VLOOKUP(B870,[4]Weeks!$A$125:$AE$161,31,FALSE)</f>
        <v>0</v>
      </c>
      <c r="L870" s="202">
        <f>VLOOKUP(B870,[4]Weeks!$A$44:$AE$81,31,FALSE)-VLOOKUP(B870,[4]Weeks!$A$85:$AE$121,31,FALSE)</f>
        <v>0</v>
      </c>
      <c r="M870" s="202">
        <f>VLOOKUP(B870,[4]Weeks!$A$3:$AE$39,31,FALSE)-VLOOKUP(B870,[4]Weeks!$A$44:$AE$81,31,FALSE)</f>
        <v>0</v>
      </c>
      <c r="N870" s="11" t="str">
        <f>IF(C870="*","*",IF(C870&gt;0,M870/C870*100,"-"))</f>
        <v>-</v>
      </c>
      <c r="O870" s="202">
        <f>IF(C870="*","*",SUM(J870:M870)/4)</f>
        <v>0</v>
      </c>
      <c r="P870" s="41">
        <f>IF(ISNUMBER(VLOOKUP(B870,[4]CLOSURES!B:BI,29,FALSE)),TEXT(VLOOKUP(B870,[4]CLOSURES!B:BI,4,FALSE),"ddmmm"),IF(F870&lt;=0,0,IF(I870&lt;=0,0,IF(AND(F870&gt;0,O870&lt;=0),"&gt;52",IF(I870/O870&gt;52,"&gt;52", MAX(0,I870/O870-2))))))</f>
        <v>0</v>
      </c>
    </row>
    <row r="871" spans="2:16" s="2" customFormat="1" ht="10.75" hidden="1" customHeight="1" x14ac:dyDescent="0.25">
      <c r="B871" s="40" t="s">
        <v>75</v>
      </c>
      <c r="C871" s="130">
        <f>'[5]Maj Pel Combined'!$U$7</f>
        <v>0</v>
      </c>
      <c r="D871" s="200">
        <f>F871-VLOOKUP(B871,[4]quotas!$B$85:$AF$120,31,FALSE)</f>
        <v>0</v>
      </c>
      <c r="E871" s="200">
        <f t="shared" si="183"/>
        <v>0</v>
      </c>
      <c r="F871" s="201">
        <f>VLOOKUP(B871,[4]quotas!$B$46:$AF$84,31,FALSE)</f>
        <v>0</v>
      </c>
      <c r="G871" s="202">
        <f>VLOOKUP(B871,[4]Cumulative!$A$56:$AZ$91,31,FALSE)</f>
        <v>0</v>
      </c>
      <c r="H871" s="151">
        <f>IF(AND(F871=0,G871&gt;0),"n/a",IF(F871=0,0,100*G871/F871))</f>
        <v>0</v>
      </c>
      <c r="I871" s="201">
        <f t="shared" si="184"/>
        <v>0</v>
      </c>
      <c r="J871" s="202">
        <f>VLOOKUP(B871,[4]Weeks!$A$125:$AE$161,31,FALSE)-VLOOKUP(B871,[4]Weeks!$A$165:$AE$200,31,FALSE)</f>
        <v>0</v>
      </c>
      <c r="K871" s="202">
        <f>VLOOKUP(B871,[4]Weeks!$A$85:$AE$121,31,FALSE)-VLOOKUP(B871,[4]Weeks!$A$125:$AE$161,31,FALSE)</f>
        <v>0</v>
      </c>
      <c r="L871" s="202">
        <f>VLOOKUP(B871,[4]Weeks!$A$44:$AE$81,31,FALSE)-VLOOKUP(B871,[4]Weeks!$A$85:$AE$121,31,FALSE)</f>
        <v>0</v>
      </c>
      <c r="M871" s="202">
        <f>VLOOKUP(B871,[4]Weeks!$A$3:$AE$39,31,FALSE)-VLOOKUP(B871,[4]Weeks!$A$44:$AE$81,31,FALSE)</f>
        <v>0</v>
      </c>
      <c r="N871" s="11" t="str">
        <f>IF(C871="*","*",IF(C871&gt;0,M871/C871*100,"-"))</f>
        <v>-</v>
      </c>
      <c r="O871" s="202">
        <f>IF(C871="*","*",SUM(J871:M871)/4)</f>
        <v>0</v>
      </c>
      <c r="P871" s="41">
        <f>IF(ISNUMBER(VLOOKUP(B871,[4]CLOSURES!B:BI,29,FALSE)),TEXT(VLOOKUP(B871,[4]CLOSURES!B:BI,4,FALSE),"ddmmm"),IF(F871&lt;=0,0,IF(I871&lt;=0,0,IF(AND(F871&gt;0,O871&lt;=0),"&gt;52",IF(I871/O871&gt;52,"&gt;52", MAX(0,I871/O871-2))))))</f>
        <v>0</v>
      </c>
    </row>
    <row r="872" spans="2:16" s="2" customFormat="1" ht="10.75" hidden="1" customHeight="1" x14ac:dyDescent="0.25">
      <c r="B872" s="40" t="s">
        <v>152</v>
      </c>
      <c r="C872" s="130">
        <f>'[5]Maj Pel Combined'!$U$8</f>
        <v>0</v>
      </c>
      <c r="D872" s="200">
        <f>F872-VLOOKUP(B872,[4]quotas!$B$85:$AF$120,31,FALSE)</f>
        <v>0</v>
      </c>
      <c r="E872" s="200">
        <f t="shared" si="183"/>
        <v>0</v>
      </c>
      <c r="F872" s="201">
        <f>VLOOKUP(B872,[4]quotas!$B$46:$AF$84,31,FALSE)</f>
        <v>0</v>
      </c>
      <c r="G872" s="202">
        <f>VLOOKUP(B872,[4]Cumulative!$A$56:$AZ$91,31,FALSE)</f>
        <v>0</v>
      </c>
      <c r="H872" s="151">
        <f>IF(AND(F872=0,G872&gt;0),"n/a",IF(F872=0,0,100*G872/F872))</f>
        <v>0</v>
      </c>
      <c r="I872" s="201">
        <f t="shared" si="184"/>
        <v>0</v>
      </c>
      <c r="J872" s="202">
        <f>VLOOKUP(B872,[4]Weeks!$A$125:$AE$161,31,FALSE)-VLOOKUP(B872,[4]Weeks!$A$165:$AE$200,31,FALSE)</f>
        <v>0</v>
      </c>
      <c r="K872" s="202">
        <f>VLOOKUP(B872,[4]Weeks!$A$85:$AE$121,31,FALSE)-VLOOKUP(B872,[4]Weeks!$A$125:$AE$161,31,FALSE)</f>
        <v>0</v>
      </c>
      <c r="L872" s="202">
        <f>VLOOKUP(B872,[4]Weeks!$A$44:$AE$81,31,FALSE)-VLOOKUP(B872,[4]Weeks!$A$85:$AE$121,31,FALSE)</f>
        <v>0</v>
      </c>
      <c r="M872" s="202">
        <f>VLOOKUP(B872,[4]Weeks!$A$3:$AE$39,31,FALSE)-VLOOKUP(B872,[4]Weeks!$A$44:$AE$81,31,FALSE)</f>
        <v>0</v>
      </c>
      <c r="N872" s="11" t="str">
        <f>IF(C872="*","*",IF(C872&gt;0,M872/C872*100,"-"))</f>
        <v>-</v>
      </c>
      <c r="O872" s="202">
        <f>IF(C872="*","*",SUM(J872:M872)/4)</f>
        <v>0</v>
      </c>
      <c r="P872" s="41">
        <f>IF(ISNUMBER(VLOOKUP(B872,[4]CLOSURES!B:BI,29,FALSE)),TEXT(VLOOKUP(B872,[4]CLOSURES!B:BI,4,FALSE),"ddmmm"),IF(F872&lt;=0,0,IF(I872&lt;=0,0,IF(AND(F872&gt;0,O872&lt;=0),"&gt;52",IF(I872/O872&gt;52,"&gt;52", MAX(0,I872/O872-2))))))</f>
        <v>0</v>
      </c>
    </row>
    <row r="873" spans="2:16" s="2" customFormat="1" ht="10.75" hidden="1" customHeight="1" x14ac:dyDescent="0.25">
      <c r="B873" s="40" t="s">
        <v>76</v>
      </c>
      <c r="C873" s="130">
        <f>'[5]Maj Pel Combined'!$U$9</f>
        <v>0</v>
      </c>
      <c r="D873" s="200">
        <f>F873-VLOOKUP(B873,[4]quotas!$B$85:$AF$120,31,FALSE)</f>
        <v>0</v>
      </c>
      <c r="E873" s="200">
        <f t="shared" si="183"/>
        <v>0</v>
      </c>
      <c r="F873" s="201">
        <f>VLOOKUP(B873,[4]quotas!$B$46:$AF$84,31,FALSE)</f>
        <v>0</v>
      </c>
      <c r="G873" s="202">
        <f>VLOOKUP(B873,[4]Cumulative!$A$56:$AZ$91,31,FALSE)</f>
        <v>0</v>
      </c>
      <c r="H873" s="151">
        <f t="shared" ref="H873:H878" si="185">IF(AND(F873=0,G873&gt;0),"n/a",IF(F873=0,0,100*G873/F873))</f>
        <v>0</v>
      </c>
      <c r="I873" s="201">
        <f t="shared" si="184"/>
        <v>0</v>
      </c>
      <c r="J873" s="202">
        <f>VLOOKUP(B873,[4]Weeks!$A$125:$AE$161,31,FALSE)-VLOOKUP(B873,[4]Weeks!$A$165:$AE$200,31,FALSE)</f>
        <v>0</v>
      </c>
      <c r="K873" s="202">
        <f>VLOOKUP(B873,[4]Weeks!$A$85:$AE$121,31,FALSE)-VLOOKUP(B873,[4]Weeks!$A$125:$AE$161,31,FALSE)</f>
        <v>0</v>
      </c>
      <c r="L873" s="202">
        <f>VLOOKUP(B873,[4]Weeks!$A$44:$AE$81,31,FALSE)-VLOOKUP(B873,[4]Weeks!$A$85:$AE$121,31,FALSE)</f>
        <v>0</v>
      </c>
      <c r="M873" s="202">
        <f>VLOOKUP(B873,[4]Weeks!$A$3:$AE$39,31,FALSE)-VLOOKUP(B873,[4]Weeks!$A$44:$AE$81,31,FALSE)</f>
        <v>0</v>
      </c>
      <c r="N873" s="11" t="str">
        <f t="shared" ref="N873:N878" si="186">IF(C873="*","*",IF(C873&gt;0,M873/C873*100,"-"))</f>
        <v>-</v>
      </c>
      <c r="O873" s="202">
        <f t="shared" ref="O873:O878" si="187">IF(C873="*","*",SUM(J873:M873)/4)</f>
        <v>0</v>
      </c>
      <c r="P873" s="41">
        <f>IF(ISNUMBER(VLOOKUP(B873,[4]CLOSURES!B:BI,29,FALSE)),TEXT(VLOOKUP(B873,[4]CLOSURES!B:BI,4,FALSE),"ddmmm"),IF(F873&lt;=0,0,IF(I873&lt;=0,0,IF(AND(F873&gt;0,O873&lt;=0),"&gt;52",IF(I873/O873&gt;52,"&gt;52", MAX(0,I873/O873-2))))))</f>
        <v>0</v>
      </c>
    </row>
    <row r="874" spans="2:16" s="2" customFormat="1" ht="10.75" hidden="1" customHeight="1" x14ac:dyDescent="0.25">
      <c r="B874" s="40" t="s">
        <v>77</v>
      </c>
      <c r="C874" s="130">
        <f>'[5]Maj Pel Combined'!$U$27</f>
        <v>0</v>
      </c>
      <c r="D874" s="200">
        <f>F874-VLOOKUP(B874,[4]quotas!$B$85:$AF$120,31,FALSE)</f>
        <v>0</v>
      </c>
      <c r="E874" s="200">
        <f t="shared" si="183"/>
        <v>0</v>
      </c>
      <c r="F874" s="201">
        <f>VLOOKUP(B874,[4]quotas!$B$46:$AF$84,31,FALSE)</f>
        <v>0</v>
      </c>
      <c r="G874" s="202">
        <f>VLOOKUP(B874,[4]Cumulative!$A$56:$AZ$91,31,FALSE)</f>
        <v>0</v>
      </c>
      <c r="H874" s="151">
        <f t="shared" si="185"/>
        <v>0</v>
      </c>
      <c r="I874" s="201">
        <f t="shared" si="184"/>
        <v>0</v>
      </c>
      <c r="J874" s="202">
        <f>VLOOKUP(B874,[4]Weeks!$A$125:$AE$161,31,FALSE)-VLOOKUP(B874,[4]Weeks!$A$165:$AE$200,31,FALSE)</f>
        <v>0</v>
      </c>
      <c r="K874" s="202">
        <f>VLOOKUP(B874,[4]Weeks!$A$85:$AE$121,31,FALSE)-VLOOKUP(B874,[4]Weeks!$A$125:$AE$161,31,FALSE)</f>
        <v>0</v>
      </c>
      <c r="L874" s="202">
        <f>VLOOKUP(B874,[4]Weeks!$A$44:$AE$81,31,FALSE)-VLOOKUP(B874,[4]Weeks!$A$85:$AE$121,31,FALSE)</f>
        <v>0</v>
      </c>
      <c r="M874" s="202">
        <f>VLOOKUP(B874,[4]Weeks!$A$3:$AE$39,31,FALSE)-VLOOKUP(B874,[4]Weeks!$A$44:$AE$81,31,FALSE)</f>
        <v>0</v>
      </c>
      <c r="N874" s="11" t="str">
        <f t="shared" si="186"/>
        <v>-</v>
      </c>
      <c r="O874" s="202">
        <f t="shared" si="187"/>
        <v>0</v>
      </c>
      <c r="P874" s="41">
        <f>IF(ISNUMBER(VLOOKUP(B874,[4]CLOSURES!B:BI,29,FALSE)),TEXT(VLOOKUP(B874,[4]CLOSURES!B:BI,4,FALSE),"ddmmm"),IF(F874&lt;=0,0,IF(I874&lt;=0,0,IF(AND(F874&gt;0,O874&lt;=0),"&gt;52",IF(I874/O874&gt;52,"&gt;52", MAX(0,I874/O874-2))))))</f>
        <v>0</v>
      </c>
    </row>
    <row r="875" spans="2:16" s="2" customFormat="1" ht="10.75" hidden="1" customHeight="1" x14ac:dyDescent="0.25">
      <c r="B875" s="40" t="s">
        <v>78</v>
      </c>
      <c r="C875" s="130">
        <f>'[5]Maj Pel Combined'!$U$26</f>
        <v>0</v>
      </c>
      <c r="D875" s="200">
        <f>F875-VLOOKUP(B875,[4]quotas!$B$85:$AF$120,31,FALSE)</f>
        <v>0</v>
      </c>
      <c r="E875" s="200">
        <f t="shared" si="183"/>
        <v>0</v>
      </c>
      <c r="F875" s="201">
        <f>VLOOKUP(B875,[4]quotas!$B$46:$AF$84,31,FALSE)</f>
        <v>0</v>
      </c>
      <c r="G875" s="202">
        <f>VLOOKUP(B875,[4]Cumulative!$A$56:$AZ$91,31,FALSE)</f>
        <v>0</v>
      </c>
      <c r="H875" s="151">
        <f t="shared" si="185"/>
        <v>0</v>
      </c>
      <c r="I875" s="201">
        <f t="shared" si="184"/>
        <v>0</v>
      </c>
      <c r="J875" s="202">
        <f>VLOOKUP(B875,[4]Weeks!$A$125:$AE$161,31,FALSE)-VLOOKUP(B875,[4]Weeks!$A$165:$AE$200,31,FALSE)</f>
        <v>0</v>
      </c>
      <c r="K875" s="202">
        <f>VLOOKUP(B875,[4]Weeks!$A$85:$AE$121,31,FALSE)-VLOOKUP(B875,[4]Weeks!$A$125:$AE$161,31,FALSE)</f>
        <v>0</v>
      </c>
      <c r="L875" s="202">
        <f>VLOOKUP(B875,[4]Weeks!$A$44:$AE$81,31,FALSE)-VLOOKUP(B875,[4]Weeks!$A$85:$AE$121,31,FALSE)</f>
        <v>0</v>
      </c>
      <c r="M875" s="202">
        <f>VLOOKUP(B875,[4]Weeks!$A$3:$AE$39,31,FALSE)-VLOOKUP(B875,[4]Weeks!$A$44:$AE$81,31,FALSE)</f>
        <v>0</v>
      </c>
      <c r="N875" s="11" t="str">
        <f t="shared" si="186"/>
        <v>-</v>
      </c>
      <c r="O875" s="202">
        <f t="shared" si="187"/>
        <v>0</v>
      </c>
      <c r="P875" s="41">
        <f>IF(ISNUMBER(VLOOKUP(B875,[4]CLOSURES!B:BI,29,FALSE)),TEXT(VLOOKUP(B875,[4]CLOSURES!B:BI,4,FALSE),"ddmmm"),IF(F875&lt;=0,0,IF(I875&lt;=0,0,IF(AND(F875&gt;0,O875&lt;=0),"&gt;52",IF(I875/O875&gt;52,"&gt;52", MAX(0,I875/O875-2))))))</f>
        <v>0</v>
      </c>
    </row>
    <row r="876" spans="2:16" s="2" customFormat="1" ht="10.75" hidden="1" customHeight="1" x14ac:dyDescent="0.25">
      <c r="B876" s="40" t="s">
        <v>79</v>
      </c>
      <c r="C876" s="130">
        <f>'[5]Maj Pel Combined'!$U$6</f>
        <v>0</v>
      </c>
      <c r="D876" s="200">
        <f>F876-VLOOKUP(B876,[4]quotas!$B$85:$AF$120,31,FALSE)</f>
        <v>0</v>
      </c>
      <c r="E876" s="200">
        <f t="shared" si="183"/>
        <v>0</v>
      </c>
      <c r="F876" s="201">
        <f>VLOOKUP(B876,[4]quotas!$B$46:$AF$84,31,FALSE)</f>
        <v>0</v>
      </c>
      <c r="G876" s="202">
        <f>VLOOKUP(B876,[4]Cumulative!$A$56:$AZ$91,31,FALSE)</f>
        <v>0</v>
      </c>
      <c r="H876" s="151">
        <f t="shared" si="185"/>
        <v>0</v>
      </c>
      <c r="I876" s="201">
        <f t="shared" si="184"/>
        <v>0</v>
      </c>
      <c r="J876" s="202">
        <f>VLOOKUP(B876,[4]Weeks!$A$125:$AE$161,31,FALSE)-VLOOKUP(B876,[4]Weeks!$A$165:$AE$200,31,FALSE)</f>
        <v>0</v>
      </c>
      <c r="K876" s="202">
        <f>VLOOKUP(B876,[4]Weeks!$A$85:$AE$121,31,FALSE)-VLOOKUP(B876,[4]Weeks!$A$125:$AE$161,31,FALSE)</f>
        <v>0</v>
      </c>
      <c r="L876" s="202">
        <f>VLOOKUP(B876,[4]Weeks!$A$44:$AE$81,31,FALSE)-VLOOKUP(B876,[4]Weeks!$A$85:$AE$121,31,FALSE)</f>
        <v>0</v>
      </c>
      <c r="M876" s="202">
        <f>VLOOKUP(B876,[4]Weeks!$A$3:$AE$39,31,FALSE)-VLOOKUP(B876,[4]Weeks!$A$44:$AE$81,31,FALSE)</f>
        <v>0</v>
      </c>
      <c r="N876" s="11" t="str">
        <f t="shared" si="186"/>
        <v>-</v>
      </c>
      <c r="O876" s="202">
        <f t="shared" si="187"/>
        <v>0</v>
      </c>
      <c r="P876" s="41">
        <f>IF(ISNUMBER(VLOOKUP(B876,[4]CLOSURES!B:BI,29,FALSE)),TEXT(VLOOKUP(B876,[4]CLOSURES!B:BI,4,FALSE),"ddmmm"),IF(F876&lt;=0,0,IF(I876&lt;=0,0,IF(AND(F876&gt;0,O876&lt;=0),"&gt;52",IF(I876/O876&gt;52,"&gt;52", MAX(0,I876/O876-2))))))</f>
        <v>0</v>
      </c>
    </row>
    <row r="877" spans="2:16" s="2" customFormat="1" ht="10.75" hidden="1" customHeight="1" x14ac:dyDescent="0.25">
      <c r="B877" s="40" t="s">
        <v>80</v>
      </c>
      <c r="C877" s="130">
        <f>'[5]Maj Pel Combined'!$U$14</f>
        <v>0</v>
      </c>
      <c r="D877" s="200">
        <f>F877-VLOOKUP(B877,[4]quotas!$B$85:$AF$120,31,FALSE)</f>
        <v>0</v>
      </c>
      <c r="E877" s="200">
        <f t="shared" si="183"/>
        <v>0</v>
      </c>
      <c r="F877" s="201">
        <f>VLOOKUP(B877,[4]quotas!$B$46:$AF$84,31,FALSE)</f>
        <v>0</v>
      </c>
      <c r="G877" s="202">
        <f>VLOOKUP(B877,[4]Cumulative!$A$56:$AZ$91,31,FALSE)</f>
        <v>0</v>
      </c>
      <c r="H877" s="151">
        <f t="shared" si="185"/>
        <v>0</v>
      </c>
      <c r="I877" s="201">
        <f t="shared" si="184"/>
        <v>0</v>
      </c>
      <c r="J877" s="202">
        <f>VLOOKUP(B877,[4]Weeks!$A$125:$AE$161,31,FALSE)-VLOOKUP(B877,[4]Weeks!$A$165:$AE$200,31,FALSE)</f>
        <v>0</v>
      </c>
      <c r="K877" s="202">
        <f>VLOOKUP(B877,[4]Weeks!$A$85:$AE$121,31,FALSE)-VLOOKUP(B877,[4]Weeks!$A$125:$AE$161,31,FALSE)</f>
        <v>0</v>
      </c>
      <c r="L877" s="202">
        <f>VLOOKUP(B877,[4]Weeks!$A$44:$AE$81,31,FALSE)-VLOOKUP(B877,[4]Weeks!$A$85:$AE$121,31,FALSE)</f>
        <v>0</v>
      </c>
      <c r="M877" s="202">
        <f>VLOOKUP(B877,[4]Weeks!$A$3:$AE$39,31,FALSE)-VLOOKUP(B877,[4]Weeks!$A$44:$AE$81,31,FALSE)</f>
        <v>0</v>
      </c>
      <c r="N877" s="11" t="str">
        <f t="shared" si="186"/>
        <v>-</v>
      </c>
      <c r="O877" s="202">
        <f t="shared" si="187"/>
        <v>0</v>
      </c>
      <c r="P877" s="41">
        <f>IF(ISNUMBER(VLOOKUP(B877,[4]CLOSURES!B:BI,29,FALSE)),TEXT(VLOOKUP(B877,[4]CLOSURES!B:BI,4,FALSE),"ddmmm"),IF(F877&lt;=0,0,IF(I877&lt;=0,0,IF(AND(F877&gt;0,O877&lt;=0),"&gt;52",IF(I877/O877&gt;52,"&gt;52", MAX(0,I877/O877-2))))))</f>
        <v>0</v>
      </c>
    </row>
    <row r="878" spans="2:16" s="2" customFormat="1" ht="10.75" hidden="1" customHeight="1" x14ac:dyDescent="0.25">
      <c r="B878" s="40" t="s">
        <v>81</v>
      </c>
      <c r="C878" s="130">
        <f>'[5]Maj Pel Combined'!$U$13</f>
        <v>0</v>
      </c>
      <c r="D878" s="200">
        <f>F878-VLOOKUP(B878,[4]quotas!$B$85:$AF$120,31,FALSE)</f>
        <v>0</v>
      </c>
      <c r="E878" s="200">
        <f t="shared" si="183"/>
        <v>0</v>
      </c>
      <c r="F878" s="201">
        <f>VLOOKUP(B878,[4]quotas!$B$46:$AF$84,31,FALSE)</f>
        <v>0</v>
      </c>
      <c r="G878" s="202">
        <f>VLOOKUP(B878,[4]Cumulative!$A$56:$AZ$91,31,FALSE)</f>
        <v>0</v>
      </c>
      <c r="H878" s="151">
        <f t="shared" si="185"/>
        <v>0</v>
      </c>
      <c r="I878" s="201">
        <f t="shared" si="184"/>
        <v>0</v>
      </c>
      <c r="J878" s="202">
        <f>VLOOKUP(B878,[4]Weeks!$A$125:$AE$161,31,FALSE)-VLOOKUP(B878,[4]Weeks!$A$165:$AE$200,31,FALSE)</f>
        <v>0</v>
      </c>
      <c r="K878" s="202">
        <f>VLOOKUP(B878,[4]Weeks!$A$85:$AE$121,31,FALSE)-VLOOKUP(B878,[4]Weeks!$A$125:$AE$161,31,FALSE)</f>
        <v>0</v>
      </c>
      <c r="L878" s="202">
        <f>VLOOKUP(B878,[4]Weeks!$A$44:$AE$81,31,FALSE)-VLOOKUP(B878,[4]Weeks!$A$85:$AE$121,31,FALSE)</f>
        <v>0</v>
      </c>
      <c r="M878" s="202">
        <f>VLOOKUP(B878,[4]Weeks!$A$3:$AE$39,31,FALSE)-VLOOKUP(B878,[4]Weeks!$A$44:$AE$81,31,FALSE)</f>
        <v>0</v>
      </c>
      <c r="N878" s="11" t="str">
        <f t="shared" si="186"/>
        <v>-</v>
      </c>
      <c r="O878" s="202">
        <f t="shared" si="187"/>
        <v>0</v>
      </c>
      <c r="P878" s="41">
        <f>IF(ISNUMBER(VLOOKUP(B878,[4]CLOSURES!B:BI,29,FALSE)),TEXT(VLOOKUP(B878,[4]CLOSURES!B:BI,4,FALSE),"ddmmm"),IF(F878&lt;=0,0,IF(I878&lt;=0,0,IF(AND(F878&gt;0,O878&lt;=0),"&gt;52",IF(I878/O878&gt;52,"&gt;52", MAX(0,I878/O878-2))))))</f>
        <v>0</v>
      </c>
    </row>
    <row r="879" spans="2:16" s="2" customFormat="1" ht="10.75" hidden="1" customHeight="1" x14ac:dyDescent="0.25">
      <c r="B879" s="152" t="s">
        <v>82</v>
      </c>
      <c r="C879" s="130">
        <f>'[5]Maj Pel Combined'!$U$11</f>
        <v>0</v>
      </c>
      <c r="D879" s="200">
        <f>F879-VLOOKUP(B879,[4]quotas!$B$85:$AF$120,31,FALSE)</f>
        <v>0</v>
      </c>
      <c r="E879" s="200">
        <f t="shared" si="183"/>
        <v>0</v>
      </c>
      <c r="F879" s="201">
        <f>VLOOKUP(B879,[4]quotas!$B$46:$AF$84,31,FALSE)</f>
        <v>0</v>
      </c>
      <c r="G879" s="202">
        <f>VLOOKUP(B879,[4]Cumulative!$A$56:$AZ$91,31,FALSE)</f>
        <v>0</v>
      </c>
      <c r="H879" s="151">
        <f>IF(AND(F879=0,G879&gt;0),"n/a",IF(F879=0,0,100*G879/F879))</f>
        <v>0</v>
      </c>
      <c r="I879" s="201">
        <f t="shared" si="184"/>
        <v>0</v>
      </c>
      <c r="J879" s="202">
        <f>VLOOKUP(B879,[4]Weeks!$A$125:$AE$161,31,FALSE)-VLOOKUP(B879,[4]Weeks!$A$165:$AE$200,31,FALSE)</f>
        <v>0</v>
      </c>
      <c r="K879" s="202">
        <f>VLOOKUP(B879,[4]Weeks!$A$85:$AE$121,31,FALSE)-VLOOKUP(B879,[4]Weeks!$A$125:$AE$161,31,FALSE)</f>
        <v>0</v>
      </c>
      <c r="L879" s="202">
        <f>VLOOKUP(B879,[4]Weeks!$A$44:$AE$81,31,FALSE)-VLOOKUP(B879,[4]Weeks!$A$85:$AE$121,31,FALSE)</f>
        <v>0</v>
      </c>
      <c r="M879" s="202">
        <f>VLOOKUP(B879,[4]Weeks!$A$3:$AE$39,31,FALSE)-VLOOKUP(B879,[4]Weeks!$A$44:$AE$81,31,FALSE)</f>
        <v>0</v>
      </c>
      <c r="N879" s="11" t="str">
        <f>IF(C879="*","*",IF(C879&gt;0,M879/C879*100,"-"))</f>
        <v>-</v>
      </c>
      <c r="O879" s="202">
        <f>IF(C879="*","*",SUM(J879:M879)/4)</f>
        <v>0</v>
      </c>
      <c r="P879" s="41">
        <f>IF(ISNUMBER(VLOOKUP(B879,[4]CLOSURES!B:BI,29,FALSE)),TEXT(VLOOKUP(B879,[4]CLOSURES!B:BI,4,FALSE),"ddmmm"),IF(F879&lt;=0,0,IF(I879&lt;=0,0,IF(AND(F879&gt;0,O879&lt;=0),"&gt;52",IF(I879/O879&gt;52,"&gt;52", MAX(0,I879/O879-2))))))</f>
        <v>0</v>
      </c>
    </row>
    <row r="880" spans="2:16" s="2" customFormat="1" ht="10.75" hidden="1" customHeight="1" x14ac:dyDescent="0.25">
      <c r="B880" s="152" t="s">
        <v>83</v>
      </c>
      <c r="C880" s="130">
        <f>'[5]Maj Pel Combined'!$U$15</f>
        <v>0</v>
      </c>
      <c r="D880" s="200">
        <v>0</v>
      </c>
      <c r="E880" s="200">
        <v>0</v>
      </c>
      <c r="F880" s="201">
        <f>VLOOKUP(B880,[4]quotas!$B$46:$AF$84,31,FALSE)</f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f>IF(C880="*","*",SUM(J880:M880)/4)</f>
        <v>0</v>
      </c>
      <c r="P880" s="41">
        <f>IF(ISNUMBER(VLOOKUP(B880,[4]CLOSURES!B:BI,29,FALSE)),TEXT(VLOOKUP(B880,[4]CLOSURES!B:BI,4,FALSE),"ddmmm"),IF(F880&lt;=0,0,IF(I880&lt;=0,0,IF(AND(F880&gt;0,O880&lt;=0),"&gt;52",IF(I880/O880&gt;52,"&gt;52", MAX(0,I880/O880-2))))))</f>
        <v>0</v>
      </c>
    </row>
    <row r="881" spans="2:18" ht="10.75" hidden="1" customHeight="1" x14ac:dyDescent="0.25">
      <c r="B881" s="170" t="s">
        <v>84</v>
      </c>
      <c r="C881" s="130">
        <f>'[5]Maj Pel Combined'!$U$10</f>
        <v>0</v>
      </c>
      <c r="D881" s="200">
        <f>F881-VLOOKUP(B881,[4]quotas!$B$85:$AF$120,31,FALSE)</f>
        <v>0</v>
      </c>
      <c r="E881" s="200">
        <f>F881-C881</f>
        <v>0</v>
      </c>
      <c r="F881" s="201">
        <f>VLOOKUP(B881,[4]quotas!$B$46:$AF$84,31,FALSE)</f>
        <v>0</v>
      </c>
      <c r="G881" s="202">
        <f>VLOOKUP(B881,[4]Cumulative!$A$56:$AZ$91,31,FALSE)</f>
        <v>0</v>
      </c>
      <c r="H881" s="151">
        <f>IF(AND(F881=0,G881&gt;0),"n/a",IF(F881=0,0,100*G881/F881))</f>
        <v>0</v>
      </c>
      <c r="I881" s="201">
        <f>IF(F881="*","*",F881-G881)</f>
        <v>0</v>
      </c>
      <c r="J881" s="202">
        <f>VLOOKUP(B881,[4]Weeks!$A$125:$AE$161,31,FALSE)-VLOOKUP(B881,[4]Weeks!$A$165:$AE$200,31,FALSE)</f>
        <v>0</v>
      </c>
      <c r="K881" s="202">
        <f>VLOOKUP(B881,[4]Weeks!$A$85:$AE$121,31,FALSE)-VLOOKUP(B881,[4]Weeks!$A$125:$AE$161,31,FALSE)</f>
        <v>0</v>
      </c>
      <c r="L881" s="202">
        <f>VLOOKUP(B881,[4]Weeks!$A$44:$AE$81,31,FALSE)-VLOOKUP(B881,[4]Weeks!$A$85:$AE$121,31,FALSE)</f>
        <v>0</v>
      </c>
      <c r="M881" s="202">
        <f>VLOOKUP(B881,[4]Weeks!$A$3:$AE$39,31,FALSE)-VLOOKUP(B881,[4]Weeks!$A$44:$AE$81,31,FALSE)</f>
        <v>0</v>
      </c>
      <c r="N881" s="11" t="str">
        <f>IF(C881="*","*",IF(C881&gt;0,M881/C881*100,"-"))</f>
        <v>-</v>
      </c>
      <c r="O881" s="202">
        <f>IF(C881="*","*",SUM(J881:M881)/4)</f>
        <v>0</v>
      </c>
      <c r="P881" s="41">
        <f>IF(ISNUMBER(VLOOKUP(B881,[4]CLOSURES!B:BI,29,FALSE)),TEXT(VLOOKUP(B881,[4]CLOSURES!B:BI,4,FALSE),"ddmmm"),IF(F881&lt;=0,0,IF(I881&lt;=0,0,IF(AND(F881&gt;0,O881&lt;=0),"&gt;52",IF(I881/O881&gt;52,"&gt;52", MAX(0,I881/O881-2))))))</f>
        <v>0</v>
      </c>
      <c r="R881" s="2"/>
    </row>
    <row r="882" spans="2:18" ht="10.75" hidden="1" customHeight="1" x14ac:dyDescent="0.25">
      <c r="B882" s="40" t="s">
        <v>85</v>
      </c>
      <c r="C882" s="130">
        <f>'[5]Maj Pel Combined'!$U$12</f>
        <v>0</v>
      </c>
      <c r="D882" s="200">
        <f>F882-VLOOKUP(B882,[4]quotas!$B$85:$AF$120,31,FALSE)</f>
        <v>0</v>
      </c>
      <c r="E882" s="200">
        <f>F882-C882</f>
        <v>0</v>
      </c>
      <c r="F882" s="201">
        <f>VLOOKUP(B882,[4]quotas!$B$46:$AF$84,31,FALSE)</f>
        <v>0</v>
      </c>
      <c r="G882" s="202">
        <f>VLOOKUP(B882,[4]Cumulative!$A$56:$AZ$91,31,FALSE)</f>
        <v>0</v>
      </c>
      <c r="H882" s="151">
        <f>IF(AND(F882=0,G882&gt;0),"n/a",IF(F882=0,0,100*G882/F882))</f>
        <v>0</v>
      </c>
      <c r="I882" s="201">
        <f>IF(F882="*","*",F882-G882)</f>
        <v>0</v>
      </c>
      <c r="J882" s="202">
        <f>VLOOKUP(B882,[4]Weeks!$A$125:$AE$161,31,FALSE)-VLOOKUP(B882,[4]Weeks!$A$165:$AE$200,31,FALSE)</f>
        <v>0</v>
      </c>
      <c r="K882" s="202">
        <f>VLOOKUP(B882,[4]Weeks!$A$85:$AE$121,31,FALSE)-VLOOKUP(B882,[4]Weeks!$A$125:$AE$161,31,FALSE)</f>
        <v>0</v>
      </c>
      <c r="L882" s="202">
        <f>VLOOKUP(B882,[4]Weeks!$A$44:$AE$81,31,FALSE)-VLOOKUP(B882,[4]Weeks!$A$85:$AE$121,31,FALSE)</f>
        <v>0</v>
      </c>
      <c r="M882" s="202">
        <f>VLOOKUP(B882,[4]Weeks!$A$3:$AE$39,31,FALSE)-VLOOKUP(B882,[4]Weeks!$A$44:$AE$81,31,FALSE)</f>
        <v>0</v>
      </c>
      <c r="N882" s="11" t="s">
        <v>116</v>
      </c>
      <c r="O882" s="202">
        <f>IF(C882="*","*",SUM(J882:M882)/4)</f>
        <v>0</v>
      </c>
      <c r="P882" s="41">
        <f>IF(ISNUMBER(VLOOKUP(B882,[4]CLOSURES!B:BI,29,FALSE)),TEXT(VLOOKUP(B882,[4]CLOSURES!B:BI,4,FALSE),"ddmmm"),IF(F882&lt;=0,0,IF(I882&lt;=0,0,IF(AND(F882&gt;0,O882&lt;=0),"&gt;52",IF(I882/O882&gt;52,"&gt;52", MAX(0,I882/O882-2))))))</f>
        <v>0</v>
      </c>
      <c r="R882" s="2"/>
    </row>
    <row r="883" spans="2:18" ht="10.75" hidden="1" customHeight="1" x14ac:dyDescent="0.25">
      <c r="B883" s="162" t="s">
        <v>86</v>
      </c>
      <c r="C883" s="130">
        <f>SUM(C858:C867)+SUM(C870:C882)</f>
        <v>0</v>
      </c>
      <c r="D883" s="202">
        <f>SUM(D858:D867)+SUM(D870:D882)</f>
        <v>0</v>
      </c>
      <c r="E883" s="200">
        <f t="shared" ref="E883:E888" si="188">F883-C883</f>
        <v>0</v>
      </c>
      <c r="F883" s="201">
        <f>SUM(F858:F867)+SUM(F870:F882)</f>
        <v>0</v>
      </c>
      <c r="G883" s="202">
        <f>SUM(G858:G867)+SUM(G870:G882)</f>
        <v>0</v>
      </c>
      <c r="H883" s="151">
        <f>IF(AND(F883=0,G883&gt;0),"n/a",IF(F883=0,0,100*G883/F883))</f>
        <v>0</v>
      </c>
      <c r="I883" s="201">
        <f>IF(F883="*","*",F883-G883)</f>
        <v>0</v>
      </c>
      <c r="J883" s="202">
        <f>SUM(J858:J867)+SUM(J870:J882)</f>
        <v>0</v>
      </c>
      <c r="K883" s="202">
        <f>SUM(K858:K867)+SUM(K870:K882)</f>
        <v>0</v>
      </c>
      <c r="L883" s="202">
        <f>SUM(L858:L867)+SUM(L870:L882)</f>
        <v>0</v>
      </c>
      <c r="M883" s="202">
        <f>SUM(M858:M867)+SUM(M870:M882)</f>
        <v>0</v>
      </c>
      <c r="N883" s="11" t="str">
        <f>IF(C883="*","*",IF(C883&gt;0,M883/C883*100,"-"))</f>
        <v>-</v>
      </c>
      <c r="O883" s="202">
        <f>IF(C883="*","*",SUM(J883:M883)/4)</f>
        <v>0</v>
      </c>
      <c r="P883" s="41">
        <f>IF(ISNUMBER(VLOOKUP(B883,[4]CLOSURES!B:BI,29,FALSE)),TEXT(VLOOKUP(B883,[4]CLOSURES!B:BI,4,FALSE),"ddmmm"),IF(F883&lt;=0,0,IF(I883&lt;=0,0,IF(AND(F883&gt;0,O883&lt;=0),"&gt;52",IF(I883/O883&gt;52,"&gt;52", MAX(0,I883/O883-2))))))</f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f>'[5]Maj Pel Combined'!$U$29+'[5]Maj Pel Combined'!$U$31</f>
        <v>0</v>
      </c>
      <c r="D885" s="200"/>
      <c r="E885" s="200">
        <f t="shared" si="188"/>
        <v>0</v>
      </c>
      <c r="F885" s="201">
        <f>[4]quotas!AF29+[4]quotas!AF31</f>
        <v>0</v>
      </c>
      <c r="G885" s="202"/>
      <c r="H885" s="151">
        <f>IF(AND(F885=0,G885&gt;0),"n/a",IF(F885=0,0,100*G885/F885))</f>
        <v>0</v>
      </c>
      <c r="I885" s="201">
        <f>IF(F885="*","*",F885-G885)</f>
        <v>0</v>
      </c>
      <c r="J885" s="202"/>
      <c r="K885" s="202"/>
      <c r="L885" s="202"/>
      <c r="M885" s="202"/>
      <c r="N885" s="11" t="str">
        <f>IF(C885="*","*",IF(C885&gt;0,M885/C885*100,"-"))</f>
        <v>-</v>
      </c>
      <c r="O885" s="202">
        <f>IF(C885="*","*",SUM(J885:M885)/4)</f>
        <v>0</v>
      </c>
      <c r="P885" s="41">
        <f>IF(ISNUMBER(VLOOKUP(B885,[4]CLOSURES!B:BI,29,FALSE)),TEXT(VLOOKUP(B885,[4]CLOSURES!B:BI,4,FALSE),"ddmmm"),IF(F885&lt;=0,0,IF(I885&lt;=0,0,IF(AND(F885&gt;0,O885&lt;=0),"&gt;52",IF(I885/O885&gt;52,"&gt;52", MAX(0,I885/O885-2))))))</f>
        <v>0</v>
      </c>
      <c r="R885" s="2"/>
    </row>
    <row r="886" spans="2:18" ht="10.75" hidden="1" customHeight="1" x14ac:dyDescent="0.25">
      <c r="B886" s="44" t="s">
        <v>88</v>
      </c>
      <c r="C886" s="130">
        <f>'[5]Maj Pel Combined'!$T$33</f>
        <v>0</v>
      </c>
      <c r="D886" s="200"/>
      <c r="E886" s="200">
        <f t="shared" si="188"/>
        <v>0</v>
      </c>
      <c r="F886" s="201">
        <f>VLOOKUP(B886,[4]quotas!$B$46:$AF$84,31,FALSE)</f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f>IF(C886="*","*",SUM(J886:M886)/4)</f>
        <v>0</v>
      </c>
      <c r="P886" s="41">
        <f>IF(ISNUMBER(VLOOKUP(B886,[4]CLOSURES!B:BI,29,FALSE)),TEXT(VLOOKUP(B886,[4]CLOSURES!B:BI,4,FALSE),"ddmmm"),IF(F886&lt;=0,0,IF(I886&lt;=0,0,IF(AND(F886&gt;0,O886&lt;=0),"&gt;52",IF(I886/O886&gt;52,"&gt;52", MAX(0,I886/O886-2))))))</f>
        <v>0</v>
      </c>
      <c r="R886" s="2"/>
    </row>
    <row r="887" spans="2:18" ht="10.75" hidden="1" customHeight="1" x14ac:dyDescent="0.25">
      <c r="B887" s="44" t="s">
        <v>89</v>
      </c>
      <c r="C887" s="130">
        <f>'[5]Maj Pel Combined'!$U$36+'[5]Maj Pel Combined'!$U$37+'[5]Maj Pel Combined'!$U$38+'[5]Maj Pel Combined'!$U$39</f>
        <v>0</v>
      </c>
      <c r="D887" s="200"/>
      <c r="E887" s="200">
        <f t="shared" si="188"/>
        <v>0</v>
      </c>
      <c r="F887" s="201">
        <f>[4]quotas!AF34+[4]quotas!AF35+[4]quotas!AF36+[4]quotas!AF37</f>
        <v>0</v>
      </c>
      <c r="G887" s="202"/>
      <c r="H887" s="151">
        <f>IF(AND(F887=0,G887&gt;0),"n/a",IF(F887=0,0,100*G887/F887))</f>
        <v>0</v>
      </c>
      <c r="I887" s="201">
        <f>IF(F887="*","*",F887-G887)</f>
        <v>0</v>
      </c>
      <c r="J887" s="202"/>
      <c r="K887" s="202"/>
      <c r="L887" s="202"/>
      <c r="M887" s="202"/>
      <c r="N887" s="11" t="str">
        <f>IF(C887="*","*",IF(C887&gt;0,M887/C887*100,"-"))</f>
        <v>-</v>
      </c>
      <c r="O887" s="202">
        <f>IF(C887="*","*",SUM(J887:M887)/4)</f>
        <v>0</v>
      </c>
      <c r="P887" s="41">
        <f>IF(ISNUMBER(VLOOKUP(B887,[4]CLOSURES!B:BI,29,FALSE)),TEXT(VLOOKUP(B887,[4]CLOSURES!B:BI,4,FALSE),"ddmmm"),IF(F887&lt;=0,0,IF(I887&lt;=0,0,IF(AND(F887&gt;0,O887&lt;=0),"&gt;52",IF(I887/O887&gt;52,"&gt;52", MAX(0,I887/O887-2))))))</f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f t="shared" si="188"/>
        <v>0</v>
      </c>
      <c r="F888" s="201">
        <f>VLOOKUP(B888,[4]quotas!$B$46:$AF$84,31,FALSE)</f>
        <v>0</v>
      </c>
      <c r="G888" s="202"/>
      <c r="H888" s="151">
        <f>IF(AND(F888=0,G888&gt;0),"n/a",IF(F888=0,0,100*G888/F888))</f>
        <v>0</v>
      </c>
      <c r="I888" s="201">
        <f>IF(F888="*","*",F888-G888)</f>
        <v>0</v>
      </c>
      <c r="J888" s="202"/>
      <c r="K888" s="202"/>
      <c r="L888" s="202"/>
      <c r="M888" s="202"/>
      <c r="N888" s="11" t="str">
        <f>IF(C888="*","*",IF(C888&gt;0,M888/C888*100,"-"))</f>
        <v>-</v>
      </c>
      <c r="O888" s="202">
        <f>IF(C888="*","*",SUM(J888:M888)/4)</f>
        <v>0</v>
      </c>
      <c r="P888" s="41">
        <f>IF(ISNUMBER(VLOOKUP(B888,[4]CLOSURES!B:BI,29,FALSE)),TEXT(VLOOKUP(B888,[4]CLOSURES!B:BI,4,FALSE),"ddmmm"),IF(F888&lt;=0,0,IF(I888&lt;=0,0,IF(AND(F888&gt;0,O888&lt;=0),"&gt;52",IF(I888/O888&gt;52,"&gt;52", MAX(0,I888/O888-2))))))</f>
        <v>0</v>
      </c>
      <c r="R888" s="2"/>
    </row>
    <row r="889" spans="2:18" ht="10.75" hidden="1" customHeight="1" x14ac:dyDescent="0.25">
      <c r="B889" s="40" t="s">
        <v>90</v>
      </c>
      <c r="C889" s="130">
        <f>'[5]Maj Pel Combined'!$U$41</f>
        <v>0</v>
      </c>
      <c r="D889" s="200"/>
      <c r="E889" s="200"/>
      <c r="F889" s="201">
        <f>'[5]Maj Pel Combined'!$U$41</f>
        <v>0</v>
      </c>
      <c r="G889" s="202"/>
      <c r="H889" s="151"/>
      <c r="I889" s="201">
        <f>C889</f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f>C883+SUM(C885:C889)</f>
        <v>0</v>
      </c>
      <c r="D890" s="135">
        <f>D883+SUM(D885:D889)</f>
        <v>0</v>
      </c>
      <c r="E890" s="135">
        <f>E883+SUM(E885:E889)</f>
        <v>0</v>
      </c>
      <c r="F890" s="142">
        <f>F883+SUM(F885:F889)</f>
        <v>0</v>
      </c>
      <c r="G890" s="135">
        <f>G883+SUM(G885:G889)</f>
        <v>0</v>
      </c>
      <c r="H890" s="156">
        <f>IF(AND(F890=0,G890&gt;0),"n/a",IF(F890=0,0,100*G890/F890))</f>
        <v>0</v>
      </c>
      <c r="I890" s="142">
        <f>I883+SUM(I885:I889)</f>
        <v>0</v>
      </c>
      <c r="J890" s="131">
        <f>J887+J885+J883</f>
        <v>0</v>
      </c>
      <c r="K890" s="131">
        <f>K887+K885+K883</f>
        <v>0</v>
      </c>
      <c r="L890" s="131">
        <f>L887+L885+L883</f>
        <v>0</v>
      </c>
      <c r="M890" s="131">
        <f>M887+M885+M883</f>
        <v>0</v>
      </c>
      <c r="N890" s="53" t="str">
        <f>IF(C890="*","*",IF(C890&gt;0,M890/C890*100,"-"))</f>
        <v>-</v>
      </c>
      <c r="O890" s="131">
        <f>IF(C890="*","*",SUM(J890:M890)/4)</f>
        <v>0</v>
      </c>
      <c r="P890" s="49">
        <f>IF(ISNUMBER(VLOOKUP(B890,[4]CLOSURES!B:BI,29,FALSE)),TEXT(VLOOKUP(B890,[4]CLOSURES!B:BI,4,FALSE),"ddmmm"),IF(F890&lt;=0,0,IF(I890&lt;=0,0,IF(AND(F890&gt;0,O890&lt;=0),"&gt;52",IF(I890/O890&gt;52,"&gt;52", MAX(0,I890/O890-2))))))</f>
        <v>0</v>
      </c>
      <c r="R890" s="2"/>
    </row>
    <row r="891" spans="2:18" ht="10.75" hidden="1" customHeight="1" x14ac:dyDescent="0.25">
      <c r="B891" s="163" t="str">
        <f>B83</f>
        <v>Number of Weeks to end of year is 2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8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7" priority="5" stopIfTrue="1" operator="between">
      <formula>85</formula>
      <formula>89.9</formula>
    </cfRule>
    <cfRule type="cellIs" dxfId="6" priority="6" stopIfTrue="1" operator="between">
      <formula>89.9</formula>
      <formula>9999999999999</formula>
    </cfRule>
    <cfRule type="cellIs" dxfId="5" priority="7" stopIfTrue="1" operator="equal">
      <formula>"n/a"</formula>
    </cfRule>
  </conditionalFormatting>
  <conditionalFormatting sqref="H636:H648">
    <cfRule type="cellIs" dxfId="4" priority="8" stopIfTrue="1" operator="between">
      <formula>85</formula>
      <formula>89.9</formula>
    </cfRule>
    <cfRule type="cellIs" dxfId="3" priority="9" stopIfTrue="1" operator="between">
      <formula>89.9</formula>
      <formula>9999999999999</formula>
    </cfRule>
  </conditionalFormatting>
  <conditionalFormatting sqref="I125">
    <cfRule type="cellIs" dxfId="2" priority="3" stopIfTrue="1" operator="lessThan">
      <formula>0</formula>
    </cfRule>
  </conditionalFormatting>
  <conditionalFormatting sqref="I165">
    <cfRule type="cellIs" dxfId="1" priority="2" stopIfTrue="1" operator="lessThan">
      <formula>0</formula>
    </cfRule>
  </conditionalFormatting>
  <conditionalFormatting sqref="I457">
    <cfRule type="cellIs" dxfId="0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160</v>
      </c>
      <c r="C1" s="3"/>
      <c r="D1" s="4"/>
      <c r="E1" s="4"/>
      <c r="F1" s="5"/>
      <c r="G1" s="4"/>
      <c r="H1" s="4"/>
      <c r="I1" s="6"/>
      <c r="J1" s="4"/>
      <c r="K1" s="7">
        <v>44915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44895</v>
      </c>
      <c r="K7" s="33">
        <v>44902</v>
      </c>
      <c r="L7" s="33">
        <v>44909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0.33650000000000008</v>
      </c>
      <c r="H17" s="151">
        <v>2.753231876943171</v>
      </c>
      <c r="I17" s="201">
        <v>11.885500000000206</v>
      </c>
      <c r="J17" s="202">
        <v>6.2500000000000333E-3</v>
      </c>
      <c r="K17" s="202">
        <v>0</v>
      </c>
      <c r="L17" s="202">
        <v>0</v>
      </c>
      <c r="M17" s="202">
        <v>0</v>
      </c>
      <c r="N17" s="11">
        <v>0</v>
      </c>
      <c r="O17" s="208">
        <v>1.5625000000000083E-3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0.33650000000000008</v>
      </c>
      <c r="H22" s="151">
        <v>2.753231876943171</v>
      </c>
      <c r="I22" s="201">
        <v>11.885500000000206</v>
      </c>
      <c r="J22" s="202">
        <v>6.2500000000000333E-3</v>
      </c>
      <c r="K22" s="202">
        <v>0</v>
      </c>
      <c r="L22" s="202">
        <v>0</v>
      </c>
      <c r="M22" s="202">
        <v>0</v>
      </c>
      <c r="N22" s="11">
        <v>0</v>
      </c>
      <c r="O22" s="208">
        <v>1.5625000000000083E-3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0.33650000000000008</v>
      </c>
      <c r="H24" s="156">
        <v>2.753231876943171</v>
      </c>
      <c r="I24" s="132">
        <v>11.885500000000206</v>
      </c>
      <c r="J24" s="131">
        <v>6.2500000000000333E-3</v>
      </c>
      <c r="K24" s="131">
        <v>0</v>
      </c>
      <c r="L24" s="131">
        <v>0</v>
      </c>
      <c r="M24" s="131">
        <v>0</v>
      </c>
      <c r="N24" s="48">
        <v>0</v>
      </c>
      <c r="O24" s="47">
        <v>1.5625000000000083E-3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44895</v>
      </c>
      <c r="K29" s="33">
        <v>44902</v>
      </c>
      <c r="L29" s="33">
        <v>44909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44895</v>
      </c>
      <c r="K51" s="33">
        <v>44902</v>
      </c>
      <c r="L51" s="33">
        <v>44909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-50</v>
      </c>
      <c r="E61" s="200">
        <v>-1113.3</v>
      </c>
      <c r="F61" s="201">
        <v>38.911000000000058</v>
      </c>
      <c r="G61" s="202">
        <v>86.207523010040276</v>
      </c>
      <c r="H61" s="151">
        <v>221.55052044419355</v>
      </c>
      <c r="I61" s="201">
        <v>-47.296523010040218</v>
      </c>
      <c r="J61" s="202">
        <v>0.20295999848841006</v>
      </c>
      <c r="K61" s="202">
        <v>0.36473999886220554</v>
      </c>
      <c r="L61" s="202">
        <v>2.9170700061395962</v>
      </c>
      <c r="M61" s="202">
        <v>2.1989402906176565</v>
      </c>
      <c r="N61" s="11">
        <v>0.19084527839238269</v>
      </c>
      <c r="O61" s="208">
        <v>1.4209275735269671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0.18040000046044596</v>
      </c>
      <c r="H62" s="151">
        <v>3.914930565547873</v>
      </c>
      <c r="I62" s="201">
        <v>4.4275999995395541</v>
      </c>
      <c r="J62" s="202">
        <v>0</v>
      </c>
      <c r="K62" s="202">
        <v>0</v>
      </c>
      <c r="L62" s="202">
        <v>0</v>
      </c>
      <c r="M62" s="202">
        <v>5.0000000745059614E-4</v>
      </c>
      <c r="N62" s="11">
        <v>1.085069460613273E-2</v>
      </c>
      <c r="O62" s="208">
        <v>1.2500000186264904E-4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152.49</v>
      </c>
      <c r="H63" s="151">
        <v>33.610315186246417</v>
      </c>
      <c r="I63" s="201">
        <v>301.20999999999998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0.20169597299851541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-50</v>
      </c>
      <c r="E66" s="200">
        <v>-1083.2999999999997</v>
      </c>
      <c r="F66" s="201">
        <v>521.81900000000007</v>
      </c>
      <c r="G66" s="201">
        <v>238.87792301050075</v>
      </c>
      <c r="H66" s="151">
        <v>45.777927405958906</v>
      </c>
      <c r="I66" s="201">
        <v>282.94107698949932</v>
      </c>
      <c r="J66" s="202">
        <v>0.20295999848841006</v>
      </c>
      <c r="K66" s="202">
        <v>0.36473999886220554</v>
      </c>
      <c r="L66" s="202">
        <v>2.9170700061395962</v>
      </c>
      <c r="M66" s="202">
        <v>2.1994402906251072</v>
      </c>
      <c r="N66" s="11">
        <v>0.13702661862610233</v>
      </c>
      <c r="O66" s="208">
        <v>1.4210525735288297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-50</v>
      </c>
      <c r="E68" s="135">
        <v>-1562.3</v>
      </c>
      <c r="F68" s="132">
        <v>535.78500000000008</v>
      </c>
      <c r="G68" s="132">
        <v>238.87792301050075</v>
      </c>
      <c r="H68" s="156">
        <v>44.584660453446944</v>
      </c>
      <c r="I68" s="132">
        <v>296.90707698949933</v>
      </c>
      <c r="J68" s="131">
        <v>0.20295999848841006</v>
      </c>
      <c r="K68" s="131">
        <v>0.36473999886220554</v>
      </c>
      <c r="L68" s="131">
        <v>2.9170700061395962</v>
      </c>
      <c r="M68" s="131">
        <v>2.1994402906251072</v>
      </c>
      <c r="N68" s="53">
        <v>0.10483084768372622</v>
      </c>
      <c r="O68" s="47">
        <v>1.4210525735288297</v>
      </c>
      <c r="P68" s="49" t="s">
        <v>149</v>
      </c>
      <c r="Q68" s="158"/>
      <c r="T68" s="4"/>
    </row>
    <row r="69" spans="1:20" ht="10.75" customHeight="1" x14ac:dyDescent="0.3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44895</v>
      </c>
      <c r="K76" s="33">
        <v>44902</v>
      </c>
      <c r="L76" s="33">
        <v>44909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44895</v>
      </c>
      <c r="K98" s="33">
        <v>44902</v>
      </c>
      <c r="L98" s="33">
        <v>44909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-40</v>
      </c>
      <c r="E108" s="200">
        <v>13.5</v>
      </c>
      <c r="F108" s="201">
        <v>31.728999999999999</v>
      </c>
      <c r="G108" s="202">
        <v>2.7307199973650205</v>
      </c>
      <c r="H108" s="151">
        <v>8.6063853174226121</v>
      </c>
      <c r="I108" s="201">
        <v>28.998280002634978</v>
      </c>
      <c r="J108" s="202">
        <v>3.8399999737737112E-3</v>
      </c>
      <c r="K108" s="202">
        <v>-8.197630912065712E-3</v>
      </c>
      <c r="L108" s="202">
        <v>0</v>
      </c>
      <c r="M108" s="202">
        <v>1.1350000012666506E-2</v>
      </c>
      <c r="N108" s="11">
        <v>6.2263426477955491E-2</v>
      </c>
      <c r="O108" s="208">
        <v>1.7480922685936262E-3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970.85999999999876</v>
      </c>
      <c r="H110" s="151">
        <v>88.327128617749381</v>
      </c>
      <c r="I110" s="201">
        <v>128.30400000000122</v>
      </c>
      <c r="J110" s="202">
        <v>7.8699999999999974</v>
      </c>
      <c r="K110" s="202">
        <v>3.8799999999999955</v>
      </c>
      <c r="L110" s="202">
        <v>3.2899999999999494</v>
      </c>
      <c r="M110" s="202">
        <v>2.3500000000000227</v>
      </c>
      <c r="N110" s="11">
        <v>0.20811857267855005</v>
      </c>
      <c r="O110" s="208">
        <v>4.3474999999999913</v>
      </c>
      <c r="P110" s="41">
        <v>27.51213341000609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0.27038199915650551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-40</v>
      </c>
      <c r="E113" s="200">
        <v>-14.5</v>
      </c>
      <c r="F113" s="201">
        <v>1132.893</v>
      </c>
      <c r="G113" s="201">
        <v>973.59071999736375</v>
      </c>
      <c r="H113" s="151">
        <v>0</v>
      </c>
      <c r="I113" s="201">
        <v>159.30228000263628</v>
      </c>
      <c r="J113" s="202">
        <v>7.8738399999737716</v>
      </c>
      <c r="K113" s="202">
        <v>3.8718023690879297</v>
      </c>
      <c r="L113" s="202">
        <v>3.2899999999999494</v>
      </c>
      <c r="M113" s="202">
        <v>2.3613500000126892</v>
      </c>
      <c r="N113" s="11">
        <v>0.20580132526629405</v>
      </c>
      <c r="O113" s="208">
        <v>4.349248092268585</v>
      </c>
      <c r="P113" s="41">
        <v>34.627544951004069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-40</v>
      </c>
      <c r="E115" s="135">
        <v>-114.5</v>
      </c>
      <c r="F115" s="132">
        <v>1137.0930000000001</v>
      </c>
      <c r="G115" s="131">
        <v>973.59071999736375</v>
      </c>
      <c r="H115" s="156">
        <v>85.621028358926111</v>
      </c>
      <c r="I115" s="132">
        <v>163.50228000263633</v>
      </c>
      <c r="J115" s="131">
        <v>7.8738399999737716</v>
      </c>
      <c r="K115" s="131">
        <v>3.8718023690879297</v>
      </c>
      <c r="L115" s="131">
        <v>3.2899999999999494</v>
      </c>
      <c r="M115" s="131">
        <v>2.3613500000126892</v>
      </c>
      <c r="N115" s="53">
        <v>0.18866756205992596</v>
      </c>
      <c r="O115" s="47">
        <v>4.349248092268585</v>
      </c>
      <c r="P115" s="49">
        <v>35.593229113162153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44895</v>
      </c>
      <c r="K120" s="33">
        <v>44902</v>
      </c>
      <c r="L120" s="33">
        <v>44909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2.7307199973650205</v>
      </c>
      <c r="H130" s="151">
        <v>14.980086660623297</v>
      </c>
      <c r="I130" s="201">
        <v>15.498280002634978</v>
      </c>
      <c r="J130" s="202">
        <v>3.8399999737737112E-3</v>
      </c>
      <c r="K130" s="202">
        <v>-8.197630912065712E-3</v>
      </c>
      <c r="L130" s="202">
        <v>0</v>
      </c>
      <c r="M130" s="202">
        <v>1.1350000012666506E-2</v>
      </c>
      <c r="N130" s="11">
        <v>6.2263426477955491E-2</v>
      </c>
      <c r="O130" s="208">
        <v>1.7480922685936262E-3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55.45</v>
      </c>
      <c r="H132" s="151">
        <v>4.9107127042661647</v>
      </c>
      <c r="I132" s="201">
        <v>1073.7139999999999</v>
      </c>
      <c r="J132" s="202">
        <v>1.740000000000002</v>
      </c>
      <c r="K132" s="202">
        <v>0.25</v>
      </c>
      <c r="L132" s="202">
        <v>0.60999999999999943</v>
      </c>
      <c r="M132" s="202">
        <v>0</v>
      </c>
      <c r="N132" s="11">
        <v>0</v>
      </c>
      <c r="O132" s="208">
        <v>0.65000000000000036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6.2263426477955491E-2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58.180719997365024</v>
      </c>
      <c r="H135" s="151">
        <v>5.0706880726451198</v>
      </c>
      <c r="I135" s="201">
        <v>1089.212280002635</v>
      </c>
      <c r="J135" s="202">
        <v>1.7438399999737757</v>
      </c>
      <c r="K135" s="202">
        <v>0.24180236908793429</v>
      </c>
      <c r="L135" s="202">
        <v>0.60999999999999943</v>
      </c>
      <c r="M135" s="202">
        <v>1.1350000012666506E-2</v>
      </c>
      <c r="N135" s="11">
        <v>9.8919899395120124E-4</v>
      </c>
      <c r="O135" s="208">
        <v>0.65174809226859398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58.180719997365024</v>
      </c>
      <c r="H137" s="156">
        <v>4.6485335086857322</v>
      </c>
      <c r="I137" s="132">
        <v>1193.412280002635</v>
      </c>
      <c r="J137" s="131">
        <v>1.7438399999737757</v>
      </c>
      <c r="K137" s="131">
        <v>0.24180236908793429</v>
      </c>
      <c r="L137" s="131">
        <v>0.60999999999999943</v>
      </c>
      <c r="M137" s="131">
        <v>1.1350000012666506E-2</v>
      </c>
      <c r="N137" s="53">
        <v>9.0684431861367913E-4</v>
      </c>
      <c r="O137" s="47">
        <v>0.65174809226859398</v>
      </c>
      <c r="P137" s="49" t="s">
        <v>149</v>
      </c>
      <c r="R137" s="153"/>
    </row>
    <row r="138" spans="1:254" ht="10.75" hidden="1" customHeight="1" x14ac:dyDescent="0.3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44895</v>
      </c>
      <c r="K145" s="33">
        <v>44902</v>
      </c>
      <c r="L145" s="33">
        <v>44909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1.6934499980211244</v>
      </c>
      <c r="H155" s="151">
        <v>89.55314637869148</v>
      </c>
      <c r="I155" s="201">
        <v>0.19755000197895201</v>
      </c>
      <c r="J155" s="202">
        <v>0</v>
      </c>
      <c r="K155" s="202">
        <v>1.3000000119207655E-3</v>
      </c>
      <c r="L155" s="202">
        <v>3.0000001192087566E-4</v>
      </c>
      <c r="M155" s="202">
        <v>1.3000000193716943E-3</v>
      </c>
      <c r="N155" s="11">
        <v>1.695598382362248E-4</v>
      </c>
      <c r="O155" s="208">
        <v>7.2500001080333387E-4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1.695598382362248E-4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1.6934499980211244</v>
      </c>
      <c r="H160" s="151">
        <v>89.316983017988193</v>
      </c>
      <c r="I160" s="201">
        <v>0.2025500019789519</v>
      </c>
      <c r="J160" s="202">
        <v>0</v>
      </c>
      <c r="K160" s="202">
        <v>1.3000000119207655E-3</v>
      </c>
      <c r="L160" s="202">
        <v>3.0000001192087566E-4</v>
      </c>
      <c r="M160" s="202">
        <v>1.3000000193716943E-3</v>
      </c>
      <c r="N160" s="11">
        <v>1.6955873245350103E-4</v>
      </c>
      <c r="O160" s="208">
        <v>7.2500001080333387E-4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1.6934499980211244</v>
      </c>
      <c r="H162" s="156">
        <v>3.6484972487797505</v>
      </c>
      <c r="I162" s="132">
        <v>44.721550001978954</v>
      </c>
      <c r="J162" s="131">
        <v>0</v>
      </c>
      <c r="K162" s="131">
        <v>1.3000000119207655E-3</v>
      </c>
      <c r="L162" s="131">
        <v>3.0000001192087566E-4</v>
      </c>
      <c r="M162" s="131">
        <v>1.3000000193716943E-3</v>
      </c>
      <c r="N162" s="53">
        <v>1.2584522193498585E-4</v>
      </c>
      <c r="O162" s="47">
        <v>7.2500001080333387E-4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44895</v>
      </c>
      <c r="K167" s="33">
        <v>44902</v>
      </c>
      <c r="L167" s="33">
        <v>44909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2.7037700057700245</v>
      </c>
      <c r="H177" s="151">
        <v>12.140862172294675</v>
      </c>
      <c r="I177" s="201">
        <v>19.566229994229978</v>
      </c>
      <c r="J177" s="202">
        <v>1.4199999988079082E-2</v>
      </c>
      <c r="K177" s="202">
        <v>1.9869999647140091E-2</v>
      </c>
      <c r="L177" s="202">
        <v>4.8200000166892298E-2</v>
      </c>
      <c r="M177" s="202">
        <v>6.4600000016391323E-2</v>
      </c>
      <c r="N177" s="11">
        <v>92.285714309130455</v>
      </c>
      <c r="O177" s="208">
        <v>3.6717499954625699E-2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92.285714309130455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2.7037700057700245</v>
      </c>
      <c r="H182" s="151">
        <v>12.140862172294675</v>
      </c>
      <c r="I182" s="201">
        <v>19.566229994229978</v>
      </c>
      <c r="J182" s="202">
        <v>1.4199999988079082E-2</v>
      </c>
      <c r="K182" s="202">
        <v>1.9869999647140091E-2</v>
      </c>
      <c r="L182" s="202">
        <v>4.8200000166892298E-2</v>
      </c>
      <c r="M182" s="202">
        <v>6.4600000016391323E-2</v>
      </c>
      <c r="N182" s="11">
        <v>92.285714309130455</v>
      </c>
      <c r="O182" s="208">
        <v>3.6717499954625699E-2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2.7037700057700245</v>
      </c>
      <c r="H184" s="156">
        <v>11.926643166166846</v>
      </c>
      <c r="I184" s="132">
        <v>19.966229994229977</v>
      </c>
      <c r="J184" s="131">
        <v>1.4199999988079082E-2</v>
      </c>
      <c r="K184" s="131">
        <v>1.9869999647140091E-2</v>
      </c>
      <c r="L184" s="131">
        <v>4.8200000166892298E-2</v>
      </c>
      <c r="M184" s="131">
        <v>6.4600000016391323E-2</v>
      </c>
      <c r="N184" s="53">
        <v>13.744680854551344</v>
      </c>
      <c r="O184" s="47">
        <v>3.6717499954625699E-2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44895</v>
      </c>
      <c r="K189" s="33">
        <v>44902</v>
      </c>
      <c r="L189" s="33">
        <v>44909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44895</v>
      </c>
      <c r="K214" s="33">
        <v>44902</v>
      </c>
      <c r="L214" s="33">
        <v>44909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44895</v>
      </c>
      <c r="K274" s="33">
        <v>44902</v>
      </c>
      <c r="L274" s="33">
        <v>44909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15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35">
    <cfRule type="cellIs" dxfId="11" priority="1" stopIfTrue="1" operator="between">
      <formula>85</formula>
      <formula>89.9</formula>
    </cfRule>
    <cfRule type="cellIs" dxfId="10" priority="2" stopIfTrue="1" operator="between">
      <formula>89.9</formula>
      <formula>9999999999999</formula>
    </cfRule>
    <cfRule type="cellIs" dxfId="9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3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177</v>
      </c>
    </row>
    <row r="4" spans="1:19" x14ac:dyDescent="0.3">
      <c r="B4" s="180" t="s">
        <v>153</v>
      </c>
      <c r="C4" s="180" t="s">
        <v>154</v>
      </c>
      <c r="D4" s="180" t="s">
        <v>187</v>
      </c>
      <c r="E4" s="180" t="s">
        <v>155</v>
      </c>
    </row>
    <row r="5" spans="1:19" x14ac:dyDescent="0.3">
      <c r="A5" s="180" t="s">
        <v>62</v>
      </c>
      <c r="B5" s="182">
        <v>8.375</v>
      </c>
      <c r="E5" s="182">
        <v>8.375</v>
      </c>
    </row>
    <row r="6" spans="1:19" x14ac:dyDescent="0.3">
      <c r="A6" s="180" t="s">
        <v>161</v>
      </c>
      <c r="B6" s="182">
        <v>5.0000000000000001E-3</v>
      </c>
      <c r="E6" s="182">
        <v>5.0000000000000001E-3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162</v>
      </c>
      <c r="B8" s="182">
        <v>13.91</v>
      </c>
      <c r="E8" s="182">
        <v>13.91</v>
      </c>
    </row>
    <row r="9" spans="1:19" x14ac:dyDescent="0.3">
      <c r="A9" s="180" t="s">
        <v>163</v>
      </c>
      <c r="B9" s="182">
        <v>0</v>
      </c>
      <c r="E9" s="182">
        <v>0</v>
      </c>
    </row>
    <row r="10" spans="1:19" x14ac:dyDescent="0.3">
      <c r="A10" s="180" t="s">
        <v>164</v>
      </c>
      <c r="B10" s="182">
        <v>5.0000000000000001E-3</v>
      </c>
      <c r="E10" s="182">
        <v>5.0000000000000001E-3</v>
      </c>
    </row>
    <row r="11" spans="1:19" x14ac:dyDescent="0.3">
      <c r="A11" s="180" t="s">
        <v>165</v>
      </c>
      <c r="B11" s="182">
        <v>0</v>
      </c>
      <c r="E11" s="182">
        <v>0</v>
      </c>
    </row>
    <row r="12" spans="1:19" x14ac:dyDescent="0.3">
      <c r="A12" s="180" t="s">
        <v>166</v>
      </c>
      <c r="B12" s="182">
        <v>0.04</v>
      </c>
      <c r="E12" s="182">
        <v>0.04</v>
      </c>
    </row>
    <row r="13" spans="1:19" x14ac:dyDescent="0.3">
      <c r="A13" s="180" t="s">
        <v>71</v>
      </c>
      <c r="B13" s="182">
        <v>14.345000000000001</v>
      </c>
      <c r="E13" s="182">
        <v>14.345000000000001</v>
      </c>
    </row>
    <row r="14" spans="1:19" x14ac:dyDescent="0.3">
      <c r="A14" s="180" t="s">
        <v>167</v>
      </c>
      <c r="B14" s="182">
        <v>1.925</v>
      </c>
      <c r="E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168</v>
      </c>
      <c r="B17" s="182">
        <v>0.26</v>
      </c>
      <c r="E17" s="182">
        <v>0.26</v>
      </c>
    </row>
    <row r="18" spans="1:5" x14ac:dyDescent="0.3">
      <c r="A18" s="180" t="s">
        <v>75</v>
      </c>
      <c r="B18" s="182">
        <v>0.56000000000000005</v>
      </c>
      <c r="E18" s="182">
        <v>0.56000000000000005</v>
      </c>
    </row>
    <row r="19" spans="1:5" x14ac:dyDescent="0.3">
      <c r="A19" s="180" t="s">
        <v>169</v>
      </c>
      <c r="B19" s="182">
        <v>0.03</v>
      </c>
      <c r="E19" s="182">
        <v>0.03</v>
      </c>
    </row>
    <row r="20" spans="1:5" x14ac:dyDescent="0.3">
      <c r="A20" s="180" t="s">
        <v>170</v>
      </c>
      <c r="B20" s="182">
        <v>0.22500000000000001</v>
      </c>
      <c r="E20" s="182">
        <v>0.22500000000000001</v>
      </c>
    </row>
    <row r="21" spans="1:5" x14ac:dyDescent="0.3">
      <c r="A21" s="180" t="s">
        <v>77</v>
      </c>
      <c r="B21" s="182">
        <v>9.68</v>
      </c>
      <c r="E21" s="182">
        <v>9.68</v>
      </c>
    </row>
    <row r="22" spans="1:5" x14ac:dyDescent="0.3">
      <c r="A22" s="180" t="s">
        <v>78</v>
      </c>
      <c r="B22" s="182">
        <v>50.784999999999997</v>
      </c>
      <c r="D22" s="180">
        <v>-50.8</v>
      </c>
      <c r="E22" s="182">
        <v>-1.5000000000000568E-2</v>
      </c>
    </row>
    <row r="23" spans="1:5" x14ac:dyDescent="0.3">
      <c r="A23" s="180" t="s">
        <v>171</v>
      </c>
      <c r="B23" s="182">
        <v>0.34</v>
      </c>
      <c r="E23" s="182">
        <v>0.34</v>
      </c>
    </row>
    <row r="24" spans="1:5" x14ac:dyDescent="0.3">
      <c r="A24" s="180" t="s">
        <v>172</v>
      </c>
      <c r="B24" s="182">
        <v>0.22500000000000001</v>
      </c>
      <c r="E24" s="182">
        <v>0.22500000000000001</v>
      </c>
    </row>
    <row r="25" spans="1:5" x14ac:dyDescent="0.3">
      <c r="A25" s="180" t="s">
        <v>173</v>
      </c>
      <c r="B25" s="182">
        <v>0</v>
      </c>
      <c r="E25" s="182">
        <v>0</v>
      </c>
    </row>
    <row r="26" spans="1:5" x14ac:dyDescent="0.3">
      <c r="A26" s="180" t="s">
        <v>174</v>
      </c>
      <c r="B26" s="182">
        <v>0</v>
      </c>
      <c r="E26" s="182">
        <v>0</v>
      </c>
    </row>
    <row r="27" spans="1:5" x14ac:dyDescent="0.3">
      <c r="A27" s="180" t="s">
        <v>175</v>
      </c>
      <c r="B27" s="182">
        <v>0.16500000000000001</v>
      </c>
      <c r="E27" s="182">
        <v>0.16500000000000001</v>
      </c>
    </row>
    <row r="28" spans="1:5" x14ac:dyDescent="0.3">
      <c r="A28" s="180" t="s">
        <v>84</v>
      </c>
      <c r="B28" s="182">
        <v>46.895000000000003</v>
      </c>
      <c r="E28" s="182">
        <v>46.895000000000003</v>
      </c>
    </row>
    <row r="29" spans="1:5" x14ac:dyDescent="0.3">
      <c r="A29" s="180" t="s">
        <v>176</v>
      </c>
      <c r="B29" s="182">
        <v>85.406999999999996</v>
      </c>
      <c r="D29" s="180">
        <v>50.8</v>
      </c>
      <c r="E29" s="182">
        <v>136.20699999999999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178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161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162</v>
      </c>
      <c r="B46" s="182">
        <v>7.625</v>
      </c>
    </row>
    <row r="47" spans="1:4" x14ac:dyDescent="0.3">
      <c r="A47" s="180" t="s">
        <v>163</v>
      </c>
      <c r="B47" s="182">
        <v>1.4</v>
      </c>
    </row>
    <row r="48" spans="1:4" x14ac:dyDescent="0.3">
      <c r="A48" s="180" t="s">
        <v>164</v>
      </c>
      <c r="B48" s="182">
        <v>0</v>
      </c>
    </row>
    <row r="49" spans="1:2" x14ac:dyDescent="0.3">
      <c r="A49" s="180" t="s">
        <v>165</v>
      </c>
      <c r="B49" s="182">
        <v>0</v>
      </c>
    </row>
    <row r="50" spans="1:2" x14ac:dyDescent="0.3">
      <c r="A50" s="180" t="s">
        <v>166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167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168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169</v>
      </c>
      <c r="B57" s="182">
        <v>0</v>
      </c>
    </row>
    <row r="58" spans="1:2" x14ac:dyDescent="0.3">
      <c r="A58" s="180" t="s">
        <v>170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171</v>
      </c>
      <c r="B61" s="182">
        <v>9.8000000000000004E-2</v>
      </c>
    </row>
    <row r="62" spans="1:2" x14ac:dyDescent="0.3">
      <c r="A62" s="180" t="s">
        <v>172</v>
      </c>
      <c r="B62" s="182">
        <v>7.2999999999999995E-2</v>
      </c>
    </row>
    <row r="63" spans="1:2" x14ac:dyDescent="0.3">
      <c r="A63" s="180" t="s">
        <v>173</v>
      </c>
      <c r="B63" s="182">
        <v>0.129</v>
      </c>
    </row>
    <row r="64" spans="1:2" x14ac:dyDescent="0.3">
      <c r="A64" s="180" t="s">
        <v>174</v>
      </c>
      <c r="B64" s="182">
        <v>0</v>
      </c>
    </row>
    <row r="65" spans="1:3" x14ac:dyDescent="0.3">
      <c r="A65" s="180" t="s">
        <v>175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176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179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161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162</v>
      </c>
      <c r="B83" s="182">
        <v>13.91</v>
      </c>
    </row>
    <row r="84" spans="1:2" x14ac:dyDescent="0.3">
      <c r="A84" s="180" t="s">
        <v>163</v>
      </c>
      <c r="B84" s="182">
        <v>0</v>
      </c>
    </row>
    <row r="85" spans="1:2" x14ac:dyDescent="0.3">
      <c r="A85" s="180" t="s">
        <v>164</v>
      </c>
      <c r="B85" s="182">
        <v>5.0000000000000001E-3</v>
      </c>
    </row>
    <row r="86" spans="1:2" x14ac:dyDescent="0.3">
      <c r="A86" s="180" t="s">
        <v>165</v>
      </c>
      <c r="B86" s="182">
        <v>0</v>
      </c>
    </row>
    <row r="87" spans="1:2" x14ac:dyDescent="0.3">
      <c r="A87" s="180" t="s">
        <v>166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167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168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169</v>
      </c>
      <c r="B94" s="182">
        <v>0.03</v>
      </c>
    </row>
    <row r="95" spans="1:2" x14ac:dyDescent="0.3">
      <c r="A95" s="180" t="s">
        <v>170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171</v>
      </c>
      <c r="B98" s="182">
        <v>0.34</v>
      </c>
    </row>
    <row r="99" spans="1:2" x14ac:dyDescent="0.3">
      <c r="A99" s="180" t="s">
        <v>172</v>
      </c>
      <c r="B99" s="182">
        <v>0.22500000000000001</v>
      </c>
    </row>
    <row r="100" spans="1:2" x14ac:dyDescent="0.3">
      <c r="A100" s="180" t="s">
        <v>173</v>
      </c>
      <c r="B100" s="182">
        <v>0</v>
      </c>
    </row>
    <row r="101" spans="1:2" x14ac:dyDescent="0.3">
      <c r="A101" s="180" t="s">
        <v>174</v>
      </c>
      <c r="B101" s="182">
        <v>0</v>
      </c>
    </row>
    <row r="102" spans="1:2" x14ac:dyDescent="0.3">
      <c r="A102" s="180" t="s">
        <v>175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176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180</v>
      </c>
    </row>
    <row r="117" spans="1:5" ht="14.5" x14ac:dyDescent="0.35">
      <c r="B117" s="180" t="s">
        <v>153</v>
      </c>
      <c r="C117" s="184" t="s">
        <v>154</v>
      </c>
      <c r="D117" s="184" t="s">
        <v>187</v>
      </c>
      <c r="E117" s="184" t="s">
        <v>182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161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162</v>
      </c>
      <c r="B121" s="182">
        <v>44806.400000000001</v>
      </c>
    </row>
    <row r="122" spans="1:5" x14ac:dyDescent="0.3">
      <c r="A122" s="180" t="s">
        <v>163</v>
      </c>
      <c r="B122" s="182">
        <v>1.2</v>
      </c>
    </row>
    <row r="123" spans="1:5" x14ac:dyDescent="0.3">
      <c r="A123" s="180" t="s">
        <v>164</v>
      </c>
      <c r="B123" s="182">
        <v>14.6</v>
      </c>
    </row>
    <row r="124" spans="1:5" x14ac:dyDescent="0.3">
      <c r="A124" s="180" t="s">
        <v>165</v>
      </c>
      <c r="B124" s="182">
        <v>0.3</v>
      </c>
    </row>
    <row r="125" spans="1:5" x14ac:dyDescent="0.3">
      <c r="A125" s="180" t="s">
        <v>166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167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168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169</v>
      </c>
      <c r="B132" s="182">
        <v>4.258</v>
      </c>
    </row>
    <row r="133" spans="1:2" x14ac:dyDescent="0.3">
      <c r="A133" s="180" t="s">
        <v>170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171</v>
      </c>
      <c r="B136" s="182">
        <v>16.937999999999999</v>
      </c>
    </row>
    <row r="137" spans="1:2" x14ac:dyDescent="0.3">
      <c r="A137" s="180" t="s">
        <v>172</v>
      </c>
      <c r="B137" s="182">
        <v>8.8849999999999998</v>
      </c>
    </row>
    <row r="138" spans="1:2" x14ac:dyDescent="0.3">
      <c r="A138" s="180" t="s">
        <v>173</v>
      </c>
      <c r="B138" s="182">
        <v>0.2</v>
      </c>
    </row>
    <row r="139" spans="1:2" x14ac:dyDescent="0.3">
      <c r="A139" s="180" t="s">
        <v>174</v>
      </c>
      <c r="B139" s="182">
        <v>0</v>
      </c>
    </row>
    <row r="140" spans="1:2" x14ac:dyDescent="0.3">
      <c r="A140" s="180" t="s">
        <v>175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176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181</v>
      </c>
    </row>
    <row r="155" spans="1:5" ht="14.5" x14ac:dyDescent="0.35">
      <c r="B155" s="180" t="s">
        <v>153</v>
      </c>
      <c r="C155" s="184" t="s">
        <v>154</v>
      </c>
      <c r="D155" s="184" t="s">
        <v>187</v>
      </c>
      <c r="E155" s="184" t="s">
        <v>182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161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162</v>
      </c>
      <c r="B159" s="182">
        <v>8.94</v>
      </c>
    </row>
    <row r="160" spans="1:5" x14ac:dyDescent="0.3">
      <c r="A160" s="180" t="s">
        <v>163</v>
      </c>
      <c r="B160" s="182">
        <v>0.48</v>
      </c>
    </row>
    <row r="161" spans="1:5" x14ac:dyDescent="0.3">
      <c r="A161" s="180" t="s">
        <v>164</v>
      </c>
      <c r="B161" s="182">
        <v>0</v>
      </c>
    </row>
    <row r="162" spans="1:5" x14ac:dyDescent="0.3">
      <c r="A162" s="180" t="s">
        <v>165</v>
      </c>
      <c r="B162" s="182">
        <v>1.1399999999999999</v>
      </c>
    </row>
    <row r="163" spans="1:5" x14ac:dyDescent="0.3">
      <c r="A163" s="180" t="s">
        <v>166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167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168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169</v>
      </c>
      <c r="B170" s="182">
        <v>0</v>
      </c>
    </row>
    <row r="171" spans="1:5" x14ac:dyDescent="0.3">
      <c r="A171" s="180" t="s">
        <v>170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171</v>
      </c>
      <c r="B174" s="182">
        <v>0.1</v>
      </c>
    </row>
    <row r="175" spans="1:5" x14ac:dyDescent="0.3">
      <c r="A175" s="180" t="s">
        <v>172</v>
      </c>
      <c r="B175" s="182">
        <v>0.251</v>
      </c>
    </row>
    <row r="176" spans="1:5" x14ac:dyDescent="0.3">
      <c r="A176" s="180" t="s">
        <v>173</v>
      </c>
      <c r="B176" s="182">
        <v>0.251</v>
      </c>
    </row>
    <row r="177" spans="1:5" x14ac:dyDescent="0.3">
      <c r="A177" s="180" t="s">
        <v>174</v>
      </c>
      <c r="B177" s="182">
        <v>0</v>
      </c>
    </row>
    <row r="178" spans="1:5" x14ac:dyDescent="0.3">
      <c r="A178" s="180" t="s">
        <v>175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176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183</v>
      </c>
      <c r="B191" s="184"/>
      <c r="C191" s="184"/>
      <c r="D191" s="184"/>
      <c r="E191" s="184"/>
    </row>
    <row r="192" spans="1:5" ht="14.5" x14ac:dyDescent="0.3">
      <c r="A192" s="186" t="s">
        <v>184</v>
      </c>
      <c r="B192" s="186" t="s">
        <v>185</v>
      </c>
      <c r="C192" s="186" t="s">
        <v>5</v>
      </c>
      <c r="D192" s="186" t="s">
        <v>16</v>
      </c>
      <c r="E192" s="186" t="s">
        <v>186</v>
      </c>
    </row>
    <row r="193" spans="1:5" x14ac:dyDescent="0.3">
      <c r="A193" s="180">
        <v>1050</v>
      </c>
      <c r="B193" s="180" t="s">
        <v>78</v>
      </c>
      <c r="C193" s="180" t="s">
        <v>188</v>
      </c>
      <c r="D193" s="180">
        <v>50.8</v>
      </c>
      <c r="E193" s="180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2022-12-20T10:18:56Z</dcterms:modified>
</cp:coreProperties>
</file>